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 i="2" l="1"/>
  <c r="E5" i="3"/>
  <c r="E9" i="3"/>
  <c r="O14" i="3"/>
  <c r="O15" i="3"/>
  <c r="O16" i="3"/>
  <c r="O17" i="3"/>
  <c r="O18" i="3"/>
  <c r="O19" i="3"/>
  <c r="O20" i="3"/>
  <c r="O21" i="3"/>
  <c r="O22" i="3"/>
  <c r="O23" i="3"/>
  <c r="D7" i="1"/>
  <c r="K4" i="1"/>
  <c r="C16" i="1"/>
  <c r="F16" i="1"/>
  <c r="I16" i="1"/>
  <c r="D16" i="1"/>
  <c r="H16" i="1"/>
  <c r="J16" i="1"/>
  <c r="E16" i="1"/>
  <c r="K16" i="1"/>
  <c r="L16" i="1"/>
  <c r="M16" i="1"/>
  <c r="Q16" i="1"/>
  <c r="C14" i="2"/>
  <c r="C17" i="1"/>
  <c r="F17" i="1"/>
  <c r="I17" i="1"/>
  <c r="D17" i="1"/>
  <c r="H17" i="1"/>
  <c r="J17" i="1"/>
  <c r="E17" i="1"/>
  <c r="K17" i="1"/>
  <c r="L17" i="1"/>
  <c r="M17" i="1"/>
  <c r="Q17" i="1"/>
  <c r="C15" i="2"/>
  <c r="D15" i="2"/>
  <c r="C18" i="1"/>
  <c r="F18" i="1"/>
  <c r="I18" i="1"/>
  <c r="D18" i="1"/>
  <c r="H18" i="1"/>
  <c r="J18" i="1"/>
  <c r="E18" i="1"/>
  <c r="K18" i="1"/>
  <c r="L18" i="1"/>
  <c r="M18" i="1"/>
  <c r="Q18" i="1"/>
  <c r="C16" i="2"/>
  <c r="D16" i="2"/>
  <c r="C19" i="1"/>
  <c r="F19" i="1"/>
  <c r="I19" i="1"/>
  <c r="D19" i="1"/>
  <c r="H19" i="1"/>
  <c r="J19" i="1"/>
  <c r="E19" i="1"/>
  <c r="K19" i="1"/>
  <c r="L19" i="1"/>
  <c r="M19" i="1"/>
  <c r="Q19" i="1"/>
  <c r="C17" i="2"/>
  <c r="D17" i="2"/>
  <c r="C20" i="1"/>
  <c r="F20" i="1"/>
  <c r="I20" i="1"/>
  <c r="D20" i="1"/>
  <c r="H20" i="1"/>
  <c r="J20" i="1"/>
  <c r="E20" i="1"/>
  <c r="K20" i="1"/>
  <c r="L20" i="1"/>
  <c r="M20" i="1"/>
  <c r="Q20" i="1"/>
  <c r="C18" i="2"/>
  <c r="D18" i="2"/>
  <c r="C21" i="1"/>
  <c r="F21" i="1"/>
  <c r="I21" i="1"/>
  <c r="D21" i="1"/>
  <c r="H21" i="1"/>
  <c r="J21" i="1"/>
  <c r="E21" i="1"/>
  <c r="K21" i="1"/>
  <c r="L21" i="1"/>
  <c r="M21" i="1"/>
  <c r="Q21" i="1"/>
  <c r="C19" i="2"/>
  <c r="D19" i="2"/>
  <c r="C22" i="1"/>
  <c r="F22" i="1"/>
  <c r="I22" i="1"/>
  <c r="D22" i="1"/>
  <c r="H22" i="1"/>
  <c r="J22" i="1"/>
  <c r="E22" i="1"/>
  <c r="K22" i="1"/>
  <c r="L22" i="1"/>
  <c r="M22" i="1"/>
  <c r="Q22" i="1"/>
  <c r="C20" i="2"/>
  <c r="D20" i="2"/>
  <c r="C23" i="1"/>
  <c r="F23" i="1"/>
  <c r="I23" i="1"/>
  <c r="D23" i="1"/>
  <c r="H23" i="1"/>
  <c r="J23" i="1"/>
  <c r="E23" i="1"/>
  <c r="K23" i="1"/>
  <c r="L23" i="1"/>
  <c r="M23" i="1"/>
  <c r="Q23" i="1"/>
  <c r="C21" i="2"/>
  <c r="D21" i="2"/>
  <c r="C24" i="1"/>
  <c r="F24" i="1"/>
  <c r="I24" i="1"/>
  <c r="D24" i="1"/>
  <c r="H24" i="1"/>
  <c r="J24" i="1"/>
  <c r="E24" i="1"/>
  <c r="K24" i="1"/>
  <c r="L24" i="1"/>
  <c r="M24" i="1"/>
  <c r="Q24" i="1"/>
  <c r="C22" i="2"/>
  <c r="D22" i="2"/>
  <c r="C25" i="1"/>
  <c r="F25" i="1"/>
  <c r="I25" i="1"/>
  <c r="D25" i="1"/>
  <c r="H25" i="1"/>
  <c r="J25" i="1"/>
  <c r="E25" i="1"/>
  <c r="K25" i="1"/>
  <c r="L25" i="1"/>
  <c r="M25" i="1"/>
  <c r="Q25" i="1"/>
  <c r="C23" i="2"/>
  <c r="D23" i="2"/>
  <c r="C26" i="1"/>
  <c r="F26" i="1"/>
  <c r="I26" i="1"/>
  <c r="D26" i="1"/>
  <c r="H26" i="1"/>
  <c r="J26" i="1"/>
  <c r="E26" i="1"/>
  <c r="K26" i="1"/>
  <c r="L26" i="1"/>
  <c r="M26" i="1"/>
  <c r="Q26" i="1"/>
  <c r="C24" i="2"/>
  <c r="D24" i="2"/>
  <c r="C27" i="1"/>
  <c r="F27" i="1"/>
  <c r="I27" i="1"/>
  <c r="D27" i="1"/>
  <c r="H27" i="1"/>
  <c r="J27" i="1"/>
  <c r="E27" i="1"/>
  <c r="K27" i="1"/>
  <c r="L27" i="1"/>
  <c r="M27" i="1"/>
  <c r="Q27" i="1"/>
  <c r="C25" i="2"/>
  <c r="D25" i="2"/>
  <c r="C28" i="1"/>
  <c r="F28" i="1"/>
  <c r="I28" i="1"/>
  <c r="D28" i="1"/>
  <c r="H28" i="1"/>
  <c r="J28" i="1"/>
  <c r="E28" i="1"/>
  <c r="K28" i="1"/>
  <c r="L28" i="1"/>
  <c r="M28" i="1"/>
  <c r="Q28" i="1"/>
  <c r="C26" i="2"/>
  <c r="D26" i="2"/>
  <c r="C29" i="1"/>
  <c r="F29" i="1"/>
  <c r="I29" i="1"/>
  <c r="D29" i="1"/>
  <c r="H29" i="1"/>
  <c r="J29" i="1"/>
  <c r="E29" i="1"/>
  <c r="K29" i="1"/>
  <c r="L29" i="1"/>
  <c r="M29" i="1"/>
  <c r="Q29" i="1"/>
  <c r="C27" i="2"/>
  <c r="D27" i="2"/>
  <c r="C30" i="1"/>
  <c r="F30" i="1"/>
  <c r="I30" i="1"/>
  <c r="D30" i="1"/>
  <c r="H30" i="1"/>
  <c r="J30" i="1"/>
  <c r="E30" i="1"/>
  <c r="K30" i="1"/>
  <c r="L30" i="1"/>
  <c r="M30" i="1"/>
  <c r="Q30" i="1"/>
  <c r="C28" i="2"/>
  <c r="D28" i="2"/>
  <c r="C31" i="1"/>
  <c r="F31" i="1"/>
  <c r="I31" i="1"/>
  <c r="D31" i="1"/>
  <c r="H31" i="1"/>
  <c r="J31" i="1"/>
  <c r="E31" i="1"/>
  <c r="K31" i="1"/>
  <c r="L31" i="1"/>
  <c r="M31" i="1"/>
  <c r="Q31" i="1"/>
  <c r="C29" i="2"/>
  <c r="D29" i="2"/>
  <c r="C32" i="1"/>
  <c r="F32" i="1"/>
  <c r="I32" i="1"/>
  <c r="D32" i="1"/>
  <c r="H32" i="1"/>
  <c r="J32" i="1"/>
  <c r="E32" i="1"/>
  <c r="K32" i="1"/>
  <c r="L32" i="1"/>
  <c r="M32" i="1"/>
  <c r="Q32" i="1"/>
  <c r="C30" i="2"/>
  <c r="D30" i="2"/>
  <c r="C33" i="1"/>
  <c r="F33" i="1"/>
  <c r="I33" i="1"/>
  <c r="D33" i="1"/>
  <c r="H33" i="1"/>
  <c r="J33" i="1"/>
  <c r="E33" i="1"/>
  <c r="K33" i="1"/>
  <c r="L33" i="1"/>
  <c r="M33" i="1"/>
  <c r="Q33" i="1"/>
  <c r="C31" i="2"/>
  <c r="D31" i="2"/>
  <c r="C34" i="1"/>
  <c r="F34" i="1"/>
  <c r="I34" i="1"/>
  <c r="D34" i="1"/>
  <c r="H34" i="1"/>
  <c r="J34" i="1"/>
  <c r="E34" i="1"/>
  <c r="K34" i="1"/>
  <c r="L34" i="1"/>
  <c r="M34" i="1"/>
  <c r="Q34" i="1"/>
  <c r="C32" i="2"/>
  <c r="D32" i="2"/>
  <c r="C35" i="1"/>
  <c r="F35" i="1"/>
  <c r="I35" i="1"/>
  <c r="D35" i="1"/>
  <c r="H35" i="1"/>
  <c r="J35" i="1"/>
  <c r="E35" i="1"/>
  <c r="K35" i="1"/>
  <c r="L35" i="1"/>
  <c r="M35" i="1"/>
  <c r="Q35" i="1"/>
  <c r="C33" i="2"/>
  <c r="D33" i="2"/>
  <c r="C36" i="1"/>
  <c r="F36" i="1"/>
  <c r="I36" i="1"/>
  <c r="D36" i="1"/>
  <c r="H36" i="1"/>
  <c r="J36" i="1"/>
  <c r="E36" i="1"/>
  <c r="K36" i="1"/>
  <c r="L36" i="1"/>
  <c r="M36" i="1"/>
  <c r="Q36" i="1"/>
  <c r="C34" i="2"/>
  <c r="D34" i="2"/>
  <c r="C37" i="1"/>
  <c r="F37" i="1"/>
  <c r="I37" i="1"/>
  <c r="D37" i="1"/>
  <c r="H37" i="1"/>
  <c r="J37" i="1"/>
  <c r="E37" i="1"/>
  <c r="K37" i="1"/>
  <c r="L37" i="1"/>
  <c r="M37" i="1"/>
  <c r="Q37" i="1"/>
  <c r="C35" i="2"/>
  <c r="D35" i="2"/>
  <c r="C38" i="1"/>
  <c r="F38" i="1"/>
  <c r="I38" i="1"/>
  <c r="D38" i="1"/>
  <c r="H38" i="1"/>
  <c r="J38" i="1"/>
  <c r="E38" i="1"/>
  <c r="K38" i="1"/>
  <c r="L38" i="1"/>
  <c r="M38" i="1"/>
  <c r="Q38" i="1"/>
  <c r="C36" i="2"/>
  <c r="D36" i="2"/>
  <c r="C39" i="1"/>
  <c r="F39" i="1"/>
  <c r="I39" i="1"/>
  <c r="D39" i="1"/>
  <c r="H39" i="1"/>
  <c r="J39" i="1"/>
  <c r="E39" i="1"/>
  <c r="K39" i="1"/>
  <c r="L39" i="1"/>
  <c r="M39" i="1"/>
  <c r="Q39" i="1"/>
  <c r="C37" i="2"/>
  <c r="D37" i="2"/>
  <c r="C40" i="1"/>
  <c r="F40" i="1"/>
  <c r="I40" i="1"/>
  <c r="D40" i="1"/>
  <c r="H40" i="1"/>
  <c r="J40" i="1"/>
  <c r="E40" i="1"/>
  <c r="K40" i="1"/>
  <c r="L40" i="1"/>
  <c r="M40" i="1"/>
  <c r="Q40" i="1"/>
  <c r="C38" i="2"/>
  <c r="D38" i="2"/>
  <c r="C41" i="1"/>
  <c r="F41" i="1"/>
  <c r="I41" i="1"/>
  <c r="D41" i="1"/>
  <c r="H41" i="1"/>
  <c r="J41" i="1"/>
  <c r="E41" i="1"/>
  <c r="K41" i="1"/>
  <c r="L41" i="1"/>
  <c r="M41" i="1"/>
  <c r="Q41" i="1"/>
  <c r="C39" i="2"/>
  <c r="D39" i="2"/>
  <c r="C42" i="1"/>
  <c r="F42" i="1"/>
  <c r="I42" i="1"/>
  <c r="D42" i="1"/>
  <c r="H42" i="1"/>
  <c r="J42" i="1"/>
  <c r="E42" i="1"/>
  <c r="K42" i="1"/>
  <c r="L42" i="1"/>
  <c r="M42" i="1"/>
  <c r="Q42" i="1"/>
  <c r="C40" i="2"/>
  <c r="D40" i="2"/>
  <c r="C43" i="1"/>
  <c r="F43" i="1"/>
  <c r="I43" i="1"/>
  <c r="D43" i="1"/>
  <c r="H43" i="1"/>
  <c r="J43" i="1"/>
  <c r="E43" i="1"/>
  <c r="K43" i="1"/>
  <c r="L43" i="1"/>
  <c r="M43" i="1"/>
  <c r="Q43" i="1"/>
  <c r="C41" i="2"/>
  <c r="D41" i="2"/>
  <c r="C44" i="1"/>
  <c r="F44" i="1"/>
  <c r="I44" i="1"/>
  <c r="D44" i="1"/>
  <c r="H44" i="1"/>
  <c r="J44" i="1"/>
  <c r="E44" i="1"/>
  <c r="K44" i="1"/>
  <c r="L44" i="1"/>
  <c r="M44" i="1"/>
  <c r="Q44" i="1"/>
  <c r="C42" i="2"/>
  <c r="D42" i="2"/>
  <c r="C45" i="1"/>
  <c r="F45" i="1"/>
  <c r="I45" i="1"/>
  <c r="D45" i="1"/>
  <c r="H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I15" i="2"/>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I16" i="2"/>
  <c r="I17" i="2"/>
  <c r="I18" i="2"/>
  <c r="I19" i="2"/>
  <c r="I20" i="2"/>
  <c r="I21" i="2"/>
  <c r="I22" i="2"/>
  <c r="I23" i="2"/>
  <c r="I24" i="2"/>
  <c r="I25" i="2"/>
  <c r="I26" i="2"/>
  <c r="I27" i="2"/>
  <c r="I28" i="2"/>
  <c r="I29" i="2"/>
  <c r="I31" i="2"/>
  <c r="I32" i="2"/>
  <c r="I33" i="2"/>
  <c r="I34" i="2"/>
  <c r="I35" i="2"/>
  <c r="I36" i="2"/>
  <c r="I37" i="2"/>
  <c r="I38" i="2"/>
  <c r="I39" i="2"/>
  <c r="I40" i="2"/>
  <c r="I41" i="2"/>
  <c r="I42" i="2"/>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G23" i="3"/>
  <c r="G20" i="3"/>
  <c r="H20" i="3"/>
  <c r="G21" i="3"/>
  <c r="H21" i="3"/>
  <c r="H22" i="3"/>
  <c r="G22" i="3"/>
  <c r="H23" i="3"/>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<sst xmlns="http://schemas.openxmlformats.org/spreadsheetml/2006/main" count="173" uniqueCount="138">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</sst>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2" fontId="4" fillId="3" borderId="15" xfId="5" applyNumberFormat="1" applyBorder="1" applyAlignment="1">
      <alignment horizontal="left" indent="1"/>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52" xfId="0" applyFont="1" applyFill="1" applyBorder="1" applyAlignment="1">
      <alignment horizontal="left"/>
    </xf>
    <xf numFmtId="0" fontId="4" fillId="2" borderId="53" xfId="0" applyFont="1" applyFill="1" applyBorder="1" applyAlignment="1">
      <alignment horizontal="left"/>
    </xf>
    <xf numFmtId="0" fontId="5" fillId="5" borderId="46" xfId="2" applyBorder="1">
      <alignment horizontal="right" indent="1"/>
    </xf>
    <xf numFmtId="0" fontId="5" fillId="5" borderId="47" xfId="2" applyBorder="1">
      <alignment horizontal="right"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11" xfId="2" applyBorder="1">
      <alignment horizontal="right" indent="1"/>
    </xf>
    <xf numFmtId="0" fontId="5" fillId="5" borderId="39" xfId="2" applyBorder="1">
      <alignment horizontal="right" indent="1"/>
    </xf>
    <xf numFmtId="0" fontId="5" fillId="5" borderId="12" xfId="2" applyBorder="1">
      <alignment horizontal="right" indent="1"/>
    </xf>
    <xf numFmtId="0" fontId="5" fillId="5" borderId="4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1" xfId="2" applyBorder="1">
      <alignment horizontal="right" indent="1"/>
    </xf>
    <xf numFmtId="0" fontId="5" fillId="5" borderId="28"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19" xfId="2" applyBorder="1">
      <alignment horizontal="right" indent="1"/>
    </xf>
    <xf numFmtId="0" fontId="5" fillId="5" borderId="20" xfId="2" applyBorder="1">
      <alignment horizontal="right" indent="1"/>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5" fillId="5" borderId="22" xfId="2" applyBorder="1">
      <alignment horizontal="right" indent="1"/>
    </xf>
    <xf numFmtId="0" fontId="5" fillId="5" borderId="23" xfId="2" applyBorder="1">
      <alignment horizontal="right" indent="1"/>
    </xf>
    <xf numFmtId="0" fontId="2" fillId="9" borderId="10" xfId="6" applyBorder="1">
      <alignment horizontal="center" vertical="center"/>
    </xf>
    <xf numFmtId="0" fontId="2" fillId="9" borderId="37" xfId="6" applyBorder="1">
      <alignment horizontal="center" vertical="center"/>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277.44592592592596</c:v>
                </c:pt>
                <c:pt idx="1">
                  <c:v>283.06683930065617</c:v>
                </c:pt>
                <c:pt idx="2">
                  <c:v>288.3965015193553</c:v>
                </c:pt>
                <c:pt idx="3">
                  <c:v>293.43491258202317</c:v>
                </c:pt>
                <c:pt idx="4">
                  <c:v>298.18207248865997</c:v>
                </c:pt>
                <c:pt idx="5">
                  <c:v>302.63798123926546</c:v>
                </c:pt>
                <c:pt idx="6">
                  <c:v>306.80263883383981</c:v>
                </c:pt>
                <c:pt idx="7">
                  <c:v>310.67604527238302</c:v>
                </c:pt>
                <c:pt idx="8">
                  <c:v>314.25820055489498</c:v>
                </c:pt>
                <c:pt idx="9">
                  <c:v>317.54910468137575</c:v>
                </c:pt>
                <c:pt idx="10">
                  <c:v>320.54875765182544</c:v>
                </c:pt>
                <c:pt idx="11">
                  <c:v>323.25715946624393</c:v>
                </c:pt>
                <c:pt idx="12">
                  <c:v>325.67431012463123</c:v>
                </c:pt>
                <c:pt idx="13">
                  <c:v>327.80020962698728</c:v>
                </c:pt>
                <c:pt idx="14">
                  <c:v>329.63485797331214</c:v>
                </c:pt>
                <c:pt idx="15">
                  <c:v>331.17825516360597</c:v>
                </c:pt>
                <c:pt idx="16">
                  <c:v>332.43040119786849</c:v>
                </c:pt>
                <c:pt idx="17">
                  <c:v>333.39129607609988</c:v>
                </c:pt>
                <c:pt idx="18">
                  <c:v>334.06093979830007</c:v>
                </c:pt>
                <c:pt idx="19">
                  <c:v>334.43933236446912</c:v>
                </c:pt>
                <c:pt idx="20">
                  <c:v>334.52647377460693</c:v>
                </c:pt>
                <c:pt idx="21">
                  <c:v>334.32236402871359</c:v>
                </c:pt>
                <c:pt idx="22">
                  <c:v>333.82700312678912</c:v>
                </c:pt>
                <c:pt idx="23">
                  <c:v>333.04039106883346</c:v>
                </c:pt>
                <c:pt idx="24">
                  <c:v>331.9625278548466</c:v>
                </c:pt>
                <c:pt idx="25">
                  <c:v>330.59341348482855</c:v>
                </c:pt>
                <c:pt idx="26">
                  <c:v>328.9330479587793</c:v>
                </c:pt>
                <c:pt idx="27">
                  <c:v>326.9814312766988</c:v>
                </c:pt>
                <c:pt idx="28">
                  <c:v>324.73856343858722</c:v>
                </c:pt>
                <c:pt idx="29">
                  <c:v>322.20444444444445</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0.34632051823590843</c:v>
                </c:pt>
                <c:pt idx="1">
                  <c:v>0.68719333002290783</c:v>
                </c:pt>
                <c:pt idx="2">
                  <c:v>1.02297988166384</c:v>
                </c:pt>
                <c:pt idx="3">
                  <c:v>1.3540279279146403</c:v>
                </c:pt>
                <c:pt idx="4">
                  <c:v>1.6806725820443762</c:v>
                </c:pt>
                <c:pt idx="5">
                  <c:v>2.0032373097991201</c:v>
                </c:pt>
                <c:pt idx="6">
                  <c:v>2.3220348720967641</c:v>
                </c:pt>
                <c:pt idx="7">
                  <c:v>2.6373682209643836</c:v>
                </c:pt>
                <c:pt idx="8">
                  <c:v>2.949531352944168</c:v>
                </c:pt>
                <c:pt idx="9">
                  <c:v>3.2588101239359237</c:v>
                </c:pt>
                <c:pt idx="10">
                  <c:v>3.5654830292117916</c:v>
                </c:pt>
                <c:pt idx="11">
                  <c:v>3.8698219521303341</c:v>
                </c:pt>
                <c:pt idx="12">
                  <c:v>4.1720928848907564</c:v>
                </c:pt>
                <c:pt idx="13">
                  <c:v>4.4725566245025536</c:v>
                </c:pt>
                <c:pt idx="14">
                  <c:v>4.7714694469998964</c:v>
                </c:pt>
                <c:pt idx="15">
                  <c:v>5.0690837628024461</c:v>
                </c:pt>
                <c:pt idx="16">
                  <c:v>5.3656487560142567</c:v>
                </c:pt>
                <c:pt idx="17">
                  <c:v>5.6614110103589423</c:v>
                </c:pt>
                <c:pt idx="18">
                  <c:v>5.9566151243717682</c:v>
                </c:pt>
                <c:pt idx="19">
                  <c:v>6.2515043184071715</c:v>
                </c:pt>
                <c:pt idx="20">
                  <c:v>6.5463210359729631</c:v>
                </c:pt>
                <c:pt idx="21">
                  <c:v>6.8413075418697957</c:v>
                </c:pt>
                <c:pt idx="22">
                  <c:v>7.1367065195960029</c:v>
                </c:pt>
                <c:pt idx="23">
                  <c:v>7.4327616704737558</c:v>
                </c:pt>
                <c:pt idx="24">
                  <c:v>7.7297183169623933</c:v>
                </c:pt>
                <c:pt idx="25">
                  <c:v>8.0278240126488356</c:v>
                </c:pt>
                <c:pt idx="26">
                  <c:v>8.3273291614435774</c:v>
                </c:pt>
                <c:pt idx="27">
                  <c:v>8.6284876485639295</c:v>
                </c:pt>
                <c:pt idx="28">
                  <c:v>8.9315574859543894</c:v>
                </c:pt>
                <c:pt idx="29">
                  <c:v>9.2368014748779306</c:v>
                </c:pt>
              </c:numCache>
            </c:numRef>
          </c:xVal>
          <c:yVal>
            <c:numRef>
              <c:f>Estimate!$L$14:$L$43</c:f>
              <c:numCache>
                <c:formatCode>General</c:formatCode>
                <c:ptCount val="30"/>
                <c:pt idx="0">
                  <c:v>2663.2853736274451</c:v>
                </c:pt>
                <c:pt idx="1">
                  <c:v>2771.0075317407118</c:v>
                </c:pt>
                <c:pt idx="2">
                  <c:v>2876.9904164084619</c:v>
                </c:pt>
                <c:pt idx="3">
                  <c:v>2980.7451726586405</c:v>
                </c:pt>
                <c:pt idx="4">
                  <c:v>3081.7793177236772</c:v>
                </c:pt>
                <c:pt idx="5">
                  <c:v>3179.6005242177857</c:v>
                </c:pt>
                <c:pt idx="6">
                  <c:v>3273.7205218416875</c:v>
                </c:pt>
                <c:pt idx="7">
                  <c:v>3363.6590757477015</c:v>
                </c:pt>
                <c:pt idx="8">
                  <c:v>3448.9479973859661</c:v>
                </c:pt>
                <c:pt idx="9">
                  <c:v>3529.1351419598327</c:v>
                </c:pt>
                <c:pt idx="10">
                  <c:v>3603.7883455915062</c:v>
                </c:pt>
                <c:pt idx="11">
                  <c:v>3672.4992549721942</c:v>
                </c:pt>
                <c:pt idx="12">
                  <c:v>3734.8870026663849</c:v>
                </c:pt>
                <c:pt idx="13">
                  <c:v>3790.6016823662194</c:v>
                </c:pt>
                <c:pt idx="14">
                  <c:v>3839.3275802443941</c:v>
                </c:pt>
                <c:pt idx="15">
                  <c:v>3880.7861211137511</c:v>
                </c:pt>
                <c:pt idx="16">
                  <c:v>3914.738491335916</c:v>
                </c:pt>
                <c:pt idx="17">
                  <c:v>3940.9879042843718</c:v>
                </c:pt>
                <c:pt idx="18">
                  <c:v>3959.3814786001344</c:v>
                </c:pt>
                <c:pt idx="19">
                  <c:v>3969.8117044111568</c:v>
                </c:pt>
                <c:pt idx="20">
                  <c:v>3972.2174780390969</c:v>
                </c:pt>
                <c:pt idx="21">
                  <c:v>3966.5846914004251</c:v>
                </c:pt>
                <c:pt idx="22">
                  <c:v>3952.9463682271512</c:v>
                </c:pt>
                <c:pt idx="23">
                  <c:v>3931.3823452854199</c:v>
                </c:pt>
                <c:pt idx="24">
                  <c:v>3902.0185028542105</c:v>
                </c:pt>
                <c:pt idx="25">
                  <c:v>3865.02555473757</c:v>
                </c:pt>
                <c:pt idx="26">
                  <c:v>3820.6174139196191</c:v>
                </c:pt>
                <c:pt idx="27">
                  <c:v>3769.0491555332374</c:v>
                </c:pt>
                <c:pt idx="28">
                  <c:v>3710.6146040075237</c:v>
                </c:pt>
                <c:pt idx="29">
                  <c:v>3645.6435760003365</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abSelected="1" zoomScaleNormal="100" workbookViewId="0">
      <selection activeCell="P6" sqref="P6"/>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49" t="s">
        <v>0</v>
      </c>
      <c r="C2" s="150"/>
      <c r="D2" s="186" t="s">
        <v>1</v>
      </c>
      <c r="E2" s="187"/>
      <c r="G2" s="86"/>
      <c r="I2" s="177" t="s">
        <v>53</v>
      </c>
      <c r="J2" s="178"/>
      <c r="K2" s="178"/>
      <c r="L2" s="178"/>
      <c r="M2" s="178"/>
      <c r="N2" s="178"/>
      <c r="O2" s="178"/>
      <c r="P2" s="179"/>
      <c r="Q2" s="3"/>
      <c r="R2" s="168" t="s">
        <v>34</v>
      </c>
      <c r="S2" s="168"/>
      <c r="T2" s="155" t="b">
        <f>AND(ISNUMBER(D5),ISNUMBER(D6),ISNUMBER(D7),ISNUMBER(D8),ISNUMBER(D9),ISNUMBER(D10),ISNUMBER(D11),ISNUMBER(D12),NOT(ISBLANK($D$5:$D$12)))</f>
        <v>1</v>
      </c>
      <c r="U2" s="155"/>
    </row>
    <row r="3" spans="1:21" ht="17.100000000000001" customHeight="1" thickBot="1" x14ac:dyDescent="0.3">
      <c r="B3" s="182" t="s">
        <v>71</v>
      </c>
      <c r="C3" s="183"/>
      <c r="D3" s="184" t="s">
        <v>72</v>
      </c>
      <c r="E3" s="185"/>
      <c r="G3" s="52"/>
      <c r="I3" s="51"/>
      <c r="J3" s="5"/>
      <c r="K3" s="52"/>
      <c r="L3" s="52"/>
      <c r="M3" s="52"/>
      <c r="N3" s="52"/>
      <c r="O3" s="52"/>
      <c r="P3" s="7"/>
      <c r="R3" s="169"/>
      <c r="S3" s="169"/>
      <c r="T3" s="156"/>
      <c r="U3" s="156"/>
    </row>
    <row r="4" spans="1:21" ht="17.100000000000001" customHeight="1" thickBot="1" x14ac:dyDescent="0.3">
      <c r="G4" s="87"/>
      <c r="I4" s="166" t="s">
        <v>7</v>
      </c>
      <c r="J4" s="167"/>
      <c r="K4" s="37">
        <f>(($D$6-$D$7))/29</f>
        <v>0.14310344827586208</v>
      </c>
      <c r="L4" s="53" t="s">
        <v>58</v>
      </c>
      <c r="M4" s="52"/>
      <c r="N4" s="135" t="s">
        <v>45</v>
      </c>
      <c r="O4" s="136"/>
      <c r="P4" s="48">
        <f>Estimate!L4</f>
        <v>642.22020614588871</v>
      </c>
    </row>
    <row r="5" spans="1:21" ht="17.100000000000001" customHeight="1" thickBot="1" x14ac:dyDescent="0.3">
      <c r="B5" s="151" t="s">
        <v>35</v>
      </c>
      <c r="C5" s="152"/>
      <c r="D5" s="42">
        <v>6</v>
      </c>
      <c r="E5" s="2" t="s">
        <v>54</v>
      </c>
      <c r="F5" s="188" t="s">
        <v>43</v>
      </c>
      <c r="G5" s="189"/>
      <c r="I5" s="141" t="s">
        <v>8</v>
      </c>
      <c r="J5" s="142"/>
      <c r="K5" s="38">
        <f>$M$16</f>
        <v>1103.146698363154</v>
      </c>
      <c r="L5" s="53"/>
      <c r="M5" s="52"/>
      <c r="N5" s="147" t="s">
        <v>46</v>
      </c>
      <c r="O5" s="148"/>
      <c r="P5" s="49">
        <f>Estimate!L5</f>
        <v>586.52275088831789</v>
      </c>
      <c r="R5" s="157" t="s">
        <v>52</v>
      </c>
      <c r="S5" s="158"/>
      <c r="T5" s="158"/>
      <c r="U5" s="159"/>
    </row>
    <row r="6" spans="1:21" ht="17.100000000000001" customHeight="1" thickBot="1" x14ac:dyDescent="0.3">
      <c r="B6" s="153" t="s">
        <v>36</v>
      </c>
      <c r="C6" s="154"/>
      <c r="D6" s="43">
        <v>6.9</v>
      </c>
      <c r="E6" s="2" t="s">
        <v>55</v>
      </c>
      <c r="F6" s="190"/>
      <c r="G6" s="191"/>
      <c r="I6" s="141" t="s">
        <v>9</v>
      </c>
      <c r="J6" s="142"/>
      <c r="K6" s="39">
        <f>PI()*Nozzle_Throat_Diameter^2/4</f>
        <v>4.0114996593688055</v>
      </c>
      <c r="L6" s="54" t="s">
        <v>42</v>
      </c>
      <c r="M6" s="52"/>
      <c r="N6" s="147" t="s">
        <v>47</v>
      </c>
      <c r="O6" s="148"/>
      <c r="P6" s="49">
        <f>Estimate!L6</f>
        <v>3972.2174780390969</v>
      </c>
      <c r="Q6" s="3"/>
      <c r="R6" s="160" t="str">
        <f>IF(ISNUMBER($D$5:$D$12), "", "Error: Input Values Must be Numerical")</f>
        <v/>
      </c>
      <c r="S6" s="161"/>
      <c r="T6" s="161"/>
      <c r="U6" s="162"/>
    </row>
    <row r="7" spans="1:21" ht="17.100000000000001" customHeight="1" x14ac:dyDescent="0.25">
      <c r="B7" s="153" t="s">
        <v>37</v>
      </c>
      <c r="C7" s="154"/>
      <c r="D7" s="64">
        <f>'Erosive Burning'!S5</f>
        <v>2.75</v>
      </c>
      <c r="E7" s="6" t="s">
        <v>55</v>
      </c>
      <c r="F7" s="192">
        <v>3</v>
      </c>
      <c r="G7" s="193"/>
      <c r="H7" s="2" t="s">
        <v>54</v>
      </c>
      <c r="I7" s="141" t="s">
        <v>10</v>
      </c>
      <c r="J7" s="142"/>
      <c r="K7" s="40">
        <f>$Q$16</f>
        <v>277.44592592592596</v>
      </c>
      <c r="L7" s="55"/>
      <c r="M7" s="52"/>
      <c r="N7" s="147" t="s">
        <v>48</v>
      </c>
      <c r="O7" s="148"/>
      <c r="P7" s="49">
        <f>Estimate!L7</f>
        <v>3600.3926776300841</v>
      </c>
      <c r="Q7" s="3"/>
      <c r="R7" s="163" t="str">
        <f>IF(NOT(ISBLANK($D$5:$D$12)),"", "Error: Must Enter All Input Values")</f>
        <v/>
      </c>
      <c r="S7" s="164"/>
      <c r="T7" s="164"/>
      <c r="U7" s="165"/>
    </row>
    <row r="8" spans="1:21" ht="17.100000000000001" customHeight="1" x14ac:dyDescent="0.25">
      <c r="B8" s="153" t="s">
        <v>38</v>
      </c>
      <c r="C8" s="154"/>
      <c r="D8" s="43">
        <v>14</v>
      </c>
      <c r="E8" s="2" t="s">
        <v>55</v>
      </c>
      <c r="F8" s="137">
        <v>3</v>
      </c>
      <c r="G8" s="138"/>
      <c r="H8" s="2" t="s">
        <v>54</v>
      </c>
      <c r="I8" s="141" t="s">
        <v>11</v>
      </c>
      <c r="J8" s="142"/>
      <c r="K8" s="40">
        <f>MAX(Q17:Q45)</f>
        <v>334.52647377460693</v>
      </c>
      <c r="L8" s="55"/>
      <c r="M8" s="52"/>
      <c r="N8" s="147" t="s">
        <v>49</v>
      </c>
      <c r="O8" s="148"/>
      <c r="P8" s="49">
        <f>Estimate!L8</f>
        <v>9.2368014748779306</v>
      </c>
      <c r="Q8" s="3"/>
      <c r="R8" s="163" t="str">
        <f>IF(ISNUMBER($F$7:$F$12), "", "Error: Grain Core Diameter Values Must be Numerical")</f>
        <v/>
      </c>
      <c r="S8" s="164"/>
      <c r="T8" s="164"/>
      <c r="U8" s="165"/>
    </row>
    <row r="9" spans="1:21" ht="17.100000000000001" customHeight="1" thickBot="1" x14ac:dyDescent="0.3">
      <c r="B9" s="153" t="s">
        <v>39</v>
      </c>
      <c r="C9" s="154"/>
      <c r="D9" s="43">
        <v>2.2599999999999998</v>
      </c>
      <c r="E9" s="2" t="s">
        <v>55</v>
      </c>
      <c r="F9" s="137">
        <v>3</v>
      </c>
      <c r="G9" s="138"/>
      <c r="H9" s="2" t="s">
        <v>54</v>
      </c>
      <c r="I9" s="143" t="s">
        <v>12</v>
      </c>
      <c r="J9" s="144"/>
      <c r="K9" s="41">
        <f>$Q$45</f>
        <v>322.20444444444445</v>
      </c>
      <c r="L9" s="55"/>
      <c r="M9" s="5"/>
      <c r="N9" s="147" t="s">
        <v>50</v>
      </c>
      <c r="O9" s="148"/>
      <c r="P9" s="49">
        <f>Estimate!L9</f>
        <v>32626.648861105939</v>
      </c>
      <c r="Q9" s="3"/>
      <c r="R9" s="163"/>
      <c r="S9" s="164"/>
      <c r="T9" s="164"/>
      <c r="U9" s="165"/>
    </row>
    <row r="10" spans="1:21" ht="17.100000000000001" customHeight="1" thickBot="1" x14ac:dyDescent="0.3">
      <c r="B10" s="153" t="s">
        <v>40</v>
      </c>
      <c r="C10" s="154"/>
      <c r="D10" s="64">
        <f>Nozzle_Throat_Diameter</f>
        <v>2.2599999999999998</v>
      </c>
      <c r="E10" s="2" t="s">
        <v>55</v>
      </c>
      <c r="F10" s="139">
        <v>3.4</v>
      </c>
      <c r="G10" s="140"/>
      <c r="H10" s="3" t="s">
        <v>54</v>
      </c>
      <c r="I10" s="51"/>
      <c r="J10" s="5"/>
      <c r="K10" s="56"/>
      <c r="L10" s="54"/>
      <c r="M10" s="52"/>
      <c r="N10" s="173" t="s">
        <v>51</v>
      </c>
      <c r="O10" s="174"/>
      <c r="P10" s="50">
        <f>MAX('Erosive Burning'!L14:L19)</f>
        <v>1.18406010621894</v>
      </c>
      <c r="R10" s="170"/>
      <c r="S10" s="171"/>
      <c r="T10" s="171"/>
      <c r="U10" s="172"/>
    </row>
    <row r="11" spans="1:21" ht="17.100000000000001" customHeight="1" thickBot="1" x14ac:dyDescent="0.3">
      <c r="B11" s="153" t="s">
        <v>41</v>
      </c>
      <c r="C11" s="154"/>
      <c r="D11" s="43">
        <v>6</v>
      </c>
      <c r="E11" s="2" t="s">
        <v>55</v>
      </c>
      <c r="F11" s="137">
        <v>3.8</v>
      </c>
      <c r="G11" s="138"/>
      <c r="H11" s="2" t="s">
        <v>54</v>
      </c>
      <c r="I11" s="145" t="s">
        <v>13</v>
      </c>
      <c r="J11" s="146"/>
      <c r="K11" s="44">
        <f>((D6*3)+D7)/2</f>
        <v>11.725000000000001</v>
      </c>
      <c r="L11" s="54" t="s">
        <v>14</v>
      </c>
      <c r="M11" s="52"/>
      <c r="N11" s="52"/>
      <c r="O11" s="52"/>
      <c r="P11" s="7"/>
    </row>
    <row r="12" spans="1:21" ht="17.100000000000001" customHeight="1" thickBot="1" x14ac:dyDescent="0.3">
      <c r="B12" s="180" t="s">
        <v>44</v>
      </c>
      <c r="C12" s="181"/>
      <c r="D12" s="100">
        <v>5.0000000000000001E-3</v>
      </c>
      <c r="E12" s="2" t="s">
        <v>55</v>
      </c>
      <c r="F12" s="133">
        <v>4.3</v>
      </c>
      <c r="G12" s="134"/>
      <c r="H12" s="2" t="s">
        <v>54</v>
      </c>
      <c r="I12" s="51"/>
      <c r="J12" s="52"/>
      <c r="K12" s="52"/>
      <c r="L12" s="52"/>
      <c r="M12" s="135" t="s">
        <v>136</v>
      </c>
      <c r="N12" s="136"/>
      <c r="O12" s="194" t="s">
        <v>17</v>
      </c>
      <c r="P12" s="195"/>
    </row>
    <row r="13" spans="1:21" ht="17.100000000000001" customHeight="1" thickBot="1" x14ac:dyDescent="0.3">
      <c r="B13" s="175" t="s">
        <v>125</v>
      </c>
      <c r="C13" s="176"/>
      <c r="D13" s="68">
        <f>(D10-D9)/29</f>
        <v>0</v>
      </c>
      <c r="I13" s="57"/>
      <c r="J13" s="58"/>
      <c r="K13" s="58"/>
      <c r="L13" s="58"/>
      <c r="M13" s="173" t="s">
        <v>137</v>
      </c>
      <c r="N13" s="174"/>
      <c r="O13" s="196">
        <f>(36800+18400)/2</f>
        <v>27600</v>
      </c>
      <c r="P13" s="197"/>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6.9</v>
      </c>
      <c r="E16" s="9">
        <f>$D8-C16</f>
        <v>14</v>
      </c>
      <c r="F16" s="11">
        <f>$D7+C16</f>
        <v>2.75</v>
      </c>
      <c r="G16" s="12">
        <f t="shared" ref="G16:G45" si="0">(D16*(PI())*E16)</f>
        <v>303.47785033677405</v>
      </c>
      <c r="H16" s="12">
        <f t="shared" ref="H16:H45" si="1">((D16/2)^2)*PI()</f>
        <v>37.392806559352515</v>
      </c>
      <c r="I16" s="12">
        <f t="shared" ref="I16:I45" si="2">((F16/2)^2)*PI()</f>
        <v>5.9395736106932029</v>
      </c>
      <c r="J16" s="12">
        <f t="shared" ref="J16:J45" si="3">H16-I16</f>
        <v>31.453232948659313</v>
      </c>
      <c r="K16" s="12">
        <f t="shared" ref="K16:K45" si="4">(F16*PI())*E16</f>
        <v>120.95131716320702</v>
      </c>
      <c r="L16" s="12">
        <f t="shared" ref="L16:L45" si="5">(J16*2)+K16</f>
        <v>183.85778306052566</v>
      </c>
      <c r="M16" s="12">
        <f>L16*D5</f>
        <v>1103.146698363154</v>
      </c>
      <c r="N16" s="13">
        <f t="shared" ref="N16:N45" si="6">(D16-F16)*0.5</f>
        <v>2.0750000000000002</v>
      </c>
      <c r="O16" s="24">
        <f t="shared" ref="O16:O45" si="7">Nozzle_Throat_Diameter-boundry_layer*2+B16*$D$13</f>
        <v>2.25</v>
      </c>
      <c r="P16" s="14">
        <f t="shared" ref="P16:P45" si="8">PI()*O16^2/4</f>
        <v>3.9760782021995817</v>
      </c>
      <c r="Q16" s="15">
        <f t="shared" ref="Q16:Q45" si="9">M16/(P16)</f>
        <v>277.44592592592596</v>
      </c>
      <c r="R16" s="16">
        <f t="shared" ref="R16:R45" si="10">Nozzle_Throat_Diameter+B16*S$6</f>
        <v>2.2599999999999998</v>
      </c>
      <c r="S16" s="17">
        <f t="shared" ref="S16:S45" si="11">PI()*R16^2/4</f>
        <v>4.0114996593688055</v>
      </c>
    </row>
    <row r="17" spans="2:19" ht="12.75" customHeight="1" x14ac:dyDescent="0.25">
      <c r="B17" s="18">
        <v>1</v>
      </c>
      <c r="C17" s="19">
        <f>B17*K4</f>
        <v>0.14310344827586208</v>
      </c>
      <c r="D17" s="20">
        <f>D6</f>
        <v>6.9</v>
      </c>
      <c r="E17" s="19">
        <f>$D8-C17</f>
        <v>13.856896551724137</v>
      </c>
      <c r="F17" s="21">
        <f>$D7+C17</f>
        <v>2.8931034482758622</v>
      </c>
      <c r="G17" s="22">
        <f t="shared" si="0"/>
        <v>300.375798418307</v>
      </c>
      <c r="H17" s="22">
        <f t="shared" si="1"/>
        <v>37.392806559352515</v>
      </c>
      <c r="I17" s="22">
        <f t="shared" si="2"/>
        <v>6.5738199830784216</v>
      </c>
      <c r="J17" s="22">
        <f t="shared" si="3"/>
        <v>30.818986576274092</v>
      </c>
      <c r="K17" s="22">
        <f t="shared" si="4"/>
        <v>125.94467509893032</v>
      </c>
      <c r="L17" s="22">
        <f t="shared" si="5"/>
        <v>187.5826482514785</v>
      </c>
      <c r="M17" s="22">
        <f>L17*D5</f>
        <v>1125.495889508871</v>
      </c>
      <c r="N17" s="23">
        <f t="shared" si="6"/>
        <v>2.0034482758620689</v>
      </c>
      <c r="O17" s="24">
        <f t="shared" si="7"/>
        <v>2.25</v>
      </c>
      <c r="P17" s="24">
        <f>PI()*O17^2/4</f>
        <v>3.9760782021995817</v>
      </c>
      <c r="Q17" s="25">
        <f t="shared" si="9"/>
        <v>283.06683930065617</v>
      </c>
      <c r="R17" s="26">
        <f t="shared" si="10"/>
        <v>2.2599999999999998</v>
      </c>
      <c r="S17" s="27">
        <f t="shared" si="11"/>
        <v>4.0114996593688055</v>
      </c>
    </row>
    <row r="18" spans="2:19" ht="12.75" customHeight="1" x14ac:dyDescent="0.25">
      <c r="B18" s="18">
        <v>2</v>
      </c>
      <c r="C18" s="19">
        <f>B18*K4</f>
        <v>0.28620689655172415</v>
      </c>
      <c r="D18" s="20">
        <f>D6</f>
        <v>6.9</v>
      </c>
      <c r="E18" s="19">
        <f>$D8-C18</f>
        <v>13.713793103448277</v>
      </c>
      <c r="F18" s="21">
        <f>$D7+C18</f>
        <v>3.0362068965517244</v>
      </c>
      <c r="G18" s="22">
        <f t="shared" si="0"/>
        <v>297.27374649984</v>
      </c>
      <c r="H18" s="22">
        <f t="shared" si="1"/>
        <v>37.392806559352515</v>
      </c>
      <c r="I18" s="22">
        <f t="shared" si="2"/>
        <v>7.240234060265335</v>
      </c>
      <c r="J18" s="22">
        <f t="shared" si="3"/>
        <v>30.152572499087178</v>
      </c>
      <c r="K18" s="22">
        <f t="shared" si="4"/>
        <v>130.80936221544684</v>
      </c>
      <c r="L18" s="22">
        <f t="shared" si="5"/>
        <v>191.11450721362121</v>
      </c>
      <c r="M18" s="22">
        <f>L18*D5</f>
        <v>1146.6870432817273</v>
      </c>
      <c r="N18" s="23">
        <f t="shared" si="6"/>
        <v>1.931896551724138</v>
      </c>
      <c r="O18" s="24">
        <f t="shared" si="7"/>
        <v>2.25</v>
      </c>
      <c r="P18" s="24">
        <f t="shared" si="8"/>
        <v>3.9760782021995817</v>
      </c>
      <c r="Q18" s="25">
        <f t="shared" si="9"/>
        <v>288.3965015193553</v>
      </c>
      <c r="R18" s="26">
        <f t="shared" si="10"/>
        <v>2.2599999999999998</v>
      </c>
      <c r="S18" s="27">
        <f t="shared" si="11"/>
        <v>4.0114996593688055</v>
      </c>
    </row>
    <row r="19" spans="2:19" ht="12.75" customHeight="1" x14ac:dyDescent="0.25">
      <c r="B19" s="18">
        <v>3</v>
      </c>
      <c r="C19" s="19">
        <f>B19*K4</f>
        <v>0.42931034482758623</v>
      </c>
      <c r="D19" s="20">
        <f>D6</f>
        <v>6.9</v>
      </c>
      <c r="E19" s="19">
        <f>$D8-C19</f>
        <v>13.570689655172414</v>
      </c>
      <c r="F19" s="21">
        <f>$D7+C19</f>
        <v>3.1793103448275861</v>
      </c>
      <c r="G19" s="22">
        <f t="shared" si="0"/>
        <v>294.17169458137295</v>
      </c>
      <c r="H19" s="22">
        <f t="shared" si="1"/>
        <v>37.392806559352515</v>
      </c>
      <c r="I19" s="22">
        <f t="shared" si="2"/>
        <v>7.9388158422539403</v>
      </c>
      <c r="J19" s="22">
        <f t="shared" si="3"/>
        <v>29.453990717098574</v>
      </c>
      <c r="K19" s="22">
        <f t="shared" si="4"/>
        <v>135.54537851275654</v>
      </c>
      <c r="L19" s="22">
        <f t="shared" si="5"/>
        <v>194.4533599469537</v>
      </c>
      <c r="M19" s="22">
        <f>L19*D5</f>
        <v>1166.7201596817222</v>
      </c>
      <c r="N19" s="23">
        <f t="shared" si="6"/>
        <v>1.8603448275862071</v>
      </c>
      <c r="O19" s="24">
        <f t="shared" si="7"/>
        <v>2.25</v>
      </c>
      <c r="P19" s="24">
        <f>PI()*O19^2/4</f>
        <v>3.9760782021995817</v>
      </c>
      <c r="Q19" s="25">
        <f t="shared" si="9"/>
        <v>293.43491258202317</v>
      </c>
      <c r="R19" s="26">
        <f t="shared" si="10"/>
        <v>2.2599999999999998</v>
      </c>
      <c r="S19" s="27">
        <f t="shared" si="11"/>
        <v>4.0114996593688055</v>
      </c>
    </row>
    <row r="20" spans="2:19" ht="12.75" customHeight="1" x14ac:dyDescent="0.25">
      <c r="B20" s="18">
        <v>4</v>
      </c>
      <c r="C20" s="19">
        <f>B20*K4</f>
        <v>0.57241379310344831</v>
      </c>
      <c r="D20" s="20">
        <f>D6</f>
        <v>6.9</v>
      </c>
      <c r="E20" s="19">
        <f>$D8-C20</f>
        <v>13.427586206896551</v>
      </c>
      <c r="F20" s="21">
        <f>$D7+C20</f>
        <v>3.3224137931034483</v>
      </c>
      <c r="G20" s="22">
        <f t="shared" si="0"/>
        <v>291.06964266290595</v>
      </c>
      <c r="H20" s="22">
        <f t="shared" si="1"/>
        <v>37.392806559352515</v>
      </c>
      <c r="I20" s="22">
        <f t="shared" si="2"/>
        <v>8.6695653290442429</v>
      </c>
      <c r="J20" s="22">
        <f t="shared" si="3"/>
        <v>28.723241230308272</v>
      </c>
      <c r="K20" s="22">
        <f t="shared" si="4"/>
        <v>140.1527239908595</v>
      </c>
      <c r="L20" s="22">
        <f t="shared" si="5"/>
        <v>197.59920645147605</v>
      </c>
      <c r="M20" s="22">
        <f>L20*D5</f>
        <v>1185.5952387088564</v>
      </c>
      <c r="N20" s="23">
        <f t="shared" si="6"/>
        <v>1.788793103448276</v>
      </c>
      <c r="O20" s="24">
        <f t="shared" si="7"/>
        <v>2.25</v>
      </c>
      <c r="P20" s="24">
        <f t="shared" si="8"/>
        <v>3.9760782021995817</v>
      </c>
      <c r="Q20" s="25">
        <f t="shared" si="9"/>
        <v>298.18207248865997</v>
      </c>
      <c r="R20" s="26">
        <f t="shared" si="10"/>
        <v>2.2599999999999998</v>
      </c>
      <c r="S20" s="27">
        <f t="shared" si="11"/>
        <v>4.0114996593688055</v>
      </c>
    </row>
    <row r="21" spans="2:19" ht="12.75" customHeight="1" x14ac:dyDescent="0.25">
      <c r="B21" s="18">
        <v>5</v>
      </c>
      <c r="C21" s="19">
        <f>B21*K4</f>
        <v>0.71551724137931039</v>
      </c>
      <c r="D21" s="20">
        <f>D6</f>
        <v>6.9</v>
      </c>
      <c r="E21" s="19">
        <f>$D8-C21</f>
        <v>13.28448275862069</v>
      </c>
      <c r="F21" s="21">
        <f>$D7+C21</f>
        <v>3.4655172413793105</v>
      </c>
      <c r="G21" s="22">
        <f t="shared" si="0"/>
        <v>287.96759074443895</v>
      </c>
      <c r="H21" s="22">
        <f t="shared" si="1"/>
        <v>37.392806559352515</v>
      </c>
      <c r="I21" s="22">
        <f t="shared" si="2"/>
        <v>9.4324825206362402</v>
      </c>
      <c r="J21" s="22">
        <f t="shared" si="3"/>
        <v>27.960324038716273</v>
      </c>
      <c r="K21" s="22">
        <f t="shared" si="4"/>
        <v>144.63139864975568</v>
      </c>
      <c r="L21" s="22">
        <f t="shared" si="5"/>
        <v>200.55204672718821</v>
      </c>
      <c r="M21" s="22">
        <f>L21*D5</f>
        <v>1203.3122803631293</v>
      </c>
      <c r="N21" s="23">
        <f t="shared" si="6"/>
        <v>1.7172413793103449</v>
      </c>
      <c r="O21" s="24">
        <f t="shared" si="7"/>
        <v>2.25</v>
      </c>
      <c r="P21" s="24">
        <f t="shared" si="8"/>
        <v>3.9760782021995817</v>
      </c>
      <c r="Q21" s="25">
        <f t="shared" si="9"/>
        <v>302.63798123926546</v>
      </c>
      <c r="R21" s="26">
        <f t="shared" si="10"/>
        <v>2.2599999999999998</v>
      </c>
      <c r="S21" s="27">
        <f t="shared" si="11"/>
        <v>4.0114996593688055</v>
      </c>
    </row>
    <row r="22" spans="2:19" ht="12.75" customHeight="1" x14ac:dyDescent="0.25">
      <c r="B22" s="18">
        <v>6</v>
      </c>
      <c r="C22" s="19">
        <f>B22*K4</f>
        <v>0.85862068965517246</v>
      </c>
      <c r="D22" s="20">
        <f>D6</f>
        <v>6.9</v>
      </c>
      <c r="E22" s="19">
        <f>$D8-C22</f>
        <v>13.141379310344828</v>
      </c>
      <c r="F22" s="21">
        <f>$D7+C22</f>
        <v>3.6086206896551722</v>
      </c>
      <c r="G22" s="22">
        <f t="shared" si="0"/>
        <v>284.8655388259719</v>
      </c>
      <c r="H22" s="22">
        <f t="shared" si="1"/>
        <v>37.392806559352515</v>
      </c>
      <c r="I22" s="22">
        <f t="shared" si="2"/>
        <v>10.227567417029928</v>
      </c>
      <c r="J22" s="22">
        <f t="shared" si="3"/>
        <v>27.165239142322587</v>
      </c>
      <c r="K22" s="22">
        <f t="shared" si="4"/>
        <v>148.98140248944506</v>
      </c>
      <c r="L22" s="22">
        <f t="shared" si="5"/>
        <v>203.31188077409024</v>
      </c>
      <c r="M22" s="22">
        <f>L22*D5</f>
        <v>1219.8712846445414</v>
      </c>
      <c r="N22" s="23">
        <f t="shared" si="6"/>
        <v>1.6456896551724141</v>
      </c>
      <c r="O22" s="24">
        <f t="shared" si="7"/>
        <v>2.25</v>
      </c>
      <c r="P22" s="24">
        <f t="shared" si="8"/>
        <v>3.9760782021995817</v>
      </c>
      <c r="Q22" s="25">
        <f t="shared" si="9"/>
        <v>306.80263883383981</v>
      </c>
      <c r="R22" s="26">
        <f t="shared" si="10"/>
        <v>2.2599999999999998</v>
      </c>
      <c r="S22" s="27">
        <f t="shared" si="11"/>
        <v>4.0114996593688055</v>
      </c>
    </row>
    <row r="23" spans="2:19" ht="12.75" customHeight="1" x14ac:dyDescent="0.25">
      <c r="B23" s="18">
        <v>7</v>
      </c>
      <c r="C23" s="19">
        <f>B23*K4</f>
        <v>1.0017241379310344</v>
      </c>
      <c r="D23" s="20">
        <f>D6</f>
        <v>6.9</v>
      </c>
      <c r="E23" s="19">
        <f>$D8-C23</f>
        <v>12.998275862068965</v>
      </c>
      <c r="F23" s="21">
        <f>$D7+C23</f>
        <v>3.7517241379310344</v>
      </c>
      <c r="G23" s="22">
        <f t="shared" si="0"/>
        <v>281.76348690750484</v>
      </c>
      <c r="H23" s="22">
        <f t="shared" si="1"/>
        <v>37.392806559352515</v>
      </c>
      <c r="I23" s="22">
        <f t="shared" si="2"/>
        <v>11.054820018225316</v>
      </c>
      <c r="J23" s="22">
        <f t="shared" si="3"/>
        <v>26.337986541127201</v>
      </c>
      <c r="K23" s="22">
        <f t="shared" si="4"/>
        <v>153.20273550992766</v>
      </c>
      <c r="L23" s="22">
        <f t="shared" si="5"/>
        <v>205.87870859218208</v>
      </c>
      <c r="M23" s="22">
        <f>L23*D5</f>
        <v>1235.2722515530925</v>
      </c>
      <c r="N23" s="23">
        <f t="shared" si="6"/>
        <v>1.574137931034483</v>
      </c>
      <c r="O23" s="24">
        <f t="shared" si="7"/>
        <v>2.25</v>
      </c>
      <c r="P23" s="24">
        <f t="shared" si="8"/>
        <v>3.9760782021995817</v>
      </c>
      <c r="Q23" s="25">
        <f t="shared" si="9"/>
        <v>310.67604527238302</v>
      </c>
      <c r="R23" s="26">
        <f t="shared" si="10"/>
        <v>2.2599999999999998</v>
      </c>
      <c r="S23" s="27">
        <f t="shared" si="11"/>
        <v>4.0114996593688055</v>
      </c>
    </row>
    <row r="24" spans="2:19" ht="12.75" customHeight="1" x14ac:dyDescent="0.25">
      <c r="B24" s="18">
        <v>8</v>
      </c>
      <c r="C24" s="19">
        <f>B24*K4</f>
        <v>1.1448275862068966</v>
      </c>
      <c r="D24" s="20">
        <f>D6</f>
        <v>6.9</v>
      </c>
      <c r="E24" s="19">
        <f>$D8-C24</f>
        <v>12.855172413793102</v>
      </c>
      <c r="F24" s="21">
        <f>$D7+C24</f>
        <v>3.8948275862068966</v>
      </c>
      <c r="G24" s="22">
        <f t="shared" si="0"/>
        <v>278.66143498903784</v>
      </c>
      <c r="H24" s="22">
        <f t="shared" si="1"/>
        <v>37.392806559352515</v>
      </c>
      <c r="I24" s="22">
        <f t="shared" si="2"/>
        <v>11.914240324222396</v>
      </c>
      <c r="J24" s="22">
        <f t="shared" si="3"/>
        <v>25.478566235130117</v>
      </c>
      <c r="K24" s="22">
        <f t="shared" si="4"/>
        <v>157.29539771120349</v>
      </c>
      <c r="L24" s="22">
        <f t="shared" si="5"/>
        <v>208.25253018146373</v>
      </c>
      <c r="M24" s="22">
        <f>L24*D5</f>
        <v>1249.5151810887824</v>
      </c>
      <c r="N24" s="23">
        <f t="shared" si="6"/>
        <v>1.5025862068965519</v>
      </c>
      <c r="O24" s="24">
        <f t="shared" si="7"/>
        <v>2.25</v>
      </c>
      <c r="P24" s="24">
        <f t="shared" si="8"/>
        <v>3.9760782021995817</v>
      </c>
      <c r="Q24" s="25">
        <f t="shared" si="9"/>
        <v>314.25820055489498</v>
      </c>
      <c r="R24" s="26">
        <f t="shared" si="10"/>
        <v>2.2599999999999998</v>
      </c>
      <c r="S24" s="27">
        <f t="shared" si="11"/>
        <v>4.0114996593688055</v>
      </c>
    </row>
    <row r="25" spans="2:19" ht="12.75" customHeight="1" x14ac:dyDescent="0.25">
      <c r="B25" s="18">
        <v>9</v>
      </c>
      <c r="C25" s="19">
        <f>B25*K4</f>
        <v>1.2879310344827588</v>
      </c>
      <c r="D25" s="20">
        <f>D6</f>
        <v>6.9</v>
      </c>
      <c r="E25" s="19">
        <f>$D8-C25</f>
        <v>12.712068965517242</v>
      </c>
      <c r="F25" s="21">
        <f>$D7+C25</f>
        <v>4.0379310344827584</v>
      </c>
      <c r="G25" s="22">
        <f t="shared" si="0"/>
        <v>275.55938307057085</v>
      </c>
      <c r="H25" s="22">
        <f t="shared" si="1"/>
        <v>37.392806559352515</v>
      </c>
      <c r="I25" s="22">
        <f t="shared" si="2"/>
        <v>12.805828335021168</v>
      </c>
      <c r="J25" s="22">
        <f t="shared" si="3"/>
        <v>24.586978224331347</v>
      </c>
      <c r="K25" s="22">
        <f t="shared" si="4"/>
        <v>161.25938909327255</v>
      </c>
      <c r="L25" s="22">
        <f t="shared" si="5"/>
        <v>210.43334554193524</v>
      </c>
      <c r="M25" s="22">
        <f>L25*D5</f>
        <v>1262.6000732516113</v>
      </c>
      <c r="N25" s="23">
        <f t="shared" si="6"/>
        <v>1.431034482758621</v>
      </c>
      <c r="O25" s="24">
        <f t="shared" si="7"/>
        <v>2.25</v>
      </c>
      <c r="P25" s="24">
        <f t="shared" si="8"/>
        <v>3.9760782021995817</v>
      </c>
      <c r="Q25" s="25">
        <f t="shared" si="9"/>
        <v>317.54910468137575</v>
      </c>
      <c r="R25" s="26">
        <f t="shared" si="10"/>
        <v>2.2599999999999998</v>
      </c>
      <c r="S25" s="27">
        <f t="shared" si="11"/>
        <v>4.0114996593688055</v>
      </c>
    </row>
    <row r="26" spans="2:19" ht="12.75" customHeight="1" x14ac:dyDescent="0.25">
      <c r="B26" s="18">
        <v>10</v>
      </c>
      <c r="C26" s="19">
        <f>B26*K4</f>
        <v>1.4310344827586208</v>
      </c>
      <c r="D26" s="20">
        <f>D6</f>
        <v>6.9</v>
      </c>
      <c r="E26" s="19">
        <f>$D8-C26</f>
        <v>12.568965517241379</v>
      </c>
      <c r="F26" s="21">
        <f>$D7+C26</f>
        <v>4.181034482758621</v>
      </c>
      <c r="G26" s="22">
        <f t="shared" si="0"/>
        <v>272.45733115210379</v>
      </c>
      <c r="H26" s="22">
        <f t="shared" si="1"/>
        <v>37.392806559352515</v>
      </c>
      <c r="I26" s="22">
        <f t="shared" si="2"/>
        <v>13.729584050621641</v>
      </c>
      <c r="J26" s="22">
        <f t="shared" si="3"/>
        <v>23.663222508730875</v>
      </c>
      <c r="K26" s="22">
        <f t="shared" si="4"/>
        <v>165.09470965613485</v>
      </c>
      <c r="L26" s="22">
        <f t="shared" si="5"/>
        <v>212.42115467359662</v>
      </c>
      <c r="M26" s="22">
        <f>L26*D5</f>
        <v>1274.5269280415796</v>
      </c>
      <c r="N26" s="23">
        <f t="shared" si="6"/>
        <v>1.3594827586206897</v>
      </c>
      <c r="O26" s="24">
        <f t="shared" si="7"/>
        <v>2.25</v>
      </c>
      <c r="P26" s="24">
        <f t="shared" si="8"/>
        <v>3.9760782021995817</v>
      </c>
      <c r="Q26" s="25">
        <f t="shared" si="9"/>
        <v>320.54875765182544</v>
      </c>
      <c r="R26" s="26">
        <f t="shared" si="10"/>
        <v>2.2599999999999998</v>
      </c>
      <c r="S26" s="27">
        <f t="shared" si="11"/>
        <v>4.0114996593688055</v>
      </c>
    </row>
    <row r="27" spans="2:19" ht="12.75" customHeight="1" x14ac:dyDescent="0.25">
      <c r="B27" s="18">
        <v>11</v>
      </c>
      <c r="C27" s="19">
        <f>B27*K4</f>
        <v>1.5741379310344827</v>
      </c>
      <c r="D27" s="20">
        <f>D6</f>
        <v>6.9</v>
      </c>
      <c r="E27" s="19">
        <f>$D8-C27</f>
        <v>12.425862068965518</v>
      </c>
      <c r="F27" s="21">
        <f>$D7+C27</f>
        <v>4.3241379310344827</v>
      </c>
      <c r="G27" s="22">
        <f t="shared" si="0"/>
        <v>269.35527923363679</v>
      </c>
      <c r="H27" s="22">
        <f t="shared" si="1"/>
        <v>37.392806559352515</v>
      </c>
      <c r="I27" s="22">
        <f t="shared" si="2"/>
        <v>14.685507471023802</v>
      </c>
      <c r="J27" s="22">
        <f t="shared" si="3"/>
        <v>22.70729908832871</v>
      </c>
      <c r="K27" s="22">
        <f t="shared" si="4"/>
        <v>168.80135939979036</v>
      </c>
      <c r="L27" s="22">
        <f t="shared" si="5"/>
        <v>214.21595757644778</v>
      </c>
      <c r="M27" s="22">
        <f>L27*D5</f>
        <v>1285.2957454586867</v>
      </c>
      <c r="N27" s="23">
        <f t="shared" si="6"/>
        <v>1.2879310344827588</v>
      </c>
      <c r="O27" s="24">
        <f t="shared" si="7"/>
        <v>2.25</v>
      </c>
      <c r="P27" s="24">
        <f t="shared" si="8"/>
        <v>3.9760782021995817</v>
      </c>
      <c r="Q27" s="25">
        <f t="shared" si="9"/>
        <v>323.25715946624393</v>
      </c>
      <c r="R27" s="26">
        <f t="shared" si="10"/>
        <v>2.2599999999999998</v>
      </c>
      <c r="S27" s="27">
        <f t="shared" si="11"/>
        <v>4.0114996593688055</v>
      </c>
    </row>
    <row r="28" spans="2:19" ht="12.75" customHeight="1" x14ac:dyDescent="0.25">
      <c r="B28" s="18">
        <v>12</v>
      </c>
      <c r="C28" s="19">
        <f>B28*K4</f>
        <v>1.7172413793103449</v>
      </c>
      <c r="D28" s="20">
        <f>D6</f>
        <v>6.9</v>
      </c>
      <c r="E28" s="19">
        <f>$D8-C28</f>
        <v>12.282758620689656</v>
      </c>
      <c r="F28" s="21">
        <f>$D7+C28</f>
        <v>4.4672413793103445</v>
      </c>
      <c r="G28" s="22">
        <f t="shared" si="0"/>
        <v>266.25322731516974</v>
      </c>
      <c r="H28" s="22">
        <f t="shared" si="1"/>
        <v>37.392806559352515</v>
      </c>
      <c r="I28" s="22">
        <f t="shared" si="2"/>
        <v>15.673598596227658</v>
      </c>
      <c r="J28" s="22">
        <f t="shared" si="3"/>
        <v>21.719207963124859</v>
      </c>
      <c r="K28" s="22">
        <f t="shared" si="4"/>
        <v>172.37933832423906</v>
      </c>
      <c r="L28" s="22">
        <f t="shared" si="5"/>
        <v>215.81775425048878</v>
      </c>
      <c r="M28" s="22">
        <f>L28*D5</f>
        <v>1294.9065255029327</v>
      </c>
      <c r="N28" s="23">
        <f t="shared" si="6"/>
        <v>1.2163793103448279</v>
      </c>
      <c r="O28" s="24">
        <f t="shared" si="7"/>
        <v>2.25</v>
      </c>
      <c r="P28" s="24">
        <f t="shared" si="8"/>
        <v>3.9760782021995817</v>
      </c>
      <c r="Q28" s="25">
        <f t="shared" si="9"/>
        <v>325.67431012463123</v>
      </c>
      <c r="R28" s="26">
        <f t="shared" si="10"/>
        <v>2.2599999999999998</v>
      </c>
      <c r="S28" s="27">
        <f t="shared" si="11"/>
        <v>4.0114996593688055</v>
      </c>
    </row>
    <row r="29" spans="2:19" ht="12.75" customHeight="1" x14ac:dyDescent="0.25">
      <c r="B29" s="18">
        <v>13</v>
      </c>
      <c r="C29" s="19">
        <f>B29*K4</f>
        <v>1.8603448275862071</v>
      </c>
      <c r="D29" s="20">
        <f>D6</f>
        <v>6.9</v>
      </c>
      <c r="E29" s="19">
        <f>$D8-C29</f>
        <v>12.139655172413793</v>
      </c>
      <c r="F29" s="21">
        <f>$D7+C29</f>
        <v>4.6103448275862071</v>
      </c>
      <c r="G29" s="22">
        <f t="shared" si="0"/>
        <v>263.15117539670268</v>
      </c>
      <c r="H29" s="22">
        <f t="shared" si="1"/>
        <v>37.392806559352515</v>
      </c>
      <c r="I29" s="22">
        <f t="shared" si="2"/>
        <v>16.693857426233215</v>
      </c>
      <c r="J29" s="22">
        <f t="shared" si="3"/>
        <v>20.698949133119299</v>
      </c>
      <c r="K29" s="22">
        <f t="shared" si="4"/>
        <v>175.82864642948101</v>
      </c>
      <c r="L29" s="22">
        <f t="shared" si="5"/>
        <v>217.22654469571961</v>
      </c>
      <c r="M29" s="22">
        <f>L29*D5</f>
        <v>1303.3592681743175</v>
      </c>
      <c r="N29" s="23">
        <f t="shared" si="6"/>
        <v>1.1448275862068966</v>
      </c>
      <c r="O29" s="24">
        <f t="shared" si="7"/>
        <v>2.25</v>
      </c>
      <c r="P29" s="24">
        <f t="shared" si="8"/>
        <v>3.9760782021995817</v>
      </c>
      <c r="Q29" s="25">
        <f t="shared" si="9"/>
        <v>327.80020962698728</v>
      </c>
      <c r="R29" s="26">
        <f t="shared" si="10"/>
        <v>2.2599999999999998</v>
      </c>
      <c r="S29" s="27">
        <f t="shared" si="11"/>
        <v>4.0114996593688055</v>
      </c>
    </row>
    <row r="30" spans="2:19" ht="12.75" customHeight="1" x14ac:dyDescent="0.25">
      <c r="B30" s="18">
        <v>14</v>
      </c>
      <c r="C30" s="19">
        <f>B30*K4</f>
        <v>2.0034482758620689</v>
      </c>
      <c r="D30" s="20">
        <f>D6</f>
        <v>6.9</v>
      </c>
      <c r="E30" s="19">
        <f>$D8-C30</f>
        <v>11.99655172413793</v>
      </c>
      <c r="F30" s="21">
        <f>$D7+C30</f>
        <v>4.7534482758620689</v>
      </c>
      <c r="G30" s="22">
        <f t="shared" si="0"/>
        <v>260.04912347823569</v>
      </c>
      <c r="H30" s="22">
        <f t="shared" si="1"/>
        <v>37.392806559352515</v>
      </c>
      <c r="I30" s="22">
        <f t="shared" si="2"/>
        <v>17.746283961040458</v>
      </c>
      <c r="J30" s="22">
        <f t="shared" si="3"/>
        <v>19.646522598312057</v>
      </c>
      <c r="K30" s="22">
        <f t="shared" si="4"/>
        <v>179.14928371551613</v>
      </c>
      <c r="L30" s="22">
        <f t="shared" si="5"/>
        <v>218.44232891214025</v>
      </c>
      <c r="M30" s="22">
        <f>L30*D5</f>
        <v>1310.6539734728415</v>
      </c>
      <c r="N30" s="23">
        <f t="shared" si="6"/>
        <v>1.0732758620689657</v>
      </c>
      <c r="O30" s="24">
        <f t="shared" si="7"/>
        <v>2.25</v>
      </c>
      <c r="P30" s="24">
        <f t="shared" si="8"/>
        <v>3.9760782021995817</v>
      </c>
      <c r="Q30" s="25">
        <f t="shared" si="9"/>
        <v>329.63485797331214</v>
      </c>
      <c r="R30" s="26">
        <f t="shared" si="10"/>
        <v>2.2599999999999998</v>
      </c>
      <c r="S30" s="27">
        <f t="shared" si="11"/>
        <v>4.0114996593688055</v>
      </c>
    </row>
    <row r="31" spans="2:19" ht="12.75" customHeight="1" x14ac:dyDescent="0.25">
      <c r="B31" s="18">
        <v>15</v>
      </c>
      <c r="C31" s="19">
        <f>B31*K4</f>
        <v>2.146551724137931</v>
      </c>
      <c r="D31" s="20">
        <f>D6</f>
        <v>6.9</v>
      </c>
      <c r="E31" s="19">
        <f>$D8-C31</f>
        <v>11.853448275862069</v>
      </c>
      <c r="F31" s="21">
        <f>$D7+C31</f>
        <v>4.8965517241379306</v>
      </c>
      <c r="G31" s="22">
        <f t="shared" si="0"/>
        <v>256.94707155976869</v>
      </c>
      <c r="H31" s="22">
        <f t="shared" si="1"/>
        <v>37.392806559352515</v>
      </c>
      <c r="I31" s="22">
        <f t="shared" si="2"/>
        <v>18.830878200649401</v>
      </c>
      <c r="J31" s="22">
        <f t="shared" si="3"/>
        <v>18.561928358703113</v>
      </c>
      <c r="K31" s="22">
        <f t="shared" si="4"/>
        <v>182.34125018234454</v>
      </c>
      <c r="L31" s="22">
        <f t="shared" si="5"/>
        <v>219.46510689975077</v>
      </c>
      <c r="M31" s="22">
        <f>L31*D5</f>
        <v>1316.7906413985047</v>
      </c>
      <c r="N31" s="23">
        <f t="shared" si="6"/>
        <v>1.0017241379310349</v>
      </c>
      <c r="O31" s="24">
        <f t="shared" si="7"/>
        <v>2.25</v>
      </c>
      <c r="P31" s="24">
        <f t="shared" si="8"/>
        <v>3.9760782021995817</v>
      </c>
      <c r="Q31" s="25">
        <f t="shared" si="9"/>
        <v>331.17825516360597</v>
      </c>
      <c r="R31" s="26">
        <f t="shared" si="10"/>
        <v>2.2599999999999998</v>
      </c>
      <c r="S31" s="27">
        <f t="shared" si="11"/>
        <v>4.0114996593688055</v>
      </c>
    </row>
    <row r="32" spans="2:19" ht="12.75" customHeight="1" x14ac:dyDescent="0.25">
      <c r="B32" s="18">
        <v>16</v>
      </c>
      <c r="C32" s="19">
        <f>B32*K4</f>
        <v>2.2896551724137932</v>
      </c>
      <c r="D32" s="20">
        <f>D6</f>
        <v>6.9</v>
      </c>
      <c r="E32" s="19">
        <f>$D8-C32</f>
        <v>11.710344827586207</v>
      </c>
      <c r="F32" s="21">
        <f>$D7+C32</f>
        <v>5.0396551724137932</v>
      </c>
      <c r="G32" s="22">
        <f t="shared" si="0"/>
        <v>253.84501964130163</v>
      </c>
      <c r="H32" s="22">
        <f t="shared" si="1"/>
        <v>37.392806559352515</v>
      </c>
      <c r="I32" s="22">
        <f t="shared" si="2"/>
        <v>19.947640145060038</v>
      </c>
      <c r="J32" s="22">
        <f t="shared" si="3"/>
        <v>17.445166414292476</v>
      </c>
      <c r="K32" s="22">
        <f t="shared" si="4"/>
        <v>185.40454582996617</v>
      </c>
      <c r="L32" s="22">
        <f t="shared" si="5"/>
        <v>220.29487865855111</v>
      </c>
      <c r="M32" s="22">
        <f>L32*D5</f>
        <v>1321.7692719513066</v>
      </c>
      <c r="N32" s="23">
        <f t="shared" si="6"/>
        <v>0.93017241379310356</v>
      </c>
      <c r="O32" s="24">
        <f t="shared" si="7"/>
        <v>2.25</v>
      </c>
      <c r="P32" s="24">
        <f t="shared" si="8"/>
        <v>3.9760782021995817</v>
      </c>
      <c r="Q32" s="25">
        <f t="shared" si="9"/>
        <v>332.43040119786849</v>
      </c>
      <c r="R32" s="26">
        <f t="shared" si="10"/>
        <v>2.2599999999999998</v>
      </c>
      <c r="S32" s="27">
        <f t="shared" si="11"/>
        <v>4.0114996593688055</v>
      </c>
    </row>
    <row r="33" spans="2:19" ht="12.75" customHeight="1" x14ac:dyDescent="0.25">
      <c r="B33" s="18">
        <v>17</v>
      </c>
      <c r="C33" s="19">
        <f>B33*K4</f>
        <v>2.4327586206896554</v>
      </c>
      <c r="D33" s="20">
        <f>D6</f>
        <v>6.9</v>
      </c>
      <c r="E33" s="19">
        <f>$D8-C33</f>
        <v>11.567241379310344</v>
      </c>
      <c r="F33" s="21">
        <f>$D7+C33</f>
        <v>5.1827586206896559</v>
      </c>
      <c r="G33" s="22">
        <f t="shared" si="0"/>
        <v>250.74296772283461</v>
      </c>
      <c r="H33" s="22">
        <f t="shared" si="1"/>
        <v>37.392806559352515</v>
      </c>
      <c r="I33" s="22">
        <f t="shared" si="2"/>
        <v>21.096569794272376</v>
      </c>
      <c r="J33" s="22">
        <f t="shared" si="3"/>
        <v>16.296236765080138</v>
      </c>
      <c r="K33" s="22">
        <f t="shared" si="4"/>
        <v>188.33917065838102</v>
      </c>
      <c r="L33" s="22">
        <f t="shared" si="5"/>
        <v>220.9316441885413</v>
      </c>
      <c r="M33" s="22">
        <f>L33*D5</f>
        <v>1325.5898651312477</v>
      </c>
      <c r="N33" s="23">
        <f t="shared" si="6"/>
        <v>0.85862068965517224</v>
      </c>
      <c r="O33" s="24">
        <f t="shared" si="7"/>
        <v>2.25</v>
      </c>
      <c r="P33" s="24">
        <f t="shared" si="8"/>
        <v>3.9760782021995817</v>
      </c>
      <c r="Q33" s="25">
        <f t="shared" si="9"/>
        <v>333.39129607609988</v>
      </c>
      <c r="R33" s="26">
        <f t="shared" si="10"/>
        <v>2.2599999999999998</v>
      </c>
      <c r="S33" s="27">
        <f t="shared" si="11"/>
        <v>4.0114996593688055</v>
      </c>
    </row>
    <row r="34" spans="2:19" ht="12.75" customHeight="1" x14ac:dyDescent="0.25">
      <c r="B34" s="18">
        <v>18</v>
      </c>
      <c r="C34" s="19">
        <f>B34*K4</f>
        <v>2.5758620689655176</v>
      </c>
      <c r="D34" s="20">
        <f>D6</f>
        <v>6.9</v>
      </c>
      <c r="E34" s="19">
        <f>$D8-C34</f>
        <v>11.424137931034483</v>
      </c>
      <c r="F34" s="21">
        <f>$D7+C34</f>
        <v>5.3258620689655176</v>
      </c>
      <c r="G34" s="22">
        <f t="shared" si="0"/>
        <v>247.64091580436761</v>
      </c>
      <c r="H34" s="22">
        <f t="shared" si="1"/>
        <v>37.392806559352515</v>
      </c>
      <c r="I34" s="22">
        <f t="shared" si="2"/>
        <v>22.277667148286397</v>
      </c>
      <c r="J34" s="22">
        <f t="shared" si="3"/>
        <v>15.115139411066117</v>
      </c>
      <c r="K34" s="22">
        <f t="shared" si="4"/>
        <v>191.14512466758907</v>
      </c>
      <c r="L34" s="22">
        <f t="shared" si="5"/>
        <v>221.37540348972129</v>
      </c>
      <c r="M34" s="22">
        <f>L34*D5</f>
        <v>1328.2524209383278</v>
      </c>
      <c r="N34" s="23">
        <f t="shared" si="6"/>
        <v>0.78706896551724137</v>
      </c>
      <c r="O34" s="24">
        <f t="shared" si="7"/>
        <v>2.25</v>
      </c>
      <c r="P34" s="24">
        <f t="shared" si="8"/>
        <v>3.9760782021995817</v>
      </c>
      <c r="Q34" s="25">
        <f t="shared" si="9"/>
        <v>334.06093979830007</v>
      </c>
      <c r="R34" s="26">
        <f t="shared" si="10"/>
        <v>2.2599999999999998</v>
      </c>
      <c r="S34" s="27">
        <f t="shared" si="11"/>
        <v>4.0114996593688055</v>
      </c>
    </row>
    <row r="35" spans="2:19" ht="12.75" customHeight="1" x14ac:dyDescent="0.25">
      <c r="B35" s="18">
        <v>19</v>
      </c>
      <c r="C35" s="19">
        <f>B35*K4</f>
        <v>2.7189655172413794</v>
      </c>
      <c r="D35" s="20">
        <f>D6</f>
        <v>6.9</v>
      </c>
      <c r="E35" s="19">
        <f>$D8-C35</f>
        <v>11.281034482758621</v>
      </c>
      <c r="F35" s="21">
        <f>$D7+C35</f>
        <v>5.4689655172413794</v>
      </c>
      <c r="G35" s="22">
        <f t="shared" si="0"/>
        <v>244.53886388590055</v>
      </c>
      <c r="H35" s="22">
        <f t="shared" si="1"/>
        <v>37.392806559352515</v>
      </c>
      <c r="I35" s="22">
        <f t="shared" si="2"/>
        <v>23.490932207102116</v>
      </c>
      <c r="J35" s="22">
        <f t="shared" si="3"/>
        <v>13.901874352250399</v>
      </c>
      <c r="K35" s="22">
        <f t="shared" si="4"/>
        <v>193.82240785759035</v>
      </c>
      <c r="L35" s="22">
        <f t="shared" si="5"/>
        <v>221.62615656209115</v>
      </c>
      <c r="M35" s="22">
        <f>L35*D5</f>
        <v>1329.7569393725469</v>
      </c>
      <c r="N35" s="23">
        <f t="shared" si="6"/>
        <v>0.7155172413793105</v>
      </c>
      <c r="O35" s="24">
        <f t="shared" si="7"/>
        <v>2.25</v>
      </c>
      <c r="P35" s="24">
        <f t="shared" si="8"/>
        <v>3.9760782021995817</v>
      </c>
      <c r="Q35" s="25">
        <f t="shared" si="9"/>
        <v>334.43933236446912</v>
      </c>
      <c r="R35" s="26">
        <f t="shared" si="10"/>
        <v>2.2599999999999998</v>
      </c>
      <c r="S35" s="27">
        <f t="shared" si="11"/>
        <v>4.0114996593688055</v>
      </c>
    </row>
    <row r="36" spans="2:19" ht="12.75" customHeight="1" x14ac:dyDescent="0.25">
      <c r="B36" s="18">
        <v>20</v>
      </c>
      <c r="C36" s="19">
        <f>B36*K4</f>
        <v>2.8620689655172415</v>
      </c>
      <c r="D36" s="20">
        <f>D6</f>
        <v>6.9</v>
      </c>
      <c r="E36" s="19">
        <f>$D8-C36</f>
        <v>11.137931034482758</v>
      </c>
      <c r="F36" s="21">
        <f>$D7+C36</f>
        <v>5.612068965517242</v>
      </c>
      <c r="G36" s="22">
        <f t="shared" si="0"/>
        <v>241.43681196743353</v>
      </c>
      <c r="H36" s="22">
        <f t="shared" si="1"/>
        <v>37.392806559352515</v>
      </c>
      <c r="I36" s="22">
        <f t="shared" si="2"/>
        <v>24.736364970719535</v>
      </c>
      <c r="J36" s="22">
        <f t="shared" si="3"/>
        <v>12.65644158863298</v>
      </c>
      <c r="K36" s="22">
        <f t="shared" si="4"/>
        <v>196.37102022838482</v>
      </c>
      <c r="L36" s="22">
        <f t="shared" si="5"/>
        <v>221.68390340565077</v>
      </c>
      <c r="M36" s="22">
        <f>L36*D5</f>
        <v>1330.1034204339046</v>
      </c>
      <c r="N36" s="23">
        <f t="shared" si="6"/>
        <v>0.64396551724137918</v>
      </c>
      <c r="O36" s="24">
        <f t="shared" si="7"/>
        <v>2.25</v>
      </c>
      <c r="P36" s="24">
        <f t="shared" si="8"/>
        <v>3.9760782021995817</v>
      </c>
      <c r="Q36" s="25">
        <f t="shared" si="9"/>
        <v>334.52647377460693</v>
      </c>
      <c r="R36" s="26">
        <f t="shared" si="10"/>
        <v>2.2599999999999998</v>
      </c>
      <c r="S36" s="27">
        <f t="shared" si="11"/>
        <v>4.0114996593688055</v>
      </c>
    </row>
    <row r="37" spans="2:19" ht="12.75" customHeight="1" x14ac:dyDescent="0.25">
      <c r="B37" s="18">
        <v>21</v>
      </c>
      <c r="C37" s="19">
        <f>B37*K4</f>
        <v>3.0051724137931037</v>
      </c>
      <c r="D37" s="20">
        <f>D6</f>
        <v>6.9</v>
      </c>
      <c r="E37" s="19">
        <f>$D8-C37</f>
        <v>10.994827586206895</v>
      </c>
      <c r="F37" s="21">
        <f>$D7+C37</f>
        <v>5.7551724137931037</v>
      </c>
      <c r="G37" s="22">
        <f t="shared" si="0"/>
        <v>238.33476004896647</v>
      </c>
      <c r="H37" s="22">
        <f t="shared" si="1"/>
        <v>37.392806559352515</v>
      </c>
      <c r="I37" s="22">
        <f t="shared" si="2"/>
        <v>26.013965439138641</v>
      </c>
      <c r="J37" s="22">
        <f t="shared" si="3"/>
        <v>11.378841120213874</v>
      </c>
      <c r="K37" s="22">
        <f t="shared" si="4"/>
        <v>198.79096177997252</v>
      </c>
      <c r="L37" s="22">
        <f t="shared" si="5"/>
        <v>221.54864402040027</v>
      </c>
      <c r="M37" s="22">
        <f>L37*D5</f>
        <v>1329.2918641224016</v>
      </c>
      <c r="N37" s="23">
        <f t="shared" si="6"/>
        <v>0.57241379310344831</v>
      </c>
      <c r="O37" s="24">
        <f t="shared" si="7"/>
        <v>2.25</v>
      </c>
      <c r="P37" s="24">
        <f t="shared" si="8"/>
        <v>3.9760782021995817</v>
      </c>
      <c r="Q37" s="25">
        <f t="shared" si="9"/>
        <v>334.32236402871359</v>
      </c>
      <c r="R37" s="26">
        <f t="shared" si="10"/>
        <v>2.2599999999999998</v>
      </c>
      <c r="S37" s="27">
        <f t="shared" si="11"/>
        <v>4.0114996593688055</v>
      </c>
    </row>
    <row r="38" spans="2:19" ht="12.75" customHeight="1" x14ac:dyDescent="0.25">
      <c r="B38" s="18">
        <v>22</v>
      </c>
      <c r="C38" s="19">
        <f>B38*K4</f>
        <v>3.1482758620689655</v>
      </c>
      <c r="D38" s="20">
        <f>D6</f>
        <v>6.9</v>
      </c>
      <c r="E38" s="19">
        <f>$D8-C38</f>
        <v>10.851724137931035</v>
      </c>
      <c r="F38" s="21">
        <f>$D7+C38</f>
        <v>5.8982758620689655</v>
      </c>
      <c r="G38" s="22">
        <f t="shared" si="0"/>
        <v>235.23270813049947</v>
      </c>
      <c r="H38" s="22">
        <f t="shared" si="1"/>
        <v>37.392806559352515</v>
      </c>
      <c r="I38" s="22">
        <f t="shared" si="2"/>
        <v>27.32373361235944</v>
      </c>
      <c r="J38" s="22">
        <f t="shared" si="3"/>
        <v>10.069072946993074</v>
      </c>
      <c r="K38" s="22">
        <f t="shared" si="4"/>
        <v>201.0822325123535</v>
      </c>
      <c r="L38" s="22">
        <f t="shared" si="5"/>
        <v>221.22037840633965</v>
      </c>
      <c r="M38" s="22">
        <f>L38*D5</f>
        <v>1327.3222704380378</v>
      </c>
      <c r="N38" s="23">
        <f t="shared" si="6"/>
        <v>0.50086206896551744</v>
      </c>
      <c r="O38" s="24">
        <f t="shared" si="7"/>
        <v>2.25</v>
      </c>
      <c r="P38" s="24">
        <f t="shared" si="8"/>
        <v>3.9760782021995817</v>
      </c>
      <c r="Q38" s="25">
        <f t="shared" si="9"/>
        <v>333.82700312678912</v>
      </c>
      <c r="R38" s="26">
        <f t="shared" si="10"/>
        <v>2.2599999999999998</v>
      </c>
      <c r="S38" s="27">
        <f t="shared" si="11"/>
        <v>4.0114996593688055</v>
      </c>
    </row>
    <row r="39" spans="2:19" ht="12.75" customHeight="1" x14ac:dyDescent="0.25">
      <c r="B39" s="18">
        <v>23</v>
      </c>
      <c r="C39" s="19">
        <f>B39*K4</f>
        <v>3.2913793103448277</v>
      </c>
      <c r="D39" s="20">
        <f>D6</f>
        <v>6.9</v>
      </c>
      <c r="E39" s="19">
        <f>$D8-C39</f>
        <v>10.708620689655172</v>
      </c>
      <c r="F39" s="21">
        <f>$D7+C39</f>
        <v>6.0413793103448281</v>
      </c>
      <c r="G39" s="22">
        <f t="shared" si="0"/>
        <v>232.13065621203245</v>
      </c>
      <c r="H39" s="22">
        <f t="shared" si="1"/>
        <v>37.392806559352515</v>
      </c>
      <c r="I39" s="22">
        <f t="shared" si="2"/>
        <v>28.665669490381944</v>
      </c>
      <c r="J39" s="22">
        <f t="shared" si="3"/>
        <v>8.7271370689705705</v>
      </c>
      <c r="K39" s="22">
        <f t="shared" si="4"/>
        <v>203.24483242552768</v>
      </c>
      <c r="L39" s="22">
        <f t="shared" si="5"/>
        <v>220.69910656346883</v>
      </c>
      <c r="M39" s="22">
        <f>L39*D5</f>
        <v>1324.194639380813</v>
      </c>
      <c r="N39" s="23">
        <f t="shared" si="6"/>
        <v>0.42931034482758612</v>
      </c>
      <c r="O39" s="24">
        <f t="shared" si="7"/>
        <v>2.25</v>
      </c>
      <c r="P39" s="24">
        <f t="shared" si="8"/>
        <v>3.9760782021995817</v>
      </c>
      <c r="Q39" s="25">
        <f t="shared" si="9"/>
        <v>333.04039106883346</v>
      </c>
      <c r="R39" s="26">
        <f t="shared" si="10"/>
        <v>2.2599999999999998</v>
      </c>
      <c r="S39" s="27">
        <f t="shared" si="11"/>
        <v>4.0114996593688055</v>
      </c>
    </row>
    <row r="40" spans="2:19" ht="12.75" customHeight="1" x14ac:dyDescent="0.25">
      <c r="B40" s="18">
        <v>24</v>
      </c>
      <c r="C40" s="19">
        <f>B40*K4</f>
        <v>3.4344827586206899</v>
      </c>
      <c r="D40" s="20">
        <f>D6</f>
        <v>6.9</v>
      </c>
      <c r="E40" s="19">
        <f>$D8-C40</f>
        <v>10.565517241379311</v>
      </c>
      <c r="F40" s="21">
        <f>$D7+C40</f>
        <v>6.1844827586206899</v>
      </c>
      <c r="G40" s="22">
        <f t="shared" si="0"/>
        <v>229.02860429356545</v>
      </c>
      <c r="H40" s="22">
        <f t="shared" si="1"/>
        <v>37.392806559352515</v>
      </c>
      <c r="I40" s="22">
        <f t="shared" si="2"/>
        <v>30.039773073206131</v>
      </c>
      <c r="J40" s="22">
        <f t="shared" si="3"/>
        <v>7.3530334861463835</v>
      </c>
      <c r="K40" s="22">
        <f t="shared" si="4"/>
        <v>205.27876151949505</v>
      </c>
      <c r="L40" s="22">
        <f t="shared" si="5"/>
        <v>219.98482849178782</v>
      </c>
      <c r="M40" s="22">
        <f>L40*D5</f>
        <v>1319.9089709507271</v>
      </c>
      <c r="N40" s="23">
        <f t="shared" si="6"/>
        <v>0.35775862068965525</v>
      </c>
      <c r="O40" s="24">
        <f t="shared" si="7"/>
        <v>2.25</v>
      </c>
      <c r="P40" s="24">
        <f t="shared" si="8"/>
        <v>3.9760782021995817</v>
      </c>
      <c r="Q40" s="25">
        <f t="shared" si="9"/>
        <v>331.9625278548466</v>
      </c>
      <c r="R40" s="26">
        <f t="shared" si="10"/>
        <v>2.2599999999999998</v>
      </c>
      <c r="S40" s="27">
        <f t="shared" si="11"/>
        <v>4.0114996593688055</v>
      </c>
    </row>
    <row r="41" spans="2:19" ht="12.75" customHeight="1" x14ac:dyDescent="0.25">
      <c r="B41" s="18">
        <v>25</v>
      </c>
      <c r="C41" s="19">
        <f>B41*K4</f>
        <v>3.577586206896552</v>
      </c>
      <c r="D41" s="20">
        <f>D6</f>
        <v>6.9</v>
      </c>
      <c r="E41" s="19">
        <f>$D8-C41</f>
        <v>10.422413793103448</v>
      </c>
      <c r="F41" s="21">
        <f>$D7+C41</f>
        <v>6.3275862068965516</v>
      </c>
      <c r="G41" s="22">
        <f t="shared" si="0"/>
        <v>225.92655237509842</v>
      </c>
      <c r="H41" s="22">
        <f t="shared" si="1"/>
        <v>37.392806559352515</v>
      </c>
      <c r="I41" s="22">
        <f t="shared" si="2"/>
        <v>31.446044360832015</v>
      </c>
      <c r="J41" s="22">
        <f t="shared" si="3"/>
        <v>5.9467621985204993</v>
      </c>
      <c r="K41" s="22">
        <f t="shared" si="4"/>
        <v>207.18401979425565</v>
      </c>
      <c r="L41" s="22">
        <f t="shared" si="5"/>
        <v>219.07754419129665</v>
      </c>
      <c r="M41" s="22">
        <f>L41*D5</f>
        <v>1314.46526514778</v>
      </c>
      <c r="N41" s="23">
        <f t="shared" si="6"/>
        <v>0.28620689655172438</v>
      </c>
      <c r="O41" s="24">
        <f t="shared" si="7"/>
        <v>2.25</v>
      </c>
      <c r="P41" s="24">
        <f t="shared" si="8"/>
        <v>3.9760782021995817</v>
      </c>
      <c r="Q41" s="25">
        <f t="shared" si="9"/>
        <v>330.59341348482855</v>
      </c>
      <c r="R41" s="26">
        <f t="shared" si="10"/>
        <v>2.2599999999999998</v>
      </c>
      <c r="S41" s="27">
        <f t="shared" si="11"/>
        <v>4.0114996593688055</v>
      </c>
    </row>
    <row r="42" spans="2:19" ht="12.75" customHeight="1" x14ac:dyDescent="0.25">
      <c r="B42" s="18">
        <v>26</v>
      </c>
      <c r="C42" s="19">
        <f>B42*K4</f>
        <v>3.7206896551724142</v>
      </c>
      <c r="D42" s="20">
        <f>D6</f>
        <v>6.9</v>
      </c>
      <c r="E42" s="19">
        <f>$D8-C42</f>
        <v>10.279310344827586</v>
      </c>
      <c r="F42" s="21">
        <f>$D7+C42</f>
        <v>6.4706896551724142</v>
      </c>
      <c r="G42" s="22">
        <f t="shared" si="0"/>
        <v>222.82450045663137</v>
      </c>
      <c r="H42" s="22">
        <f t="shared" si="1"/>
        <v>37.392806559352515</v>
      </c>
      <c r="I42" s="22">
        <f t="shared" si="2"/>
        <v>32.884483353259604</v>
      </c>
      <c r="J42" s="22">
        <f t="shared" si="3"/>
        <v>4.5083232060929106</v>
      </c>
      <c r="K42" s="22">
        <f t="shared" si="4"/>
        <v>208.9606072498095</v>
      </c>
      <c r="L42" s="22">
        <f t="shared" si="5"/>
        <v>217.97725366199532</v>
      </c>
      <c r="M42" s="22">
        <f>L42*D5</f>
        <v>1307.863521971972</v>
      </c>
      <c r="N42" s="23">
        <f t="shared" si="6"/>
        <v>0.21465517241379306</v>
      </c>
      <c r="O42" s="24">
        <f t="shared" si="7"/>
        <v>2.25</v>
      </c>
      <c r="P42" s="24">
        <f t="shared" si="8"/>
        <v>3.9760782021995817</v>
      </c>
      <c r="Q42" s="25">
        <f t="shared" si="9"/>
        <v>328.9330479587793</v>
      </c>
      <c r="R42" s="26">
        <f t="shared" si="10"/>
        <v>2.2599999999999998</v>
      </c>
      <c r="S42" s="27">
        <f t="shared" si="11"/>
        <v>4.0114996593688055</v>
      </c>
    </row>
    <row r="43" spans="2:19" ht="12.75" customHeight="1" x14ac:dyDescent="0.25">
      <c r="B43" s="18">
        <v>27</v>
      </c>
      <c r="C43" s="19">
        <f>B43*K4</f>
        <v>3.863793103448276</v>
      </c>
      <c r="D43" s="20">
        <f>D6</f>
        <v>6.9</v>
      </c>
      <c r="E43" s="19">
        <f>$D8-C43</f>
        <v>10.136206896551723</v>
      </c>
      <c r="F43" s="21">
        <f>$D7+C43</f>
        <v>6.613793103448276</v>
      </c>
      <c r="G43" s="22">
        <f t="shared" si="0"/>
        <v>219.72244853816434</v>
      </c>
      <c r="H43" s="22">
        <f t="shared" si="1"/>
        <v>37.392806559352515</v>
      </c>
      <c r="I43" s="22">
        <f t="shared" si="2"/>
        <v>34.355090050488883</v>
      </c>
      <c r="J43" s="22">
        <f t="shared" si="3"/>
        <v>3.0377165088636318</v>
      </c>
      <c r="K43" s="22">
        <f t="shared" si="4"/>
        <v>210.60852388615649</v>
      </c>
      <c r="L43" s="22">
        <f t="shared" si="5"/>
        <v>216.68395690388377</v>
      </c>
      <c r="M43" s="22">
        <f>L43*D5</f>
        <v>1300.1037414233026</v>
      </c>
      <c r="N43" s="23">
        <f t="shared" si="6"/>
        <v>0.14310344827586219</v>
      </c>
      <c r="O43" s="24">
        <f t="shared" si="7"/>
        <v>2.25</v>
      </c>
      <c r="P43" s="24">
        <f t="shared" si="8"/>
        <v>3.9760782021995817</v>
      </c>
      <c r="Q43" s="25">
        <f t="shared" si="9"/>
        <v>326.9814312766988</v>
      </c>
      <c r="R43" s="26">
        <f t="shared" si="10"/>
        <v>2.2599999999999998</v>
      </c>
      <c r="S43" s="27">
        <f t="shared" si="11"/>
        <v>4.0114996593688055</v>
      </c>
    </row>
    <row r="44" spans="2:19" ht="12.75" customHeight="1" x14ac:dyDescent="0.25">
      <c r="B44" s="18">
        <v>28</v>
      </c>
      <c r="C44" s="19">
        <f>B44*$K$4</f>
        <v>4.0068965517241377</v>
      </c>
      <c r="D44" s="20">
        <f>$D$6</f>
        <v>6.9</v>
      </c>
      <c r="E44" s="19">
        <f>$D$8-C44</f>
        <v>9.9931034482758623</v>
      </c>
      <c r="F44" s="21">
        <f>$D$7+C44</f>
        <v>6.7568965517241377</v>
      </c>
      <c r="G44" s="22">
        <f t="shared" si="0"/>
        <v>216.62039661969735</v>
      </c>
      <c r="H44" s="22">
        <f t="shared" si="1"/>
        <v>37.392806559352515</v>
      </c>
      <c r="I44" s="22">
        <f t="shared" si="2"/>
        <v>35.857864452519841</v>
      </c>
      <c r="J44" s="22">
        <f t="shared" si="3"/>
        <v>1.5349421068326734</v>
      </c>
      <c r="K44" s="22">
        <f t="shared" si="4"/>
        <v>212.12776970329679</v>
      </c>
      <c r="L44" s="22">
        <f t="shared" si="5"/>
        <v>215.19765391696214</v>
      </c>
      <c r="M44" s="22">
        <f>L44*$D$5</f>
        <v>1291.1859235017728</v>
      </c>
      <c r="N44" s="23">
        <f t="shared" si="6"/>
        <v>7.1551724137931316E-2</v>
      </c>
      <c r="O44" s="127">
        <f t="shared" si="7"/>
        <v>2.25</v>
      </c>
      <c r="P44" s="24">
        <f t="shared" si="8"/>
        <v>3.9760782021995817</v>
      </c>
      <c r="Q44" s="25">
        <f t="shared" si="9"/>
        <v>324.73856343858722</v>
      </c>
      <c r="R44" s="26">
        <f t="shared" si="10"/>
        <v>2.2599999999999998</v>
      </c>
      <c r="S44" s="27">
        <f t="shared" si="11"/>
        <v>4.0114996593688055</v>
      </c>
    </row>
    <row r="45" spans="2:19" ht="12.75" customHeight="1" thickBot="1" x14ac:dyDescent="0.3">
      <c r="B45" s="28">
        <v>29</v>
      </c>
      <c r="C45" s="29">
        <f>B45*$K$4</f>
        <v>4.1500000000000004</v>
      </c>
      <c r="D45" s="30">
        <f>$D$6</f>
        <v>6.9</v>
      </c>
      <c r="E45" s="29">
        <f>$D$8-C45</f>
        <v>9.85</v>
      </c>
      <c r="F45" s="31">
        <f>$D$7+C45</f>
        <v>6.9</v>
      </c>
      <c r="G45" s="32">
        <f t="shared" si="0"/>
        <v>213.51834470123029</v>
      </c>
      <c r="H45" s="32">
        <f t="shared" si="1"/>
        <v>37.392806559352515</v>
      </c>
      <c r="I45" s="32">
        <f t="shared" si="2"/>
        <v>37.392806559352515</v>
      </c>
      <c r="J45" s="32">
        <f t="shared" si="3"/>
        <v>0</v>
      </c>
      <c r="K45" s="32">
        <f t="shared" si="4"/>
        <v>213.51834470123029</v>
      </c>
      <c r="L45" s="32">
        <f t="shared" si="5"/>
        <v>213.51834470123029</v>
      </c>
      <c r="M45" s="32">
        <f>L45*$D$5</f>
        <v>1281.1100682073818</v>
      </c>
      <c r="N45" s="125">
        <f t="shared" si="6"/>
        <v>0</v>
      </c>
      <c r="O45" s="33">
        <f t="shared" si="7"/>
        <v>2.25</v>
      </c>
      <c r="P45" s="126">
        <f t="shared" si="8"/>
        <v>3.9760782021995817</v>
      </c>
      <c r="Q45" s="34">
        <f t="shared" si="9"/>
        <v>322.20444444444445</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 ref="R9:U9"/>
    <mergeCell ref="R10:U10"/>
    <mergeCell ref="N10:O10"/>
    <mergeCell ref="N6:O6"/>
    <mergeCell ref="N7:O7"/>
    <mergeCell ref="N8:O8"/>
    <mergeCell ref="N9:O9"/>
    <mergeCell ref="R8:U8"/>
    <mergeCell ref="B2:C2"/>
    <mergeCell ref="B5:C5"/>
    <mergeCell ref="B6:C6"/>
    <mergeCell ref="B7:C7"/>
    <mergeCell ref="T2:U3"/>
    <mergeCell ref="R5:U5"/>
    <mergeCell ref="R6:U6"/>
    <mergeCell ref="R7:U7"/>
    <mergeCell ref="I4:J4"/>
    <mergeCell ref="I5:J5"/>
    <mergeCell ref="R2:S3"/>
    <mergeCell ref="F12:G12"/>
    <mergeCell ref="N4:O4"/>
    <mergeCell ref="F8:G8"/>
    <mergeCell ref="F9:G9"/>
    <mergeCell ref="F10:G10"/>
    <mergeCell ref="F11:G11"/>
    <mergeCell ref="I6:J6"/>
    <mergeCell ref="I7:J7"/>
    <mergeCell ref="I8:J8"/>
    <mergeCell ref="I9:J9"/>
    <mergeCell ref="I11:J11"/>
    <mergeCell ref="N5:O5"/>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S5" sqref="S5"/>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206" t="s">
        <v>18</v>
      </c>
      <c r="C2" s="207"/>
      <c r="D2" s="207"/>
      <c r="E2" s="208"/>
      <c r="N2" s="200" t="s">
        <v>53</v>
      </c>
      <c r="O2" s="201"/>
      <c r="P2" s="201"/>
      <c r="Q2" s="201"/>
      <c r="R2" s="201"/>
      <c r="S2" s="201"/>
      <c r="T2" s="202"/>
    </row>
    <row r="3" spans="2:34" ht="17.25" customHeight="1" thickBot="1" x14ac:dyDescent="0.3">
      <c r="B3" s="182" t="s">
        <v>71</v>
      </c>
      <c r="C3" s="183"/>
      <c r="D3" s="184" t="str">
        <f>'Bates Grain Kn Calculator'!D3</f>
        <v>Q-Motor</v>
      </c>
      <c r="E3" s="185"/>
      <c r="N3" s="218" t="s">
        <v>107</v>
      </c>
      <c r="O3" s="220" t="s">
        <v>108</v>
      </c>
      <c r="P3" s="52"/>
      <c r="Q3" s="52"/>
      <c r="R3" s="52"/>
      <c r="S3" s="52"/>
      <c r="T3" s="7"/>
    </row>
    <row r="4" spans="2:34" ht="12.75" customHeight="1" thickBot="1" x14ac:dyDescent="0.3">
      <c r="B4" s="3"/>
      <c r="C4" s="3"/>
      <c r="D4" s="3"/>
      <c r="E4" s="3"/>
      <c r="F4" s="3"/>
      <c r="I4" s="3"/>
      <c r="J4" s="3"/>
      <c r="K4" s="3"/>
      <c r="N4" s="218"/>
      <c r="O4" s="220"/>
      <c r="P4" s="52"/>
      <c r="Q4" s="52"/>
      <c r="R4" s="52"/>
      <c r="S4" s="52"/>
      <c r="T4" s="7"/>
    </row>
    <row r="5" spans="2:34" ht="17.100000000000001" customHeight="1" thickBot="1" x14ac:dyDescent="0.3">
      <c r="B5" s="222" t="s">
        <v>93</v>
      </c>
      <c r="C5" s="223"/>
      <c r="D5" s="223"/>
      <c r="E5" s="66">
        <f>'Bates Grain Kn Calculator'!D6</f>
        <v>6.9</v>
      </c>
      <c r="F5" s="2" t="s">
        <v>55</v>
      </c>
      <c r="H5" s="203" t="s">
        <v>126</v>
      </c>
      <c r="I5" s="204"/>
      <c r="J5" s="204"/>
      <c r="K5" s="205"/>
      <c r="N5" s="219"/>
      <c r="O5" s="221"/>
      <c r="P5" s="52"/>
      <c r="Q5" s="209" t="s">
        <v>86</v>
      </c>
      <c r="R5" s="217"/>
      <c r="S5" s="132">
        <v>2.75</v>
      </c>
      <c r="T5" s="7" t="s">
        <v>55</v>
      </c>
    </row>
    <row r="6" spans="2:34" ht="17.100000000000001" customHeight="1" x14ac:dyDescent="0.25">
      <c r="B6" s="213" t="s">
        <v>94</v>
      </c>
      <c r="C6" s="214"/>
      <c r="D6" s="214"/>
      <c r="E6" s="67">
        <f>'Bates Grain Kn Calculator'!D8</f>
        <v>14</v>
      </c>
      <c r="F6" s="2" t="s">
        <v>55</v>
      </c>
      <c r="H6" s="209" t="s">
        <v>101</v>
      </c>
      <c r="I6" s="210"/>
      <c r="J6" s="210"/>
      <c r="K6" s="65">
        <v>0.57499999999999996</v>
      </c>
      <c r="L6" s="2" t="s">
        <v>55</v>
      </c>
      <c r="N6" s="72">
        <f t="shared" ref="N6:N11" si="0">PI()*((($R$17/2)^2)-((R18/2)^2))</f>
        <v>30.324223088775483</v>
      </c>
      <c r="O6" s="72">
        <f t="shared" ref="O6:O11" si="1">N6*lg</f>
        <v>424.53912324285676</v>
      </c>
      <c r="P6" s="52"/>
      <c r="Q6" s="211" t="s">
        <v>89</v>
      </c>
      <c r="R6" s="216"/>
      <c r="S6" s="76">
        <f>AVERAGE(E14:E19)</f>
        <v>28.034787442471924</v>
      </c>
      <c r="T6" s="7" t="s">
        <v>83</v>
      </c>
    </row>
    <row r="7" spans="2:34" ht="17.100000000000001" customHeight="1" x14ac:dyDescent="0.25">
      <c r="B7" s="213" t="s">
        <v>95</v>
      </c>
      <c r="C7" s="214"/>
      <c r="D7" s="214"/>
      <c r="E7" s="62">
        <v>5.8999999999999997E-2</v>
      </c>
      <c r="F7" s="2" t="s">
        <v>82</v>
      </c>
      <c r="H7" s="211" t="s">
        <v>102</v>
      </c>
      <c r="I7" s="212"/>
      <c r="J7" s="212"/>
      <c r="K7" s="65">
        <v>0.1</v>
      </c>
      <c r="L7" s="2" t="s">
        <v>90</v>
      </c>
      <c r="N7" s="73">
        <f t="shared" si="0"/>
        <v>30.324223088775483</v>
      </c>
      <c r="O7" s="73">
        <f t="shared" si="1"/>
        <v>424.53912324285676</v>
      </c>
      <c r="P7" s="52"/>
      <c r="Q7" s="211" t="s">
        <v>88</v>
      </c>
      <c r="R7" s="216"/>
      <c r="S7" s="76">
        <f>(C14+C15+C16+C17+C18+C19)/ng</f>
        <v>3.4166666666666665</v>
      </c>
      <c r="T7" s="7" t="s">
        <v>55</v>
      </c>
    </row>
    <row r="8" spans="2:34" ht="17.100000000000001" customHeight="1" x14ac:dyDescent="0.25">
      <c r="B8" s="213" t="s">
        <v>96</v>
      </c>
      <c r="C8" s="214"/>
      <c r="D8" s="214"/>
      <c r="E8" s="67">
        <f>Estimate!D10</f>
        <v>0.23289725920790463</v>
      </c>
      <c r="F8" s="2" t="s">
        <v>90</v>
      </c>
      <c r="H8" s="211" t="s">
        <v>103</v>
      </c>
      <c r="I8" s="212"/>
      <c r="J8" s="212"/>
      <c r="K8" s="65">
        <v>7.0000000000000007E-2</v>
      </c>
      <c r="L8" s="2" t="s">
        <v>82</v>
      </c>
      <c r="N8" s="73">
        <f t="shared" si="0"/>
        <v>30.324223088775483</v>
      </c>
      <c r="O8" s="73">
        <f t="shared" si="1"/>
        <v>424.53912324285676</v>
      </c>
      <c r="P8" s="52"/>
      <c r="Q8" s="211" t="s">
        <v>87</v>
      </c>
      <c r="R8" s="216"/>
      <c r="S8" s="76">
        <f>SUM(O6:O11)</f>
        <v>2354.9221451676417</v>
      </c>
      <c r="T8" s="7" t="s">
        <v>81</v>
      </c>
    </row>
    <row r="9" spans="2:34" ht="17.100000000000001" customHeight="1" x14ac:dyDescent="0.25">
      <c r="B9" s="213" t="s">
        <v>99</v>
      </c>
      <c r="C9" s="214"/>
      <c r="D9" s="214"/>
      <c r="E9" s="67">
        <f>[0]!Num_Grains</f>
        <v>6</v>
      </c>
      <c r="F9" s="2" t="s">
        <v>91</v>
      </c>
      <c r="H9" s="211" t="s">
        <v>104</v>
      </c>
      <c r="I9" s="212"/>
      <c r="J9" s="212"/>
      <c r="K9" s="65">
        <f>PI()/4*ds^2</f>
        <v>0.25967226777328128</v>
      </c>
      <c r="L9" s="2" t="s">
        <v>83</v>
      </c>
      <c r="N9" s="73">
        <f t="shared" si="0"/>
        <v>28.31360379047802</v>
      </c>
      <c r="O9" s="73">
        <f t="shared" si="1"/>
        <v>396.39045306669226</v>
      </c>
      <c r="P9" s="52"/>
      <c r="Q9" s="211" t="s">
        <v>84</v>
      </c>
      <c r="R9" s="216"/>
      <c r="S9" s="76">
        <f>S10*rhop</f>
        <v>138.94040656489085</v>
      </c>
      <c r="T9" s="78" t="s">
        <v>80</v>
      </c>
    </row>
    <row r="10" spans="2:34" ht="17.100000000000001" customHeight="1" thickBot="1" x14ac:dyDescent="0.3">
      <c r="B10" s="198" t="s">
        <v>97</v>
      </c>
      <c r="C10" s="199"/>
      <c r="D10" s="199"/>
      <c r="E10" s="75">
        <f>[0]!boundary_layer</f>
        <v>5.0000000000000001E-3</v>
      </c>
      <c r="F10" s="2" t="s">
        <v>55</v>
      </c>
      <c r="H10" s="211" t="s">
        <v>105</v>
      </c>
      <c r="I10" s="212"/>
      <c r="J10" s="212"/>
      <c r="K10" s="65">
        <f>As*sdots</f>
        <v>2.5967226777328128E-2</v>
      </c>
      <c r="L10" s="2" t="s">
        <v>100</v>
      </c>
      <c r="N10" s="73">
        <f t="shared" si="0"/>
        <v>26.051657079893367</v>
      </c>
      <c r="O10" s="73">
        <f t="shared" si="1"/>
        <v>364.72319911850713</v>
      </c>
      <c r="P10" s="52"/>
      <c r="Q10" s="175" t="s">
        <v>85</v>
      </c>
      <c r="R10" s="176"/>
      <c r="S10" s="77">
        <f>S8</f>
        <v>2354.9221451676417</v>
      </c>
      <c r="T10" s="78" t="s">
        <v>81</v>
      </c>
      <c r="AA10" s="3"/>
      <c r="AB10" s="3"/>
      <c r="AC10" s="3"/>
      <c r="AD10" s="3"/>
      <c r="AE10" s="3"/>
      <c r="AF10" s="3"/>
      <c r="AH10" s="3"/>
    </row>
    <row r="11" spans="2:34" ht="17.100000000000001" customHeight="1" thickBot="1" x14ac:dyDescent="0.3">
      <c r="B11" s="175" t="s">
        <v>98</v>
      </c>
      <c r="C11" s="215"/>
      <c r="D11" s="176"/>
      <c r="E11" s="63">
        <v>1.4</v>
      </c>
      <c r="F11" s="3" t="s">
        <v>92</v>
      </c>
      <c r="G11" s="3"/>
      <c r="H11" s="175" t="s">
        <v>106</v>
      </c>
      <c r="I11" s="215"/>
      <c r="J11" s="215"/>
      <c r="K11" s="68">
        <f>Vdots*rhos</f>
        <v>1.8177058744129691E-3</v>
      </c>
      <c r="L11" s="2" t="s">
        <v>92</v>
      </c>
      <c r="N11" s="74">
        <f t="shared" si="0"/>
        <v>22.8707945181337</v>
      </c>
      <c r="O11" s="74">
        <f t="shared" si="1"/>
        <v>320.19112325387181</v>
      </c>
      <c r="P11" s="58"/>
      <c r="Q11" s="58"/>
      <c r="R11" s="58"/>
      <c r="S11" s="58"/>
      <c r="T11" s="79"/>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8">
        <v>1</v>
      </c>
      <c r="C14" s="89">
        <f>'Bates Grain Kn Calculator'!F7</f>
        <v>3</v>
      </c>
      <c r="D14" s="90">
        <f t="shared" ref="D14:D23" si="2">IF(ig&gt;ng,0,PI()*lg*dc)</f>
        <v>131.94689145077132</v>
      </c>
      <c r="E14" s="90">
        <f t="shared" ref="E14:E23" si="3">IF(ig&gt;ng,0,PI()/4*(dg^2-dc^2))</f>
        <v>30.324223088775483</v>
      </c>
      <c r="F14" s="90">
        <f t="shared" ref="F14:F23" si="4">IF(ig&gt;ng,0,Acyl+2*Aend)</f>
        <v>192.59533762832228</v>
      </c>
      <c r="G14" s="90">
        <f t="shared" ref="G14:G23" si="5">Aseg*sdot</f>
        <v>44.85492626985728</v>
      </c>
      <c r="H14" s="90">
        <f t="shared" ref="H14:H23" si="6">Aend*sdot</f>
        <v>7.06242844498487</v>
      </c>
      <c r="I14" s="90">
        <f>0+Vdot-Vdote</f>
        <v>37.792497824872413</v>
      </c>
      <c r="J14" s="90">
        <f t="shared" ref="J14:J23" si="7">IF(ig&gt;ng,0,VdotAbove*rhop+Wdots)</f>
        <v>2.2315750775418852</v>
      </c>
      <c r="K14" s="90">
        <f>PI()/4*dc^2</f>
        <v>7.0685834705770345</v>
      </c>
      <c r="L14" s="90">
        <f>WdotAbove/Ac</f>
        <v>0.31570329286352949</v>
      </c>
      <c r="M14" s="90">
        <f>PI()/4*(dc-2*bl)^2</f>
        <v>7.0215381205895282</v>
      </c>
      <c r="N14" s="90">
        <f>WdotAbove/M14</f>
        <v>0.31781855189223446</v>
      </c>
      <c r="O14" s="91">
        <f t="shared" ref="O14:O23" si="8">IF(ig&gt;ng,0,C14)</f>
        <v>3</v>
      </c>
      <c r="Q14" s="3"/>
      <c r="U14" s="3"/>
    </row>
    <row r="15" spans="2:34" ht="17.100000000000001" customHeight="1" x14ac:dyDescent="0.25">
      <c r="B15" s="92">
        <v>2</v>
      </c>
      <c r="C15" s="93">
        <f>'Bates Grain Kn Calculator'!F8</f>
        <v>3</v>
      </c>
      <c r="D15" s="94">
        <f t="shared" si="2"/>
        <v>131.94689145077132</v>
      </c>
      <c r="E15" s="94">
        <f t="shared" si="3"/>
        <v>30.324223088775483</v>
      </c>
      <c r="F15" s="94">
        <f t="shared" si="4"/>
        <v>192.59533762832228</v>
      </c>
      <c r="G15" s="94">
        <f t="shared" si="5"/>
        <v>44.85492626985728</v>
      </c>
      <c r="H15" s="94">
        <f t="shared" si="6"/>
        <v>7.06242844498487</v>
      </c>
      <c r="I15" s="94">
        <f t="shared" ref="I15:I23" si="9">IF(ig&gt;ng,0,I14+H14+Vdot-Vdote)</f>
        <v>82.647424094729686</v>
      </c>
      <c r="J15" s="94">
        <f t="shared" si="7"/>
        <v>4.8780157274634641</v>
      </c>
      <c r="K15" s="94">
        <f t="shared" ref="K15:K23" si="10">IF(ig&gt;ng,0,PI()/4*dc^2)</f>
        <v>7.0685834705770345</v>
      </c>
      <c r="L15" s="94">
        <f t="shared" ref="L15:L23" si="11">IF(ig&gt;ng,0,WdotAbove/Ac)</f>
        <v>0.6900980582273939</v>
      </c>
      <c r="M15" s="94">
        <f t="shared" ref="M15:M23" si="12">IF(ig&gt;ng,0,PI()/4*(dc-2*bl)^2)</f>
        <v>7.0215381205895282</v>
      </c>
      <c r="N15" s="94">
        <f t="shared" ref="N15:N23" si="13">IF(ig&gt;ng,0,WdotAbove/M15)</f>
        <v>0.69472181788196374</v>
      </c>
      <c r="O15" s="95">
        <f t="shared" si="8"/>
        <v>3</v>
      </c>
      <c r="Q15" s="3"/>
    </row>
    <row r="16" spans="2:34" ht="17.100000000000001" customHeight="1" thickBot="1" x14ac:dyDescent="0.3">
      <c r="B16" s="92">
        <v>3</v>
      </c>
      <c r="C16" s="93">
        <f>'Bates Grain Kn Calculator'!F9</f>
        <v>3</v>
      </c>
      <c r="D16" s="94">
        <f t="shared" si="2"/>
        <v>131.94689145077132</v>
      </c>
      <c r="E16" s="94">
        <f t="shared" si="3"/>
        <v>30.324223088775483</v>
      </c>
      <c r="F16" s="94">
        <f t="shared" si="4"/>
        <v>192.59533762832228</v>
      </c>
      <c r="G16" s="94">
        <f t="shared" si="5"/>
        <v>44.85492626985728</v>
      </c>
      <c r="H16" s="94">
        <f t="shared" si="6"/>
        <v>7.06242844498487</v>
      </c>
      <c r="I16" s="94">
        <f t="shared" si="9"/>
        <v>127.50235036458696</v>
      </c>
      <c r="J16" s="94">
        <f t="shared" si="7"/>
        <v>7.524456377385043</v>
      </c>
      <c r="K16" s="94">
        <f t="shared" si="10"/>
        <v>7.0685834705770345</v>
      </c>
      <c r="L16" s="94">
        <f t="shared" si="11"/>
        <v>1.0644928235912583</v>
      </c>
      <c r="M16" s="94">
        <f t="shared" si="12"/>
        <v>7.0215381205895282</v>
      </c>
      <c r="N16" s="94">
        <f t="shared" si="13"/>
        <v>1.071625083871693</v>
      </c>
      <c r="O16" s="95">
        <f t="shared" si="8"/>
        <v>3</v>
      </c>
      <c r="Q16" s="3"/>
    </row>
    <row r="17" spans="2:18" ht="17.100000000000001" customHeight="1" x14ac:dyDescent="0.25">
      <c r="B17" s="92">
        <v>4</v>
      </c>
      <c r="C17" s="93">
        <f>'Bates Grain Kn Calculator'!F10</f>
        <v>3.4</v>
      </c>
      <c r="D17" s="94">
        <f t="shared" si="2"/>
        <v>149.53981031087415</v>
      </c>
      <c r="E17" s="94">
        <f t="shared" si="3"/>
        <v>28.31360379047802</v>
      </c>
      <c r="F17" s="94">
        <f t="shared" si="4"/>
        <v>206.1670178918302</v>
      </c>
      <c r="G17" s="94">
        <f t="shared" si="5"/>
        <v>48.01573340607429</v>
      </c>
      <c r="H17" s="94">
        <f t="shared" si="6"/>
        <v>6.5941607211008701</v>
      </c>
      <c r="I17" s="94">
        <f t="shared" si="9"/>
        <v>175.98635149454526</v>
      </c>
      <c r="J17" s="94">
        <f t="shared" si="7"/>
        <v>10.385012444052583</v>
      </c>
      <c r="K17" s="94">
        <f t="shared" si="10"/>
        <v>9.0792027688745005</v>
      </c>
      <c r="L17" s="94">
        <f t="shared" si="11"/>
        <v>1.1438242661189024</v>
      </c>
      <c r="M17" s="94">
        <f t="shared" si="12"/>
        <v>9.025874233579815</v>
      </c>
      <c r="N17" s="94">
        <f t="shared" si="13"/>
        <v>1.1505824450130533</v>
      </c>
      <c r="O17" s="95">
        <f t="shared" si="8"/>
        <v>3.4</v>
      </c>
      <c r="Q17" s="69" t="s">
        <v>73</v>
      </c>
      <c r="R17" s="66">
        <f>'Bates Grain Kn Calculator'!D6</f>
        <v>6.9</v>
      </c>
    </row>
    <row r="18" spans="2:18" ht="17.100000000000001" customHeight="1" x14ac:dyDescent="0.25">
      <c r="B18" s="92">
        <v>5</v>
      </c>
      <c r="C18" s="93">
        <f>'Bates Grain Kn Calculator'!F11</f>
        <v>3.8</v>
      </c>
      <c r="D18" s="94">
        <f t="shared" si="2"/>
        <v>167.13272917097697</v>
      </c>
      <c r="E18" s="94">
        <f t="shared" si="3"/>
        <v>26.051657079893367</v>
      </c>
      <c r="F18" s="94">
        <f t="shared" si="4"/>
        <v>219.23604333076372</v>
      </c>
      <c r="G18" s="94">
        <f t="shared" si="5"/>
        <v>51.059473611320293</v>
      </c>
      <c r="H18" s="94">
        <f t="shared" si="6"/>
        <v>6.0673595317313698</v>
      </c>
      <c r="I18" s="94">
        <f t="shared" si="9"/>
        <v>227.57262629523507</v>
      </c>
      <c r="J18" s="94">
        <f t="shared" si="7"/>
        <v>13.428602657293281</v>
      </c>
      <c r="K18" s="94">
        <f t="shared" si="10"/>
        <v>11.341149479459153</v>
      </c>
      <c r="L18" s="94">
        <f t="shared" si="11"/>
        <v>1.18406010621894</v>
      </c>
      <c r="M18" s="94">
        <f t="shared" si="12"/>
        <v>11.281537758857286</v>
      </c>
      <c r="N18" s="94">
        <f t="shared" si="13"/>
        <v>1.190316687700691</v>
      </c>
      <c r="O18" s="95">
        <f t="shared" si="8"/>
        <v>3.8</v>
      </c>
      <c r="Q18" s="70" t="s">
        <v>74</v>
      </c>
      <c r="R18" s="67">
        <f t="shared" ref="R18:R23" si="14">C14</f>
        <v>3</v>
      </c>
    </row>
    <row r="19" spans="2:18" ht="17.100000000000001" customHeight="1" x14ac:dyDescent="0.25">
      <c r="B19" s="92">
        <v>6</v>
      </c>
      <c r="C19" s="93">
        <f>'Bates Grain Kn Calculator'!F12</f>
        <v>4.3</v>
      </c>
      <c r="D19" s="94">
        <f t="shared" si="2"/>
        <v>189.12387774610553</v>
      </c>
      <c r="E19" s="94">
        <f t="shared" si="3"/>
        <v>22.8707945181337</v>
      </c>
      <c r="F19" s="94">
        <f t="shared" si="4"/>
        <v>234.86546678237295</v>
      </c>
      <c r="G19" s="94">
        <f t="shared" si="5"/>
        <v>54.699523496199831</v>
      </c>
      <c r="H19" s="94">
        <f t="shared" si="6"/>
        <v>5.3265453591805088</v>
      </c>
      <c r="I19" s="94">
        <f t="shared" si="9"/>
        <v>283.01296396398578</v>
      </c>
      <c r="J19" s="94">
        <f t="shared" si="7"/>
        <v>16.699582579749574</v>
      </c>
      <c r="K19" s="94">
        <f t="shared" si="10"/>
        <v>14.522012041218817</v>
      </c>
      <c r="L19" s="94">
        <f t="shared" si="11"/>
        <v>1.1499496441918662</v>
      </c>
      <c r="M19" s="94">
        <f t="shared" si="12"/>
        <v>14.454546338982977</v>
      </c>
      <c r="N19" s="94">
        <f t="shared" si="13"/>
        <v>1.1553169631281943</v>
      </c>
      <c r="O19" s="95">
        <f t="shared" si="8"/>
        <v>4.3</v>
      </c>
      <c r="Q19" s="70" t="s">
        <v>75</v>
      </c>
      <c r="R19" s="67">
        <f t="shared" si="14"/>
        <v>3</v>
      </c>
    </row>
    <row r="20" spans="2:18" ht="17.100000000000001" customHeight="1" x14ac:dyDescent="0.25">
      <c r="B20" s="92">
        <v>7</v>
      </c>
      <c r="C20" s="93">
        <v>0</v>
      </c>
      <c r="D20" s="94">
        <f t="shared" si="2"/>
        <v>0</v>
      </c>
      <c r="E20" s="94">
        <f t="shared" si="3"/>
        <v>0</v>
      </c>
      <c r="F20" s="94">
        <f t="shared" si="4"/>
        <v>0</v>
      </c>
      <c r="G20" s="94">
        <f t="shared" si="5"/>
        <v>0</v>
      </c>
      <c r="H20" s="94">
        <f t="shared" si="6"/>
        <v>0</v>
      </c>
      <c r="I20" s="94">
        <f t="shared" si="9"/>
        <v>0</v>
      </c>
      <c r="J20" s="94">
        <f t="shared" si="7"/>
        <v>0</v>
      </c>
      <c r="K20" s="94">
        <f t="shared" si="10"/>
        <v>0</v>
      </c>
      <c r="L20" s="94">
        <f t="shared" si="11"/>
        <v>0</v>
      </c>
      <c r="M20" s="94">
        <f t="shared" si="12"/>
        <v>0</v>
      </c>
      <c r="N20" s="94">
        <f t="shared" si="13"/>
        <v>0</v>
      </c>
      <c r="O20" s="95">
        <f t="shared" si="8"/>
        <v>0</v>
      </c>
      <c r="Q20" s="70" t="s">
        <v>76</v>
      </c>
      <c r="R20" s="67">
        <f t="shared" si="14"/>
        <v>3</v>
      </c>
    </row>
    <row r="21" spans="2:18" ht="17.100000000000001" customHeight="1" x14ac:dyDescent="0.25">
      <c r="B21" s="92">
        <v>8</v>
      </c>
      <c r="C21" s="93">
        <v>0</v>
      </c>
      <c r="D21" s="94">
        <f t="shared" si="2"/>
        <v>0</v>
      </c>
      <c r="E21" s="94">
        <f t="shared" si="3"/>
        <v>0</v>
      </c>
      <c r="F21" s="94">
        <f t="shared" si="4"/>
        <v>0</v>
      </c>
      <c r="G21" s="94">
        <f t="shared" si="5"/>
        <v>0</v>
      </c>
      <c r="H21" s="94">
        <f t="shared" si="6"/>
        <v>0</v>
      </c>
      <c r="I21" s="94">
        <f t="shared" si="9"/>
        <v>0</v>
      </c>
      <c r="J21" s="94">
        <f t="shared" si="7"/>
        <v>0</v>
      </c>
      <c r="K21" s="94">
        <f t="shared" si="10"/>
        <v>0</v>
      </c>
      <c r="L21" s="94">
        <f t="shared" si="11"/>
        <v>0</v>
      </c>
      <c r="M21" s="94">
        <f t="shared" si="12"/>
        <v>0</v>
      </c>
      <c r="N21" s="94">
        <f t="shared" si="13"/>
        <v>0</v>
      </c>
      <c r="O21" s="95">
        <f t="shared" si="8"/>
        <v>0</v>
      </c>
      <c r="Q21" s="70" t="s">
        <v>77</v>
      </c>
      <c r="R21" s="67">
        <f t="shared" si="14"/>
        <v>3.4</v>
      </c>
    </row>
    <row r="22" spans="2:18" ht="17.100000000000001" customHeight="1" x14ac:dyDescent="0.25">
      <c r="B22" s="92">
        <v>9</v>
      </c>
      <c r="C22" s="93">
        <v>0</v>
      </c>
      <c r="D22" s="94">
        <f t="shared" si="2"/>
        <v>0</v>
      </c>
      <c r="E22" s="94">
        <f t="shared" si="3"/>
        <v>0</v>
      </c>
      <c r="F22" s="94">
        <f>IF(ig&gt;ng,0,Acyl+2*Aend)</f>
        <v>0</v>
      </c>
      <c r="G22" s="94">
        <f t="shared" si="5"/>
        <v>0</v>
      </c>
      <c r="H22" s="94">
        <f t="shared" si="6"/>
        <v>0</v>
      </c>
      <c r="I22" s="94">
        <f t="shared" si="9"/>
        <v>0</v>
      </c>
      <c r="J22" s="94">
        <f t="shared" si="7"/>
        <v>0</v>
      </c>
      <c r="K22" s="94">
        <f t="shared" si="10"/>
        <v>0</v>
      </c>
      <c r="L22" s="94">
        <f t="shared" si="11"/>
        <v>0</v>
      </c>
      <c r="M22" s="94">
        <f t="shared" si="12"/>
        <v>0</v>
      </c>
      <c r="N22" s="94">
        <f t="shared" si="13"/>
        <v>0</v>
      </c>
      <c r="O22" s="95">
        <f t="shared" si="8"/>
        <v>0</v>
      </c>
      <c r="Q22" s="70" t="s">
        <v>78</v>
      </c>
      <c r="R22" s="67">
        <f t="shared" si="14"/>
        <v>3.8</v>
      </c>
    </row>
    <row r="23" spans="2:18" ht="17.100000000000001" customHeight="1" thickBot="1" x14ac:dyDescent="0.3">
      <c r="B23" s="96">
        <v>10</v>
      </c>
      <c r="C23" s="97">
        <v>0</v>
      </c>
      <c r="D23" s="98">
        <f t="shared" si="2"/>
        <v>0</v>
      </c>
      <c r="E23" s="98">
        <f t="shared" si="3"/>
        <v>0</v>
      </c>
      <c r="F23" s="98">
        <f t="shared" si="4"/>
        <v>0</v>
      </c>
      <c r="G23" s="98">
        <f t="shared" si="5"/>
        <v>0</v>
      </c>
      <c r="H23" s="98">
        <f t="shared" si="6"/>
        <v>0</v>
      </c>
      <c r="I23" s="98">
        <f t="shared" si="9"/>
        <v>0</v>
      </c>
      <c r="J23" s="98">
        <f t="shared" si="7"/>
        <v>0</v>
      </c>
      <c r="K23" s="98">
        <f t="shared" si="10"/>
        <v>0</v>
      </c>
      <c r="L23" s="98">
        <f t="shared" si="11"/>
        <v>0</v>
      </c>
      <c r="M23" s="98">
        <f t="shared" si="12"/>
        <v>0</v>
      </c>
      <c r="N23" s="98">
        <f t="shared" si="13"/>
        <v>0</v>
      </c>
      <c r="O23" s="99">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11:D11"/>
    <mergeCell ref="Q9:R9"/>
    <mergeCell ref="Q10:R10"/>
    <mergeCell ref="Q5:R5"/>
    <mergeCell ref="Q6:R6"/>
    <mergeCell ref="Q7:R7"/>
    <mergeCell ref="Q8:R8"/>
    <mergeCell ref="N3:N5"/>
    <mergeCell ref="O3:O5"/>
    <mergeCell ref="H8:J8"/>
    <mergeCell ref="H9:J9"/>
    <mergeCell ref="H10:J10"/>
    <mergeCell ref="H11:J11"/>
    <mergeCell ref="B5:D5"/>
    <mergeCell ref="B8:D8"/>
    <mergeCell ref="B9:D9"/>
    <mergeCell ref="B10:D10"/>
    <mergeCell ref="N2:T2"/>
    <mergeCell ref="H5:K5"/>
    <mergeCell ref="B2:E2"/>
    <mergeCell ref="B3:C3"/>
    <mergeCell ref="D3:E3"/>
    <mergeCell ref="H6:J6"/>
    <mergeCell ref="H7:J7"/>
    <mergeCell ref="B6:D6"/>
    <mergeCell ref="B7: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07"/>
  <sheetViews>
    <sheetView zoomScaleNormal="100" workbookViewId="0">
      <selection activeCell="L10" sqref="L10"/>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9" ht="15" customHeight="1" thickBot="1" x14ac:dyDescent="0.3"/>
    <row r="2" spans="2:29" ht="15" customHeight="1" thickBot="1" x14ac:dyDescent="0.3">
      <c r="B2" s="230" t="s">
        <v>124</v>
      </c>
      <c r="C2" s="231"/>
      <c r="F2" s="224" t="s">
        <v>133</v>
      </c>
      <c r="G2" s="225"/>
      <c r="H2" s="120">
        <v>1.26</v>
      </c>
      <c r="I2" s="3"/>
    </row>
    <row r="3" spans="2:29" ht="15" customHeight="1" thickBot="1" x14ac:dyDescent="0.3">
      <c r="F3" s="51"/>
      <c r="G3" s="52"/>
      <c r="H3" s="7"/>
      <c r="N3" s="3"/>
      <c r="O3" s="3"/>
    </row>
    <row r="4" spans="2:29" ht="12.75" customHeight="1" x14ac:dyDescent="0.25">
      <c r="B4" s="209" t="s">
        <v>117</v>
      </c>
      <c r="C4" s="217"/>
      <c r="D4" s="83">
        <v>9.1</v>
      </c>
      <c r="F4" s="232" t="s">
        <v>19</v>
      </c>
      <c r="G4" s="233"/>
      <c r="H4" s="234"/>
      <c r="J4" s="222" t="s">
        <v>45</v>
      </c>
      <c r="K4" s="223"/>
      <c r="L4" s="121">
        <f>MAX(D14:D43)</f>
        <v>642.22020614588871</v>
      </c>
      <c r="M4" s="81"/>
      <c r="N4" s="3"/>
      <c r="O4" s="3"/>
    </row>
    <row r="5" spans="2:29" ht="12.75" customHeight="1" x14ac:dyDescent="0.25">
      <c r="B5" s="211" t="s">
        <v>118</v>
      </c>
      <c r="C5" s="216"/>
      <c r="D5" s="84">
        <v>13.43</v>
      </c>
      <c r="F5" s="213" t="s">
        <v>131</v>
      </c>
      <c r="G5" s="214"/>
      <c r="H5" s="117">
        <v>1.4109999999999999E-2</v>
      </c>
      <c r="J5" s="213" t="s">
        <v>128</v>
      </c>
      <c r="K5" s="214"/>
      <c r="L5" s="128">
        <f>AVERAGE(D14:D43)</f>
        <v>586.52275088831789</v>
      </c>
      <c r="M5" s="81"/>
      <c r="N5" s="3"/>
      <c r="O5" s="3"/>
    </row>
    <row r="6" spans="2:29" ht="12.75" customHeight="1" x14ac:dyDescent="0.25">
      <c r="B6" s="211" t="s">
        <v>119</v>
      </c>
      <c r="C6" s="216"/>
      <c r="D6" s="84">
        <f>(('Bates Grain Kn Calculator'!D11^2)/4)/((Nozzle_Throat_Diameter^2)/4)</f>
        <v>7.048320150364165</v>
      </c>
      <c r="F6" s="213" t="s">
        <v>132</v>
      </c>
      <c r="G6" s="214"/>
      <c r="H6" s="117">
        <v>0.44005699999999998</v>
      </c>
      <c r="J6" s="213" t="s">
        <v>47</v>
      </c>
      <c r="K6" s="214"/>
      <c r="L6" s="122">
        <f>MAX(L14:L43)</f>
        <v>3972.2174780390969</v>
      </c>
      <c r="M6" s="81" t="s">
        <v>56</v>
      </c>
      <c r="O6" s="3"/>
    </row>
    <row r="7" spans="2:29" ht="12.75" customHeight="1" thickBot="1" x14ac:dyDescent="0.3">
      <c r="B7" s="211" t="s">
        <v>120</v>
      </c>
      <c r="C7" s="216"/>
      <c r="D7" s="84">
        <v>1.1499999999999999</v>
      </c>
      <c r="F7" s="226"/>
      <c r="G7" s="227"/>
      <c r="H7" s="101"/>
      <c r="J7" s="213" t="s">
        <v>48</v>
      </c>
      <c r="K7" s="214"/>
      <c r="L7" s="122">
        <f>AVERAGE(L14:L43)</f>
        <v>3600.3926776300841</v>
      </c>
      <c r="M7" s="81" t="s">
        <v>56</v>
      </c>
    </row>
    <row r="8" spans="2:29" ht="12.75" customHeight="1" x14ac:dyDescent="0.25">
      <c r="B8" s="211" t="s">
        <v>121</v>
      </c>
      <c r="C8" s="216"/>
      <c r="D8" s="84">
        <f>6*2300</f>
        <v>13800</v>
      </c>
      <c r="F8" s="232" t="s">
        <v>20</v>
      </c>
      <c r="G8" s="233"/>
      <c r="H8" s="234"/>
      <c r="J8" s="213" t="s">
        <v>49</v>
      </c>
      <c r="K8" s="214"/>
      <c r="L8" s="123">
        <f>K43</f>
        <v>9.2368014748779306</v>
      </c>
      <c r="M8" s="81" t="s">
        <v>57</v>
      </c>
      <c r="V8" s="3"/>
    </row>
    <row r="9" spans="2:29" ht="12.75" customHeight="1" x14ac:dyDescent="0.25">
      <c r="B9" s="211" t="s">
        <v>122</v>
      </c>
      <c r="C9" s="216"/>
      <c r="D9" s="84">
        <f>AVERAGE(D14:D43)</f>
        <v>586.52275088831789</v>
      </c>
      <c r="F9" s="213" t="s">
        <v>129</v>
      </c>
      <c r="G9" s="214"/>
      <c r="H9" s="118">
        <v>75.234999999999999</v>
      </c>
      <c r="I9" s="3"/>
      <c r="J9" s="213" t="s">
        <v>50</v>
      </c>
      <c r="K9" s="214"/>
      <c r="L9" s="122">
        <f>MAX(M14:M43)</f>
        <v>32626.648861105939</v>
      </c>
      <c r="M9" s="81" t="s">
        <v>113</v>
      </c>
    </row>
    <row r="10" spans="2:29" ht="12.75" customHeight="1" thickBot="1" x14ac:dyDescent="0.3">
      <c r="B10" s="175" t="s">
        <v>123</v>
      </c>
      <c r="C10" s="176"/>
      <c r="D10" s="85">
        <f>AVERAGE(I14:I43)</f>
        <v>0.23289725920790463</v>
      </c>
      <c r="F10" s="228" t="s">
        <v>130</v>
      </c>
      <c r="G10" s="229"/>
      <c r="H10" s="119">
        <v>6.4099999999999999E-3</v>
      </c>
      <c r="I10" s="3"/>
      <c r="J10" s="228" t="s">
        <v>127</v>
      </c>
      <c r="K10" s="229"/>
      <c r="L10" s="124">
        <f>L9/'Erosive Burning'!S9</f>
        <v>234.82476889016414</v>
      </c>
      <c r="M10" s="81" t="s">
        <v>57</v>
      </c>
      <c r="Q10" s="3"/>
      <c r="R10" s="3"/>
    </row>
    <row r="11" spans="2:29" ht="12.75" customHeight="1" x14ac:dyDescent="0.25">
      <c r="D11" s="3"/>
      <c r="I11" s="3"/>
      <c r="Q11" s="3"/>
      <c r="R11" s="3"/>
      <c r="Y11" s="80"/>
      <c r="Z11" s="80"/>
      <c r="AA11" s="80"/>
      <c r="AB11" s="80"/>
      <c r="AC11" s="80"/>
    </row>
    <row r="12" spans="2:29" ht="12.75" customHeight="1" thickBot="1" x14ac:dyDescent="0.3">
      <c r="D12" s="3"/>
      <c r="E12" s="3"/>
      <c r="F12" s="3"/>
      <c r="L12" s="3"/>
      <c r="M12" s="3"/>
      <c r="Y12" s="80"/>
      <c r="Z12" s="80"/>
      <c r="AA12" s="80"/>
      <c r="AB12" s="80"/>
      <c r="AC12" s="80"/>
    </row>
    <row r="13" spans="2:29" ht="72.75" customHeight="1" thickBot="1" x14ac:dyDescent="0.3">
      <c r="B13" s="60" t="s">
        <v>5</v>
      </c>
      <c r="C13" s="60" t="s">
        <v>115</v>
      </c>
      <c r="D13" s="60" t="s">
        <v>134</v>
      </c>
      <c r="E13" s="60" t="s">
        <v>15</v>
      </c>
      <c r="F13" s="60" t="s">
        <v>16</v>
      </c>
      <c r="G13" s="60" t="s">
        <v>114</v>
      </c>
      <c r="H13" s="61" t="s">
        <v>116</v>
      </c>
      <c r="I13" s="61" t="s">
        <v>135</v>
      </c>
      <c r="J13" s="60" t="s">
        <v>112</v>
      </c>
      <c r="K13" s="60" t="s">
        <v>111</v>
      </c>
      <c r="L13" s="60" t="s">
        <v>109</v>
      </c>
      <c r="M13" s="60" t="s">
        <v>110</v>
      </c>
      <c r="Y13" s="80"/>
      <c r="Z13" s="80"/>
      <c r="AA13" s="80"/>
      <c r="AB13" s="80"/>
      <c r="AC13" s="80"/>
    </row>
    <row r="14" spans="2:29" ht="15" customHeight="1" x14ac:dyDescent="0.25">
      <c r="B14" s="129">
        <v>0</v>
      </c>
      <c r="C14" s="102">
        <f>'Bates Grain Kn Calculator'!Q16</f>
        <v>277.44592592592596</v>
      </c>
      <c r="D14" s="114">
        <f>($H$9*EXP(C14*$H$10))</f>
        <v>445.43214949654555</v>
      </c>
      <c r="E14" s="103">
        <f>'Bates Grain Kn Calculator'!P16</f>
        <v>3.9760782021995817</v>
      </c>
      <c r="F14" s="89">
        <f t="shared" ref="F14:F43" si="0">SQRT((((2*$H$2^2)/($H$2-1))*((2/($H$2+1))^(($H$2+1)/($H$2-1))*(1-(($D$4/D14)^(($H$2-1)/$H$2)))))+($D$6*(($D$4-$D$5)/D14)))</f>
        <v>1.5037693438624242</v>
      </c>
      <c r="G14" s="89">
        <f t="shared" ref="G14:G43" si="1">(D14*E14)*F14</f>
        <v>2663.2853736274451</v>
      </c>
      <c r="H14" s="104">
        <f>'Bates Grain Kn Calculator'!N16-'Bates Grain Kn Calculator'!N17</f>
        <v>7.1551724137931316E-2</v>
      </c>
      <c r="I14" s="114">
        <f t="shared" ref="I14:I43" si="2">$H$5*(D14^$H$6)</f>
        <v>0.20660550088802807</v>
      </c>
      <c r="J14" s="89">
        <f t="shared" ref="J14:J43" si="3">H14/I14</f>
        <v>0.34632051823590843</v>
      </c>
      <c r="K14" s="89">
        <v>0.34632051823590843</v>
      </c>
      <c r="L14" s="89">
        <f t="shared" ref="L14:L43" si="4">G14</f>
        <v>2663.2853736274451</v>
      </c>
      <c r="M14" s="105">
        <v>904.71529973261499</v>
      </c>
      <c r="Q14" s="3"/>
      <c r="Y14" s="80"/>
      <c r="Z14" s="80"/>
      <c r="AA14" s="80"/>
      <c r="AB14" s="80"/>
      <c r="AC14" s="80"/>
    </row>
    <row r="15" spans="2:29" ht="15" customHeight="1" x14ac:dyDescent="0.25">
      <c r="B15" s="130">
        <v>1</v>
      </c>
      <c r="C15" s="106">
        <f>'Bates Grain Kn Calculator'!Q17</f>
        <v>283.06683930065617</v>
      </c>
      <c r="D15" s="115">
        <f t="shared" ref="D15:D43" si="5">($H$9*EXP(C15*$H$10))</f>
        <v>461.77372026747497</v>
      </c>
      <c r="E15" s="107">
        <f>'Bates Grain Kn Calculator'!P17</f>
        <v>3.9760782021995817</v>
      </c>
      <c r="F15" s="93">
        <f t="shared" si="0"/>
        <v>1.5092235565618797</v>
      </c>
      <c r="G15" s="93">
        <f t="shared" si="1"/>
        <v>2771.0075317407118</v>
      </c>
      <c r="H15" s="108">
        <f>'Bates Grain Kn Calculator'!N17-'Bates Grain Kn Calculator'!N18</f>
        <v>7.1551724137930872E-2</v>
      </c>
      <c r="I15" s="115">
        <f t="shared" si="2"/>
        <v>0.20990739555562232</v>
      </c>
      <c r="J15" s="93">
        <f t="shared" si="3"/>
        <v>0.34087281178699935</v>
      </c>
      <c r="K15" s="93">
        <v>0.68719333002290783</v>
      </c>
      <c r="L15" s="93">
        <f t="shared" si="4"/>
        <v>2771.0075317407118</v>
      </c>
      <c r="M15" s="109">
        <v>1831.9886229695926</v>
      </c>
      <c r="Q15" s="3"/>
      <c r="Y15" s="80"/>
      <c r="Z15" s="80"/>
      <c r="AA15" s="80"/>
      <c r="AB15" s="80"/>
      <c r="AC15" s="80"/>
    </row>
    <row r="16" spans="2:29" ht="15" customHeight="1" x14ac:dyDescent="0.25">
      <c r="B16" s="130">
        <v>2</v>
      </c>
      <c r="C16" s="106">
        <f>'Bates Grain Kn Calculator'!Q18</f>
        <v>288.3965015193553</v>
      </c>
      <c r="D16" s="115">
        <f t="shared" si="5"/>
        <v>477.8219258172706</v>
      </c>
      <c r="E16" s="107">
        <f>'Bates Grain Kn Calculator'!P18</f>
        <v>3.9760782021995817</v>
      </c>
      <c r="F16" s="93">
        <f t="shared" si="0"/>
        <v>1.5143191807716432</v>
      </c>
      <c r="G16" s="93">
        <f t="shared" si="1"/>
        <v>2876.9904164084619</v>
      </c>
      <c r="H16" s="108">
        <f>'Bates Grain Kn Calculator'!N18-'Bates Grain Kn Calculator'!N19</f>
        <v>7.1551724137930872E-2</v>
      </c>
      <c r="I16" s="115">
        <f t="shared" si="2"/>
        <v>0.21308692616863212</v>
      </c>
      <c r="J16" s="93">
        <f t="shared" si="3"/>
        <v>0.33578655164093207</v>
      </c>
      <c r="K16" s="93">
        <v>1.02297988166384</v>
      </c>
      <c r="L16" s="93">
        <f t="shared" si="4"/>
        <v>2876.9904164084619</v>
      </c>
      <c r="M16" s="109">
        <v>2781.0771058229193</v>
      </c>
      <c r="Q16" s="3"/>
      <c r="Y16" s="80"/>
      <c r="Z16" s="80"/>
      <c r="AA16" s="80"/>
      <c r="AB16" s="80"/>
      <c r="AC16" s="80"/>
    </row>
    <row r="17" spans="2:29" ht="15" customHeight="1" x14ac:dyDescent="0.25">
      <c r="B17" s="130">
        <v>3</v>
      </c>
      <c r="C17" s="106">
        <f>'Bates Grain Kn Calculator'!Q19</f>
        <v>293.43491258202317</v>
      </c>
      <c r="D17" s="115">
        <f t="shared" si="5"/>
        <v>493.50566491312799</v>
      </c>
      <c r="E17" s="107">
        <f>'Bates Grain Kn Calculator'!P19</f>
        <v>3.9760782021995817</v>
      </c>
      <c r="F17" s="93">
        <f t="shared" si="0"/>
        <v>1.5190700085894002</v>
      </c>
      <c r="G17" s="93">
        <f t="shared" si="1"/>
        <v>2980.7451726586405</v>
      </c>
      <c r="H17" s="108">
        <f>'Bates Grain Kn Calculator'!N19-'Bates Grain Kn Calculator'!N20</f>
        <v>7.1551724137931094E-2</v>
      </c>
      <c r="I17" s="115">
        <f t="shared" si="2"/>
        <v>0.21613697754229869</v>
      </c>
      <c r="J17" s="93">
        <f t="shared" si="3"/>
        <v>0.33104804625080037</v>
      </c>
      <c r="K17" s="93">
        <v>1.3540279279146403</v>
      </c>
      <c r="L17" s="93">
        <f t="shared" si="4"/>
        <v>2980.7451726586405</v>
      </c>
      <c r="M17" s="109">
        <v>3751.1781309650551</v>
      </c>
      <c r="Q17" s="3"/>
      <c r="Y17" s="80"/>
      <c r="Z17" s="80"/>
      <c r="AA17" s="80"/>
      <c r="AB17" s="80"/>
      <c r="AC17" s="80"/>
    </row>
    <row r="18" spans="2:29" ht="15" customHeight="1" x14ac:dyDescent="0.25">
      <c r="B18" s="130">
        <v>4</v>
      </c>
      <c r="C18" s="106">
        <f>'Bates Grain Kn Calculator'!Q20</f>
        <v>298.18207248865997</v>
      </c>
      <c r="D18" s="115">
        <f t="shared" si="5"/>
        <v>508.75350840620121</v>
      </c>
      <c r="E18" s="107">
        <f>'Bates Grain Kn Calculator'!P20</f>
        <v>3.9760782021995817</v>
      </c>
      <c r="F18" s="93">
        <f t="shared" si="0"/>
        <v>1.5234885741791759</v>
      </c>
      <c r="G18" s="93">
        <f t="shared" si="1"/>
        <v>3081.7793177236772</v>
      </c>
      <c r="H18" s="108">
        <f>'Bates Grain Kn Calculator'!N20-'Bates Grain Kn Calculator'!N21</f>
        <v>7.1551724137931094E-2</v>
      </c>
      <c r="I18" s="115">
        <f t="shared" si="2"/>
        <v>0.21905065101574381</v>
      </c>
      <c r="J18" s="93">
        <f t="shared" si="3"/>
        <v>0.32664465412973581</v>
      </c>
      <c r="K18" s="93">
        <v>1.6806725820443762</v>
      </c>
      <c r="L18" s="93">
        <f t="shared" si="4"/>
        <v>3081.7793177236772</v>
      </c>
      <c r="M18" s="109">
        <v>4741.4304607778377</v>
      </c>
      <c r="Q18" s="3"/>
      <c r="Y18" s="80"/>
      <c r="Z18" s="80"/>
      <c r="AA18" s="80"/>
      <c r="AB18" s="80"/>
      <c r="AC18" s="80"/>
    </row>
    <row r="19" spans="2:29" ht="15" customHeight="1" x14ac:dyDescent="0.25">
      <c r="B19" s="130">
        <v>5</v>
      </c>
      <c r="C19" s="106">
        <f>'Bates Grain Kn Calculator'!Q21</f>
        <v>302.63798123926546</v>
      </c>
      <c r="D19" s="115">
        <f t="shared" si="5"/>
        <v>523.49422982840372</v>
      </c>
      <c r="E19" s="107">
        <f>'Bates Grain Kn Calculator'!P21</f>
        <v>3.9760782021995817</v>
      </c>
      <c r="F19" s="93">
        <f t="shared" si="0"/>
        <v>1.5275862594252423</v>
      </c>
      <c r="G19" s="93">
        <f t="shared" si="1"/>
        <v>3179.6005242177857</v>
      </c>
      <c r="H19" s="108">
        <f>'Bates Grain Kn Calculator'!N21-'Bates Grain Kn Calculator'!N22</f>
        <v>7.1551724137930872E-2</v>
      </c>
      <c r="I19" s="115">
        <f t="shared" si="2"/>
        <v>0.22182129036853002</v>
      </c>
      <c r="J19" s="93">
        <f t="shared" si="3"/>
        <v>0.32256472775474387</v>
      </c>
      <c r="K19" s="93">
        <v>2.0032373097991201</v>
      </c>
      <c r="L19" s="93">
        <f t="shared" si="4"/>
        <v>3179.6005242177857</v>
      </c>
      <c r="M19" s="109">
        <v>5750.9156866625472</v>
      </c>
      <c r="Q19" s="3"/>
      <c r="Y19" s="80"/>
      <c r="Z19" s="80"/>
      <c r="AA19" s="80"/>
      <c r="AB19" s="80"/>
      <c r="AC19" s="80"/>
    </row>
    <row r="20" spans="2:29" ht="15" customHeight="1" x14ac:dyDescent="0.25">
      <c r="B20" s="130">
        <v>6</v>
      </c>
      <c r="C20" s="106">
        <f>'Bates Grain Kn Calculator'!Q22</f>
        <v>306.80263883383981</v>
      </c>
      <c r="D20" s="115">
        <f t="shared" si="5"/>
        <v>537.65735096192736</v>
      </c>
      <c r="E20" s="107">
        <f>'Bates Grain Kn Calculator'!P22</f>
        <v>3.9760782021995817</v>
      </c>
      <c r="F20" s="93">
        <f t="shared" si="0"/>
        <v>1.531373386620869</v>
      </c>
      <c r="G20" s="93">
        <f t="shared" si="1"/>
        <v>3273.7205218416875</v>
      </c>
      <c r="H20" s="108">
        <f>'Bates Grain Kn Calculator'!N22-'Bates Grain Kn Calculator'!N23</f>
        <v>7.1551724137931094E-2</v>
      </c>
      <c r="I20" s="115">
        <f t="shared" si="2"/>
        <v>0.22444250709523036</v>
      </c>
      <c r="J20" s="93">
        <f t="shared" si="3"/>
        <v>0.31879756229764394</v>
      </c>
      <c r="K20" s="93">
        <v>2.3220348720967641</v>
      </c>
      <c r="L20" s="93">
        <f t="shared" si="4"/>
        <v>3273.7205218416875</v>
      </c>
      <c r="M20" s="109">
        <v>6778.6599875226448</v>
      </c>
      <c r="Q20" s="3"/>
      <c r="Y20" s="80"/>
      <c r="Z20" s="80"/>
      <c r="AA20" s="80"/>
      <c r="AB20" s="80"/>
      <c r="AC20" s="80"/>
    </row>
    <row r="21" spans="2:29" ht="15" customHeight="1" x14ac:dyDescent="0.25">
      <c r="B21" s="130">
        <v>7</v>
      </c>
      <c r="C21" s="106">
        <f>'Bates Grain Kn Calculator'!Q23</f>
        <v>310.67604527238302</v>
      </c>
      <c r="D21" s="115">
        <f t="shared" si="5"/>
        <v>551.17369665112096</v>
      </c>
      <c r="E21" s="107">
        <f>'Bates Grain Kn Calculator'!P23</f>
        <v>3.9760782021995817</v>
      </c>
      <c r="F21" s="93">
        <f t="shared" si="0"/>
        <v>1.5348592998239521</v>
      </c>
      <c r="G21" s="93">
        <f t="shared" si="1"/>
        <v>3363.6590757477015</v>
      </c>
      <c r="H21" s="108">
        <f>'Bates Grain Kn Calculator'!N23-'Bates Grain Kn Calculator'!N24</f>
        <v>7.1551724137931094E-2</v>
      </c>
      <c r="I21" s="115">
        <f t="shared" si="2"/>
        <v>0.22690820490404046</v>
      </c>
      <c r="J21" s="93">
        <f t="shared" si="3"/>
        <v>0.31533334886761955</v>
      </c>
      <c r="K21" s="93">
        <v>2.6373682209643836</v>
      </c>
      <c r="L21" s="93">
        <f t="shared" si="4"/>
        <v>3363.6590757477015</v>
      </c>
      <c r="M21" s="109">
        <v>7823.6361889164873</v>
      </c>
      <c r="Q21" s="3"/>
      <c r="Y21" s="80"/>
      <c r="Z21" s="80"/>
      <c r="AA21" s="80"/>
      <c r="AB21" s="80"/>
      <c r="AC21" s="80"/>
    </row>
    <row r="22" spans="2:29" ht="15" customHeight="1" x14ac:dyDescent="0.25">
      <c r="B22" s="130">
        <v>8</v>
      </c>
      <c r="C22" s="106">
        <f>'Bates Grain Kn Calculator'!Q24</f>
        <v>314.25820055489498</v>
      </c>
      <c r="D22" s="115">
        <f t="shared" si="5"/>
        <v>563.97595283274973</v>
      </c>
      <c r="E22" s="107">
        <f>'Bates Grain Kn Calculator'!P24</f>
        <v>3.9760782021995817</v>
      </c>
      <c r="F22" s="93">
        <f t="shared" si="0"/>
        <v>1.5380524362632317</v>
      </c>
      <c r="G22" s="93">
        <f t="shared" si="1"/>
        <v>3448.9479973859661</v>
      </c>
      <c r="H22" s="108">
        <f>'Bates Grain Kn Calculator'!N24-'Bates Grain Kn Calculator'!N25</f>
        <v>7.1551724137930872E-2</v>
      </c>
      <c r="I22" s="115">
        <f t="shared" si="2"/>
        <v>0.22921260330821047</v>
      </c>
      <c r="J22" s="93">
        <f t="shared" si="3"/>
        <v>0.3121631319797844</v>
      </c>
      <c r="K22" s="93">
        <v>2.949531352944168</v>
      </c>
      <c r="L22" s="93">
        <f t="shared" si="4"/>
        <v>3448.9479973859661</v>
      </c>
      <c r="M22" s="109">
        <v>8884.766112800984</v>
      </c>
      <c r="Q22" s="3"/>
      <c r="Y22" s="80"/>
      <c r="Z22" s="80"/>
      <c r="AA22" s="80"/>
      <c r="AB22" s="80"/>
      <c r="AC22" s="80"/>
    </row>
    <row r="23" spans="2:29" ht="15" customHeight="1" x14ac:dyDescent="0.25">
      <c r="B23" s="130">
        <v>9</v>
      </c>
      <c r="C23" s="106">
        <f>'Bates Grain Kn Calculator'!Q25</f>
        <v>317.54910468137575</v>
      </c>
      <c r="D23" s="115">
        <f t="shared" si="5"/>
        <v>575.99922154952549</v>
      </c>
      <c r="E23" s="107">
        <f>'Bates Grain Kn Calculator'!P25</f>
        <v>3.9760782021995817</v>
      </c>
      <c r="F23" s="93">
        <f t="shared" si="0"/>
        <v>1.5409603889702042</v>
      </c>
      <c r="G23" s="93">
        <f t="shared" si="1"/>
        <v>3529.1351419598327</v>
      </c>
      <c r="H23" s="108">
        <f>'Bates Grain Kn Calculator'!N25-'Bates Grain Kn Calculator'!N26</f>
        <v>7.1551724137931316E-2</v>
      </c>
      <c r="I23" s="115">
        <f t="shared" si="2"/>
        <v>0.23135026018270946</v>
      </c>
      <c r="J23" s="93">
        <f t="shared" si="3"/>
        <v>0.30927877099175577</v>
      </c>
      <c r="K23" s="93">
        <v>3.2588101239359237</v>
      </c>
      <c r="L23" s="93">
        <f t="shared" si="4"/>
        <v>3529.1351419598327</v>
      </c>
      <c r="M23" s="109">
        <v>9960.9232061793537</v>
      </c>
      <c r="Q23" s="3"/>
      <c r="Y23" s="80"/>
      <c r="Z23" s="80"/>
      <c r="AA23" s="80"/>
      <c r="AB23" s="80"/>
      <c r="AC23" s="80"/>
    </row>
    <row r="24" spans="2:29" ht="15" customHeight="1" x14ac:dyDescent="0.25">
      <c r="B24" s="130">
        <v>10</v>
      </c>
      <c r="C24" s="106">
        <f>'Bates Grain Kn Calculator'!Q26</f>
        <v>320.54875765182544</v>
      </c>
      <c r="D24" s="115">
        <f t="shared" si="5"/>
        <v>587.18156658910743</v>
      </c>
      <c r="E24" s="107">
        <f>'Bates Grain Kn Calculator'!P26</f>
        <v>3.9760782021995817</v>
      </c>
      <c r="F24" s="93">
        <f t="shared" si="0"/>
        <v>1.5435899616357613</v>
      </c>
      <c r="G24" s="93">
        <f t="shared" si="1"/>
        <v>3603.7883455915062</v>
      </c>
      <c r="H24" s="108">
        <f>'Bates Grain Kn Calculator'!N26-'Bates Grain Kn Calculator'!N27</f>
        <v>7.1551724137930872E-2</v>
      </c>
      <c r="I24" s="115">
        <f t="shared" si="2"/>
        <v>0.23331609316306082</v>
      </c>
      <c r="J24" s="93">
        <f t="shared" si="3"/>
        <v>0.30667290527586771</v>
      </c>
      <c r="K24" s="93">
        <v>3.5654830292117916</v>
      </c>
      <c r="L24" s="93">
        <f t="shared" si="4"/>
        <v>3603.7883455915062</v>
      </c>
      <c r="M24" s="109">
        <v>11050.935435354861</v>
      </c>
      <c r="Q24" s="3"/>
      <c r="Y24" s="80"/>
      <c r="Z24" s="80"/>
      <c r="AA24" s="80"/>
      <c r="AB24" s="80"/>
      <c r="AC24" s="80"/>
    </row>
    <row r="25" spans="2:29" ht="15" customHeight="1" x14ac:dyDescent="0.25">
      <c r="B25" s="130">
        <v>11</v>
      </c>
      <c r="C25" s="106">
        <f>'Bates Grain Kn Calculator'!Q27</f>
        <v>323.25715946624393</v>
      </c>
      <c r="D25" s="115">
        <f t="shared" si="5"/>
        <v>597.46454336088959</v>
      </c>
      <c r="E25" s="107">
        <f>'Bates Grain Kn Calculator'!P27</f>
        <v>3.9760782021995817</v>
      </c>
      <c r="F25" s="93">
        <f t="shared" si="0"/>
        <v>1.5459472165411876</v>
      </c>
      <c r="G25" s="93">
        <f t="shared" si="1"/>
        <v>3672.4992549721942</v>
      </c>
      <c r="H25" s="108">
        <f>'Bates Grain Kn Calculator'!N27-'Bates Grain Kn Calculator'!N28</f>
        <v>7.1551724137930872E-2</v>
      </c>
      <c r="I25" s="115">
        <f t="shared" si="2"/>
        <v>0.23510539976867151</v>
      </c>
      <c r="J25" s="93">
        <f t="shared" si="3"/>
        <v>0.30433892291854264</v>
      </c>
      <c r="K25" s="93">
        <v>3.8698219521303341</v>
      </c>
      <c r="L25" s="93">
        <f t="shared" si="4"/>
        <v>3672.4992549721942</v>
      </c>
      <c r="M25" s="109">
        <v>12153.588430903163</v>
      </c>
      <c r="Q25" s="3"/>
      <c r="Y25" s="80"/>
      <c r="Z25" s="80"/>
      <c r="AA25" s="80"/>
      <c r="AB25" s="80"/>
      <c r="AC25" s="80"/>
    </row>
    <row r="26" spans="2:29" ht="15" customHeight="1" x14ac:dyDescent="0.25">
      <c r="B26" s="130">
        <v>12</v>
      </c>
      <c r="C26" s="106">
        <f>'Bates Grain Kn Calculator'!Q28</f>
        <v>325.67431012463123</v>
      </c>
      <c r="D26" s="115">
        <f t="shared" si="5"/>
        <v>606.79370668856575</v>
      </c>
      <c r="E26" s="107">
        <f>'Bates Grain Kn Calculator'!P28</f>
        <v>3.9760782021995817</v>
      </c>
      <c r="F26" s="93">
        <f t="shared" si="0"/>
        <v>1.5480375162856748</v>
      </c>
      <c r="G26" s="93">
        <f t="shared" si="1"/>
        <v>3734.8870026663849</v>
      </c>
      <c r="H26" s="108">
        <f>'Bates Grain Kn Calculator'!N28-'Bates Grain Kn Calculator'!N29</f>
        <v>7.1551724137931316E-2</v>
      </c>
      <c r="I26" s="115">
        <f t="shared" si="2"/>
        <v>0.2367138761392007</v>
      </c>
      <c r="J26" s="93">
        <f t="shared" si="3"/>
        <v>0.30227093276042249</v>
      </c>
      <c r="K26" s="93">
        <v>4.1720928848907564</v>
      </c>
      <c r="L26" s="93">
        <f t="shared" si="4"/>
        <v>3734.8870026663849</v>
      </c>
      <c r="M26" s="109">
        <v>13267.628866931094</v>
      </c>
      <c r="Q26" s="3"/>
      <c r="Y26" s="80"/>
      <c r="Z26" s="80"/>
      <c r="AA26" s="80"/>
      <c r="AB26" s="80"/>
      <c r="AC26" s="80"/>
    </row>
    <row r="27" spans="2:29" ht="15" customHeight="1" x14ac:dyDescent="0.25">
      <c r="B27" s="130">
        <v>13</v>
      </c>
      <c r="C27" s="106">
        <f>'Bates Grain Kn Calculator'!Q29</f>
        <v>327.80020962698728</v>
      </c>
      <c r="D27" s="115">
        <f t="shared" si="5"/>
        <v>615.11909035869746</v>
      </c>
      <c r="E27" s="107">
        <f>'Bates Grain Kn Calculator'!P29</f>
        <v>3.9760782021995817</v>
      </c>
      <c r="F27" s="93">
        <f t="shared" si="0"/>
        <v>1.5498655599231219</v>
      </c>
      <c r="G27" s="93">
        <f t="shared" si="1"/>
        <v>3790.6016823662194</v>
      </c>
      <c r="H27" s="108">
        <f>'Bates Grain Kn Calculator'!N29-'Bates Grain Kn Calculator'!N30</f>
        <v>7.1551724137930872E-2</v>
      </c>
      <c r="I27" s="115">
        <f t="shared" si="2"/>
        <v>0.23813763427951909</v>
      </c>
      <c r="J27" s="93">
        <f t="shared" si="3"/>
        <v>0.30046373961179745</v>
      </c>
      <c r="K27" s="93">
        <v>4.4725566245025536</v>
      </c>
      <c r="L27" s="93">
        <f t="shared" si="4"/>
        <v>3790.6016823662194</v>
      </c>
      <c r="M27" s="109">
        <v>14391.768056711462</v>
      </c>
      <c r="Q27" s="3"/>
      <c r="Y27" s="80"/>
      <c r="Z27" s="80"/>
      <c r="AA27" s="80"/>
      <c r="AB27" s="80"/>
      <c r="AC27" s="80"/>
    </row>
    <row r="28" spans="2:29" ht="15" customHeight="1" x14ac:dyDescent="0.25">
      <c r="B28" s="130">
        <v>14</v>
      </c>
      <c r="C28" s="106">
        <f>'Bates Grain Kn Calculator'!Q30</f>
        <v>329.63485797331214</v>
      </c>
      <c r="D28" s="115">
        <f t="shared" si="5"/>
        <v>622.39565252354305</v>
      </c>
      <c r="E28" s="107">
        <f>'Bates Grain Kn Calculator'!P30</f>
        <v>3.9760782021995817</v>
      </c>
      <c r="F28" s="93">
        <f t="shared" si="0"/>
        <v>1.551435414026475</v>
      </c>
      <c r="G28" s="93">
        <f t="shared" si="1"/>
        <v>3839.3275802443941</v>
      </c>
      <c r="H28" s="108">
        <f>'Bates Grain Kn Calculator'!N30-'Bates Grain Kn Calculator'!N31</f>
        <v>7.1551724137930872E-2</v>
      </c>
      <c r="I28" s="115">
        <f t="shared" si="2"/>
        <v>0.23937321771657014</v>
      </c>
      <c r="J28" s="93">
        <f t="shared" si="3"/>
        <v>0.29891282249734258</v>
      </c>
      <c r="K28" s="93">
        <v>4.7714694469998964</v>
      </c>
      <c r="L28" s="93">
        <f t="shared" si="4"/>
        <v>3839.3275802443941</v>
      </c>
      <c r="M28" s="109">
        <v>15524.68574539031</v>
      </c>
      <c r="Q28" s="3"/>
      <c r="Y28" s="80"/>
      <c r="Z28" s="80"/>
      <c r="AA28" s="80"/>
      <c r="AB28" s="80"/>
      <c r="AC28" s="80"/>
    </row>
    <row r="29" spans="2:29" ht="15" customHeight="1" x14ac:dyDescent="0.25">
      <c r="B29" s="130">
        <v>15</v>
      </c>
      <c r="C29" s="106">
        <f>'Bates Grain Kn Calculator'!Q31</f>
        <v>331.17825516360597</v>
      </c>
      <c r="D29" s="115">
        <f t="shared" si="5"/>
        <v>628.58368140763196</v>
      </c>
      <c r="E29" s="107">
        <f>'Bates Grain Kn Calculator'!P31</f>
        <v>3.9760782021995817</v>
      </c>
      <c r="F29" s="93">
        <f t="shared" si="0"/>
        <v>1.5527505391156016</v>
      </c>
      <c r="G29" s="93">
        <f t="shared" si="1"/>
        <v>3880.7861211137511</v>
      </c>
      <c r="H29" s="108">
        <f>'Bates Grain Kn Calculator'!N31-'Bates Grain Kn Calculator'!N32</f>
        <v>7.1551724137931316E-2</v>
      </c>
      <c r="I29" s="115">
        <f t="shared" si="2"/>
        <v>0.24041761547990145</v>
      </c>
      <c r="J29" s="93">
        <f t="shared" si="3"/>
        <v>0.29761431580254954</v>
      </c>
      <c r="K29" s="93">
        <v>5.0690837628024461</v>
      </c>
      <c r="L29" s="93">
        <f t="shared" si="4"/>
        <v>3880.7861211137511</v>
      </c>
      <c r="M29" s="109">
        <v>16665.03407917271</v>
      </c>
      <c r="Q29" s="3"/>
      <c r="Y29" s="80"/>
      <c r="Z29" s="80"/>
      <c r="AA29" s="80"/>
      <c r="AB29" s="80"/>
      <c r="AC29" s="80"/>
    </row>
    <row r="30" spans="2:29" ht="15" customHeight="1" x14ac:dyDescent="0.25">
      <c r="B30" s="130">
        <v>16</v>
      </c>
      <c r="C30" s="106">
        <f>'Bates Grain Kn Calculator'!Q32</f>
        <v>332.43040119786849</v>
      </c>
      <c r="D30" s="115">
        <f t="shared" si="5"/>
        <v>633.6491562075762</v>
      </c>
      <c r="E30" s="107">
        <f>'Bates Grain Kn Calculator'!P32</f>
        <v>3.9760782021995817</v>
      </c>
      <c r="F30" s="93">
        <f t="shared" si="0"/>
        <v>1.5538138118125007</v>
      </c>
      <c r="G30" s="93">
        <f t="shared" si="1"/>
        <v>3914.738491335916</v>
      </c>
      <c r="H30" s="108">
        <f>'Bates Grain Kn Calculator'!N32-'Bates Grain Kn Calculator'!N33</f>
        <v>7.1551724137931316E-2</v>
      </c>
      <c r="I30" s="115">
        <f t="shared" si="2"/>
        <v>0.24126827432672804</v>
      </c>
      <c r="J30" s="93">
        <f t="shared" si="3"/>
        <v>0.2965649932118104</v>
      </c>
      <c r="K30" s="93">
        <v>5.3656487560142567</v>
      </c>
      <c r="L30" s="93">
        <f t="shared" si="4"/>
        <v>3914.738491335916</v>
      </c>
      <c r="M30" s="109">
        <v>17811.441729221737</v>
      </c>
      <c r="Q30" s="3"/>
      <c r="Y30" s="80"/>
      <c r="Z30" s="80"/>
      <c r="AA30" s="80"/>
      <c r="AB30" s="80"/>
      <c r="AC30" s="80"/>
    </row>
    <row r="31" spans="2:29" ht="15" customHeight="1" x14ac:dyDescent="0.25">
      <c r="B31" s="130">
        <v>17</v>
      </c>
      <c r="C31" s="106">
        <f>'Bates Grain Kn Calculator'!Q33</f>
        <v>333.39129607609988</v>
      </c>
      <c r="D31" s="115">
        <f t="shared" si="5"/>
        <v>637.56405859733229</v>
      </c>
      <c r="E31" s="107">
        <f>'Bates Grain Kn Calculator'!P33</f>
        <v>3.9760782021995817</v>
      </c>
      <c r="F31" s="93">
        <f t="shared" si="0"/>
        <v>1.5546275430236334</v>
      </c>
      <c r="G31" s="93">
        <f t="shared" si="1"/>
        <v>3940.9879042843718</v>
      </c>
      <c r="H31" s="108">
        <f>'Bates Grain Kn Calculator'!N33-'Bates Grain Kn Calculator'!N34</f>
        <v>7.1551724137930872E-2</v>
      </c>
      <c r="I31" s="115">
        <f t="shared" si="2"/>
        <v>0.24192310914205956</v>
      </c>
      <c r="J31" s="93">
        <f t="shared" si="3"/>
        <v>0.29576225434468528</v>
      </c>
      <c r="K31" s="93">
        <v>5.6614110103589423</v>
      </c>
      <c r="L31" s="93">
        <f t="shared" si="4"/>
        <v>3940.9879042843718</v>
      </c>
      <c r="M31" s="109">
        <v>18962.51814746625</v>
      </c>
      <c r="Q31" s="3"/>
      <c r="Y31" s="80"/>
      <c r="Z31" s="80"/>
      <c r="AA31" s="80"/>
      <c r="AB31" s="80"/>
      <c r="AC31" s="80"/>
    </row>
    <row r="32" spans="2:29" ht="15" customHeight="1" x14ac:dyDescent="0.25">
      <c r="B32" s="130">
        <v>18</v>
      </c>
      <c r="C32" s="106">
        <f>'Bates Grain Kn Calculator'!Q34</f>
        <v>334.06093979830007</v>
      </c>
      <c r="D32" s="115">
        <f t="shared" si="5"/>
        <v>640.30663084871219</v>
      </c>
      <c r="E32" s="107">
        <f>'Bates Grain Kn Calculator'!P34</f>
        <v>3.9760782021995817</v>
      </c>
      <c r="F32" s="93">
        <f t="shared" si="0"/>
        <v>1.5551934923918123</v>
      </c>
      <c r="G32" s="93">
        <f t="shared" si="1"/>
        <v>3959.3814786001344</v>
      </c>
      <c r="H32" s="108">
        <f>'Bates Grain Kn Calculator'!N34-'Bates Grain Kn Calculator'!N35</f>
        <v>7.1551724137930872E-2</v>
      </c>
      <c r="I32" s="115">
        <f t="shared" si="2"/>
        <v>0.24238051145460016</v>
      </c>
      <c r="J32" s="93">
        <f t="shared" si="3"/>
        <v>0.29520411401282604</v>
      </c>
      <c r="K32" s="93">
        <v>5.9566151243717682</v>
      </c>
      <c r="L32" s="93">
        <f t="shared" si="4"/>
        <v>3959.3814786001344</v>
      </c>
      <c r="M32" s="109">
        <v>20116.857930618917</v>
      </c>
      <c r="Q32" s="3"/>
      <c r="Y32" s="80"/>
      <c r="Z32" s="80"/>
      <c r="AA32" s="80"/>
      <c r="AB32" s="80"/>
      <c r="AC32" s="80"/>
    </row>
    <row r="33" spans="2:29" ht="15" customHeight="1" x14ac:dyDescent="0.25">
      <c r="B33" s="130">
        <v>19</v>
      </c>
      <c r="C33" s="106">
        <f>'Bates Grain Kn Calculator'!Q35</f>
        <v>334.43933236446912</v>
      </c>
      <c r="D33" s="115">
        <f t="shared" si="5"/>
        <v>641.86157724024952</v>
      </c>
      <c r="E33" s="107">
        <f>'Bates Grain Kn Calculator'!P35</f>
        <v>3.9760782021995817</v>
      </c>
      <c r="F33" s="93">
        <f t="shared" si="0"/>
        <v>1.5555128792079431</v>
      </c>
      <c r="G33" s="93">
        <f t="shared" si="1"/>
        <v>3969.8117044111568</v>
      </c>
      <c r="H33" s="108">
        <f>'Bates Grain Kn Calculator'!N35-'Bates Grain Kn Calculator'!N36</f>
        <v>7.1551724137931316E-2</v>
      </c>
      <c r="I33" s="115">
        <f t="shared" si="2"/>
        <v>0.2426393560197434</v>
      </c>
      <c r="J33" s="93">
        <f t="shared" si="3"/>
        <v>0.29488919403540292</v>
      </c>
      <c r="K33" s="93">
        <v>6.2515043184071715</v>
      </c>
      <c r="L33" s="93">
        <f t="shared" si="4"/>
        <v>3969.8117044111568</v>
      </c>
      <c r="M33" s="109">
        <v>21273.04526796686</v>
      </c>
      <c r="Q33" s="3"/>
      <c r="Y33" s="80"/>
      <c r="Z33" s="80"/>
      <c r="AA33" s="80"/>
      <c r="AB33" s="80"/>
      <c r="AC33" s="80"/>
    </row>
    <row r="34" spans="2:29" ht="15" customHeight="1" x14ac:dyDescent="0.25">
      <c r="B34" s="130">
        <v>20</v>
      </c>
      <c r="C34" s="106">
        <f>'Bates Grain Kn Calculator'!Q36</f>
        <v>334.52647377460693</v>
      </c>
      <c r="D34" s="115">
        <f t="shared" si="5"/>
        <v>642.22020614588871</v>
      </c>
      <c r="E34" s="107">
        <f>'Bates Grain Kn Calculator'!P36</f>
        <v>3.9760782021995817</v>
      </c>
      <c r="F34" s="93">
        <f t="shared" si="0"/>
        <v>1.555586389924918</v>
      </c>
      <c r="G34" s="93">
        <f t="shared" si="1"/>
        <v>3972.2174780390969</v>
      </c>
      <c r="H34" s="108">
        <f>'Bates Grain Kn Calculator'!N36-'Bates Grain Kn Calculator'!N37</f>
        <v>7.1551724137930872E-2</v>
      </c>
      <c r="I34" s="115">
        <f t="shared" si="2"/>
        <v>0.24269900543195366</v>
      </c>
      <c r="J34" s="93">
        <f t="shared" si="3"/>
        <v>0.29481671756579186</v>
      </c>
      <c r="K34" s="93">
        <v>6.5463210359729631</v>
      </c>
      <c r="L34" s="93">
        <f t="shared" si="4"/>
        <v>3972.2174780390969</v>
      </c>
      <c r="M34" s="109">
        <v>22429.658447921935</v>
      </c>
      <c r="Q34" s="3"/>
      <c r="Y34" s="80"/>
      <c r="Z34" s="80"/>
      <c r="AA34" s="80"/>
      <c r="AB34" s="80"/>
      <c r="AC34" s="80"/>
    </row>
    <row r="35" spans="2:29" ht="15" customHeight="1" x14ac:dyDescent="0.25">
      <c r="B35" s="130">
        <v>21</v>
      </c>
      <c r="C35" s="106">
        <f>'Bates Grain Kn Calculator'!Q37</f>
        <v>334.32236402871359</v>
      </c>
      <c r="D35" s="115">
        <f t="shared" si="5"/>
        <v>641.38051095675939</v>
      </c>
      <c r="E35" s="107">
        <f>'Bates Grain Kn Calculator'!P37</f>
        <v>3.9760782021995817</v>
      </c>
      <c r="F35" s="93">
        <f t="shared" si="0"/>
        <v>1.5554141823709158</v>
      </c>
      <c r="G35" s="93">
        <f t="shared" si="1"/>
        <v>3966.5846914004251</v>
      </c>
      <c r="H35" s="108">
        <f>'Bates Grain Kn Calculator'!N37-'Bates Grain Kn Calculator'!N38</f>
        <v>7.1551724137930872E-2</v>
      </c>
      <c r="I35" s="115">
        <f t="shared" si="2"/>
        <v>0.24255931274007148</v>
      </c>
      <c r="J35" s="93">
        <f t="shared" si="3"/>
        <v>0.29498650589683306</v>
      </c>
      <c r="K35" s="93">
        <v>6.8413075418697957</v>
      </c>
      <c r="L35" s="93">
        <f t="shared" si="4"/>
        <v>3966.5846914004251</v>
      </c>
      <c r="M35" s="109">
        <v>23585.274397912446</v>
      </c>
      <c r="Q35" s="3"/>
      <c r="Y35" s="80"/>
      <c r="Z35" s="80"/>
      <c r="AA35" s="80"/>
      <c r="AB35" s="80"/>
      <c r="AC35" s="80"/>
    </row>
    <row r="36" spans="2:29" ht="15" customHeight="1" x14ac:dyDescent="0.25">
      <c r="B36" s="130">
        <v>22</v>
      </c>
      <c r="C36" s="106">
        <f>'Bates Grain Kn Calculator'!Q38</f>
        <v>333.82700312678912</v>
      </c>
      <c r="D36" s="115">
        <f t="shared" si="5"/>
        <v>639.34718878191745</v>
      </c>
      <c r="E36" s="107">
        <f>'Bates Grain Kn Calculator'!P38</f>
        <v>3.9760782021995817</v>
      </c>
      <c r="F36" s="93">
        <f t="shared" si="0"/>
        <v>1.5549958867163853</v>
      </c>
      <c r="G36" s="93">
        <f t="shared" si="1"/>
        <v>3952.9463682271512</v>
      </c>
      <c r="H36" s="108">
        <f>'Bates Grain Kn Calculator'!N38-'Bates Grain Kn Calculator'!N39</f>
        <v>7.1551724137931316E-2</v>
      </c>
      <c r="I36" s="115">
        <f t="shared" si="2"/>
        <v>0.24222062205052597</v>
      </c>
      <c r="J36" s="93">
        <f t="shared" si="3"/>
        <v>0.29539897772620699</v>
      </c>
      <c r="K36" s="93">
        <v>7.1367065195960029</v>
      </c>
      <c r="L36" s="93">
        <f t="shared" si="4"/>
        <v>3952.9463682271512</v>
      </c>
      <c r="M36" s="109">
        <v>24738.473231967266</v>
      </c>
      <c r="Q36" s="3"/>
      <c r="Y36" s="80"/>
      <c r="Z36" s="80"/>
      <c r="AA36" s="80"/>
      <c r="AB36" s="80"/>
      <c r="AC36" s="80"/>
    </row>
    <row r="37" spans="2:29" ht="15" customHeight="1" x14ac:dyDescent="0.25">
      <c r="B37" s="130">
        <v>23</v>
      </c>
      <c r="C37" s="106">
        <f>'Bates Grain Kn Calculator'!Q39</f>
        <v>333.04039106883346</v>
      </c>
      <c r="D37" s="115">
        <f t="shared" si="5"/>
        <v>636.13159668421122</v>
      </c>
      <c r="E37" s="107">
        <f>'Bates Grain Kn Calculator'!P39</f>
        <v>3.9760782021995817</v>
      </c>
      <c r="F37" s="93">
        <f t="shared" si="0"/>
        <v>1.5543306032071489</v>
      </c>
      <c r="G37" s="93">
        <f t="shared" si="1"/>
        <v>3931.3823452854199</v>
      </c>
      <c r="H37" s="108">
        <f>'Bates Grain Kn Calculator'!N39-'Bates Grain Kn Calculator'!N40</f>
        <v>7.1551724137930872E-2</v>
      </c>
      <c r="I37" s="115">
        <f t="shared" si="2"/>
        <v>0.2416837671149856</v>
      </c>
      <c r="J37" s="93">
        <f t="shared" si="3"/>
        <v>0.29605515087775336</v>
      </c>
      <c r="K37" s="93">
        <v>7.4327616704737558</v>
      </c>
      <c r="L37" s="93">
        <f t="shared" si="4"/>
        <v>3931.3823452854199</v>
      </c>
      <c r="M37" s="109">
        <v>25887.842780290346</v>
      </c>
      <c r="Q37" s="3"/>
      <c r="Y37" s="80"/>
      <c r="Z37" s="80"/>
      <c r="AA37" s="80"/>
      <c r="AB37" s="80"/>
      <c r="AC37" s="80"/>
    </row>
    <row r="38" spans="2:29" ht="15" customHeight="1" x14ac:dyDescent="0.25">
      <c r="B38" s="130">
        <v>24</v>
      </c>
      <c r="C38" s="106">
        <f>'Bates Grain Kn Calculator'!Q40</f>
        <v>331.9625278548466</v>
      </c>
      <c r="D38" s="115">
        <f t="shared" si="5"/>
        <v>631.7516460217812</v>
      </c>
      <c r="E38" s="107">
        <f>'Bates Grain Kn Calculator'!P40</f>
        <v>3.9760782021995817</v>
      </c>
      <c r="F38" s="93">
        <f t="shared" si="0"/>
        <v>1.5534168966344635</v>
      </c>
      <c r="G38" s="93">
        <f t="shared" si="1"/>
        <v>3902.0185028542105</v>
      </c>
      <c r="H38" s="108">
        <f>'Bates Grain Kn Calculator'!N40-'Bates Grain Kn Calculator'!N41</f>
        <v>7.1551724137930872E-2</v>
      </c>
      <c r="I38" s="115">
        <f t="shared" si="2"/>
        <v>0.24095006791056489</v>
      </c>
      <c r="J38" s="93">
        <f t="shared" si="3"/>
        <v>0.29695664648863773</v>
      </c>
      <c r="K38" s="93">
        <v>7.7297183169623933</v>
      </c>
      <c r="L38" s="93">
        <f t="shared" si="4"/>
        <v>3902.0185028542105</v>
      </c>
      <c r="M38" s="109">
        <v>27031.98307524819</v>
      </c>
      <c r="Q38" s="3"/>
      <c r="Y38" s="80"/>
      <c r="Z38" s="80"/>
      <c r="AA38" s="80"/>
      <c r="AB38" s="80"/>
      <c r="AC38" s="80"/>
    </row>
    <row r="39" spans="2:29" ht="15" customHeight="1" x14ac:dyDescent="0.25">
      <c r="B39" s="130">
        <v>25</v>
      </c>
      <c r="C39" s="106">
        <f>'Bates Grain Kn Calculator'!Q41</f>
        <v>330.59341348482855</v>
      </c>
      <c r="D39" s="115">
        <f t="shared" si="5"/>
        <v>626.23163627050849</v>
      </c>
      <c r="E39" s="107">
        <f>'Bates Grain Kn Calculator'!P41</f>
        <v>3.9760782021995817</v>
      </c>
      <c r="F39" s="93">
        <f t="shared" si="0"/>
        <v>1.5522527874706873</v>
      </c>
      <c r="G39" s="93">
        <f t="shared" si="1"/>
        <v>3865.02555473757</v>
      </c>
      <c r="H39" s="108">
        <f>'Bates Grain Kn Calculator'!N41-'Bates Grain Kn Calculator'!N42</f>
        <v>7.1551724137931316E-2</v>
      </c>
      <c r="I39" s="115">
        <f t="shared" si="2"/>
        <v>0.24002132523221478</v>
      </c>
      <c r="J39" s="93">
        <f t="shared" si="3"/>
        <v>0.29810569568644274</v>
      </c>
      <c r="K39" s="93">
        <v>8.0278240126488356</v>
      </c>
      <c r="L39" s="93">
        <f t="shared" si="4"/>
        <v>3865.02555473757</v>
      </c>
      <c r="M39" s="109">
        <v>28169.510768493841</v>
      </c>
      <c r="Q39" s="3"/>
      <c r="Y39" s="80"/>
      <c r="Z39" s="80"/>
      <c r="AA39" s="80"/>
      <c r="AB39" s="80"/>
      <c r="AC39" s="80"/>
    </row>
    <row r="40" spans="2:29" ht="15" customHeight="1" x14ac:dyDescent="0.25">
      <c r="B40" s="130">
        <v>26</v>
      </c>
      <c r="C40" s="106">
        <f>'Bates Grain Kn Calculator'!Q42</f>
        <v>328.9330479587793</v>
      </c>
      <c r="D40" s="115">
        <f t="shared" si="5"/>
        <v>619.60203048451342</v>
      </c>
      <c r="E40" s="107">
        <f>'Bates Grain Kn Calculator'!P42</f>
        <v>3.9760782021995817</v>
      </c>
      <c r="F40" s="93">
        <f t="shared" si="0"/>
        <v>1.5508357395555059</v>
      </c>
      <c r="G40" s="93">
        <f t="shared" si="1"/>
        <v>3820.6174139196191</v>
      </c>
      <c r="H40" s="108">
        <f>'Bates Grain Kn Calculator'!N42-'Bates Grain Kn Calculator'!N43</f>
        <v>7.1551724137930872E-2</v>
      </c>
      <c r="I40" s="115">
        <f t="shared" si="2"/>
        <v>0.23889981332830737</v>
      </c>
      <c r="J40" s="93">
        <f t="shared" si="3"/>
        <v>0.29950514879474238</v>
      </c>
      <c r="K40" s="93">
        <v>8.3273291614435774</v>
      </c>
      <c r="L40" s="93">
        <f t="shared" si="4"/>
        <v>3820.6174139196191</v>
      </c>
      <c r="M40" s="109">
        <v>29299.063454425461</v>
      </c>
      <c r="Q40" s="3"/>
      <c r="Y40" s="80"/>
      <c r="Z40" s="80"/>
      <c r="AA40" s="80"/>
      <c r="AB40" s="80"/>
      <c r="AC40" s="80"/>
    </row>
    <row r="41" spans="2:29" ht="15" customHeight="1" x14ac:dyDescent="0.25">
      <c r="B41" s="130">
        <v>27</v>
      </c>
      <c r="C41" s="106">
        <f>'Bates Grain Kn Calculator'!Q43</f>
        <v>326.9814312766988</v>
      </c>
      <c r="D41" s="115">
        <f t="shared" si="5"/>
        <v>611.89917529763659</v>
      </c>
      <c r="E41" s="107">
        <f>'Bates Grain Kn Calculator'!P43</f>
        <v>3.9760782021995817</v>
      </c>
      <c r="F41" s="93">
        <f t="shared" si="0"/>
        <v>1.5491626441715651</v>
      </c>
      <c r="G41" s="93">
        <f t="shared" si="1"/>
        <v>3769.0491555332374</v>
      </c>
      <c r="H41" s="108">
        <f>'Bates Grain Kn Calculator'!N43-'Bates Grain Kn Calculator'!N44</f>
        <v>7.1551724137930872E-2</v>
      </c>
      <c r="I41" s="115">
        <f t="shared" si="2"/>
        <v>0.23758827062156426</v>
      </c>
      <c r="J41" s="93">
        <f t="shared" si="3"/>
        <v>0.3011584871203512</v>
      </c>
      <c r="K41" s="93">
        <v>8.6284876485639295</v>
      </c>
      <c r="L41" s="93">
        <f t="shared" si="4"/>
        <v>3769.0491555332374</v>
      </c>
      <c r="M41" s="109">
        <v>30419.3038758195</v>
      </c>
      <c r="Q41" s="3"/>
      <c r="Y41" s="80"/>
      <c r="Z41" s="80"/>
      <c r="AA41" s="80"/>
      <c r="AB41" s="80"/>
      <c r="AC41" s="80"/>
    </row>
    <row r="42" spans="2:29" ht="15" customHeight="1" x14ac:dyDescent="0.25">
      <c r="B42" s="130">
        <v>28</v>
      </c>
      <c r="C42" s="106">
        <f>'Bates Grain Kn Calculator'!Q44</f>
        <v>324.73856343858722</v>
      </c>
      <c r="D42" s="115">
        <f t="shared" si="5"/>
        <v>603.16496906642317</v>
      </c>
      <c r="E42" s="107">
        <f>'Bates Grain Kn Calculator'!P44</f>
        <v>3.9760782021995817</v>
      </c>
      <c r="F42" s="93">
        <f t="shared" si="0"/>
        <v>1.5472298002988243</v>
      </c>
      <c r="G42" s="93">
        <f t="shared" si="1"/>
        <v>3710.6146040075237</v>
      </c>
      <c r="H42" s="108">
        <f>'Bates Grain Kn Calculator'!N44-'Bates Grain Kn Calculator'!N45</f>
        <v>7.1551724137931316E-2</v>
      </c>
      <c r="I42" s="115">
        <f t="shared" si="2"/>
        <v>0.23608988856831653</v>
      </c>
      <c r="J42" s="93">
        <f t="shared" si="3"/>
        <v>0.30306983739045917</v>
      </c>
      <c r="K42" s="93">
        <v>8.9315574859543894</v>
      </c>
      <c r="L42" s="93">
        <f t="shared" si="4"/>
        <v>3710.6146040075237</v>
      </c>
      <c r="M42" s="109">
        <v>31528.923988280818</v>
      </c>
      <c r="O42" s="80"/>
      <c r="P42" s="80"/>
      <c r="Q42" s="80"/>
      <c r="Y42" s="80"/>
      <c r="Z42" s="80"/>
      <c r="AA42" s="80"/>
      <c r="AB42" s="80"/>
      <c r="AC42" s="80"/>
    </row>
    <row r="43" spans="2:29" ht="15" customHeight="1" thickBot="1" x14ac:dyDescent="0.3">
      <c r="B43" s="131">
        <v>29</v>
      </c>
      <c r="C43" s="110">
        <f>'Bates Grain Kn Calculator'!Q45</f>
        <v>322.20444444444445</v>
      </c>
      <c r="D43" s="116">
        <f t="shared" si="5"/>
        <v>593.44648239324306</v>
      </c>
      <c r="E43" s="111">
        <f>'Bates Grain Kn Calculator'!P45</f>
        <v>3.9760782021995817</v>
      </c>
      <c r="F43" s="97">
        <f t="shared" si="0"/>
        <v>1.5450328907828665</v>
      </c>
      <c r="G43" s="97">
        <f t="shared" si="1"/>
        <v>3645.6435760003365</v>
      </c>
      <c r="H43" s="112">
        <f>H42</f>
        <v>7.1551724137931316E-2</v>
      </c>
      <c r="I43" s="116">
        <f t="shared" si="2"/>
        <v>0.234408298719533</v>
      </c>
      <c r="J43" s="97">
        <f t="shared" si="3"/>
        <v>0.30524398892354138</v>
      </c>
      <c r="K43" s="97">
        <v>9.2368014748779306</v>
      </c>
      <c r="L43" s="97">
        <f t="shared" si="4"/>
        <v>3645.6435760003365</v>
      </c>
      <c r="M43" s="113">
        <v>32626.648861105939</v>
      </c>
      <c r="O43" s="80"/>
      <c r="P43" s="80"/>
      <c r="Q43" s="80"/>
      <c r="Y43" s="80"/>
      <c r="Z43" s="80"/>
      <c r="AA43" s="80"/>
      <c r="AB43" s="80"/>
      <c r="AC43" s="80"/>
    </row>
    <row r="44" spans="2:29" ht="12.75" customHeight="1" x14ac:dyDescent="0.25">
      <c r="C44" s="82"/>
      <c r="D44" s="80"/>
      <c r="E44" s="80"/>
      <c r="F44" s="80"/>
      <c r="G44" s="80"/>
      <c r="H44" s="80"/>
      <c r="I44" s="80"/>
      <c r="L44" s="3"/>
      <c r="M44" s="3"/>
      <c r="O44" s="80"/>
      <c r="P44" s="80"/>
      <c r="Q44" s="80"/>
      <c r="Y44" s="80"/>
      <c r="Z44" s="80"/>
      <c r="AA44" s="80"/>
      <c r="AB44" s="80"/>
      <c r="AC44" s="80"/>
    </row>
    <row r="45" spans="2:29" ht="12.75" customHeight="1" x14ac:dyDescent="0.25">
      <c r="F45" s="3"/>
      <c r="L45" s="3"/>
      <c r="M45" s="3"/>
      <c r="O45" s="80"/>
      <c r="P45" s="80"/>
      <c r="Q45" s="80"/>
      <c r="Y45" s="80"/>
      <c r="Z45" s="80"/>
      <c r="AA45" s="80"/>
      <c r="AB45" s="80"/>
      <c r="AC45" s="80"/>
    </row>
    <row r="46" spans="2:29" ht="12.75" customHeight="1" x14ac:dyDescent="0.25">
      <c r="F46" s="3"/>
      <c r="L46" s="3"/>
      <c r="M46" s="3"/>
      <c r="O46" s="80"/>
      <c r="P46" s="80"/>
      <c r="Q46" s="80"/>
      <c r="Y46" s="80"/>
      <c r="Z46" s="80"/>
      <c r="AA46" s="80"/>
      <c r="AB46" s="80"/>
      <c r="AC46" s="80"/>
    </row>
    <row r="47" spans="2:29" ht="12.75" customHeight="1" x14ac:dyDescent="0.25">
      <c r="D47" s="3"/>
      <c r="E47" s="3"/>
      <c r="L47" s="3"/>
      <c r="M47" s="3"/>
      <c r="O47" s="80"/>
      <c r="P47" s="80"/>
      <c r="Q47" s="80"/>
      <c r="Y47" s="80"/>
      <c r="Z47" s="80"/>
      <c r="AA47" s="80"/>
      <c r="AB47" s="80"/>
      <c r="AC47" s="80"/>
    </row>
    <row r="48" spans="2:29" ht="12.75" customHeight="1" x14ac:dyDescent="0.25">
      <c r="D48" s="3"/>
      <c r="E48" s="3"/>
      <c r="L48" s="3"/>
      <c r="M48" s="3"/>
      <c r="O48" s="80"/>
      <c r="P48" s="80"/>
      <c r="Q48" s="80"/>
      <c r="Y48" s="80"/>
      <c r="Z48" s="80"/>
      <c r="AA48" s="80"/>
      <c r="AB48" s="80"/>
      <c r="AC48" s="80"/>
    </row>
    <row r="49" spans="4:29" ht="12.75" customHeight="1" x14ac:dyDescent="0.25">
      <c r="D49" s="3"/>
      <c r="E49" s="3"/>
      <c r="L49" s="3"/>
      <c r="M49" s="3"/>
      <c r="O49" s="80"/>
      <c r="P49" s="80"/>
      <c r="Q49" s="80"/>
      <c r="Y49" s="80"/>
      <c r="Z49" s="80"/>
      <c r="AA49" s="80"/>
      <c r="AB49" s="80"/>
      <c r="AC49" s="80"/>
    </row>
    <row r="50" spans="4:29" ht="12.75" customHeight="1" x14ac:dyDescent="0.25">
      <c r="D50" s="3"/>
      <c r="E50" s="3"/>
      <c r="F50" s="3"/>
      <c r="L50" s="3"/>
      <c r="M50" s="3"/>
      <c r="O50" s="80"/>
      <c r="P50" s="80"/>
      <c r="Q50" s="80"/>
      <c r="Y50" s="80"/>
      <c r="Z50" s="80"/>
      <c r="AA50" s="80"/>
      <c r="AB50" s="80"/>
      <c r="AC50" s="80"/>
    </row>
    <row r="51" spans="4:29" ht="12.75" customHeight="1" x14ac:dyDescent="0.25">
      <c r="D51" s="3"/>
      <c r="E51" s="3"/>
      <c r="F51" s="3"/>
      <c r="L51" s="3"/>
      <c r="M51" s="3"/>
      <c r="O51" s="80"/>
      <c r="P51" s="80"/>
      <c r="Q51" s="80"/>
      <c r="Y51" s="80"/>
      <c r="Z51" s="80"/>
      <c r="AA51" s="80"/>
      <c r="AB51" s="80"/>
      <c r="AC51" s="80"/>
    </row>
    <row r="52" spans="4:29" ht="12.75" customHeight="1" x14ac:dyDescent="0.25">
      <c r="D52" s="3"/>
      <c r="E52" s="3"/>
      <c r="F52" s="3"/>
      <c r="L52" s="3"/>
      <c r="M52" s="3"/>
      <c r="O52" s="80"/>
      <c r="P52" s="80"/>
      <c r="Q52" s="80"/>
      <c r="Y52" s="80"/>
      <c r="Z52" s="80"/>
      <c r="AA52" s="80"/>
      <c r="AB52" s="80"/>
      <c r="AC52" s="80"/>
    </row>
    <row r="53" spans="4:29" ht="12.75" customHeight="1" x14ac:dyDescent="0.25">
      <c r="D53" s="3"/>
      <c r="E53" s="3"/>
      <c r="F53" s="3"/>
      <c r="L53" s="3"/>
      <c r="M53" s="3"/>
      <c r="O53" s="80"/>
      <c r="P53" s="80"/>
      <c r="Q53" s="80"/>
      <c r="Y53" s="80"/>
      <c r="Z53" s="80"/>
      <c r="AA53" s="80"/>
      <c r="AB53" s="80"/>
      <c r="AC53" s="80"/>
    </row>
    <row r="54" spans="4:29" ht="12.75" customHeight="1" x14ac:dyDescent="0.25">
      <c r="D54" s="3"/>
      <c r="E54" s="3"/>
      <c r="F54" s="3"/>
      <c r="L54" s="3"/>
      <c r="M54" s="3"/>
      <c r="O54" s="80"/>
      <c r="P54" s="80"/>
      <c r="Q54" s="80"/>
      <c r="Y54" s="80"/>
      <c r="Z54" s="80"/>
      <c r="AA54" s="80"/>
      <c r="AB54" s="80"/>
      <c r="AC54" s="80"/>
    </row>
    <row r="55" spans="4:29" ht="12.75" customHeight="1" x14ac:dyDescent="0.25">
      <c r="D55" s="3"/>
      <c r="E55" s="3"/>
      <c r="F55" s="3"/>
      <c r="L55" s="3"/>
      <c r="M55" s="3"/>
      <c r="O55" s="80"/>
      <c r="P55" s="80"/>
      <c r="Q55" s="80"/>
      <c r="Y55" s="80"/>
      <c r="Z55" s="80"/>
      <c r="AA55" s="80"/>
      <c r="AB55" s="80"/>
      <c r="AC55" s="80"/>
    </row>
    <row r="56" spans="4:29" ht="12.75" customHeight="1" x14ac:dyDescent="0.25">
      <c r="D56" s="3"/>
      <c r="E56" s="3"/>
      <c r="F56" s="3"/>
      <c r="L56" s="3"/>
      <c r="M56" s="3"/>
      <c r="O56" s="80"/>
      <c r="P56" s="80"/>
      <c r="Q56" s="80"/>
      <c r="Y56" s="80"/>
      <c r="Z56" s="80"/>
      <c r="AA56" s="80"/>
      <c r="AB56" s="80"/>
      <c r="AC56" s="80"/>
    </row>
    <row r="57" spans="4:29" ht="12.75" customHeight="1" x14ac:dyDescent="0.25">
      <c r="O57" s="80"/>
      <c r="P57" s="80"/>
      <c r="Q57" s="80"/>
      <c r="Y57" s="80"/>
      <c r="Z57" s="80"/>
      <c r="AA57" s="80"/>
      <c r="AB57" s="80"/>
      <c r="AC57" s="80"/>
    </row>
    <row r="58" spans="4:29" ht="12.75" customHeight="1" x14ac:dyDescent="0.25">
      <c r="D58" s="3"/>
      <c r="E58" s="3"/>
      <c r="F58" s="3"/>
      <c r="L58" s="3"/>
      <c r="M58" s="3"/>
      <c r="O58" s="80"/>
      <c r="P58" s="80"/>
      <c r="Q58" s="80"/>
      <c r="Y58" s="80"/>
      <c r="Z58" s="80"/>
      <c r="AA58" s="80"/>
      <c r="AB58" s="80"/>
      <c r="AC58" s="80"/>
    </row>
    <row r="59" spans="4:29" ht="12.75" customHeight="1" x14ac:dyDescent="0.25">
      <c r="D59" s="3"/>
      <c r="E59" s="3"/>
      <c r="F59" s="3"/>
      <c r="L59" s="3"/>
      <c r="M59" s="3"/>
      <c r="O59" s="80"/>
      <c r="P59" s="80"/>
      <c r="Q59" s="80"/>
      <c r="Y59" s="80"/>
      <c r="Z59" s="80"/>
      <c r="AA59" s="80"/>
      <c r="AB59" s="80"/>
      <c r="AC59" s="80"/>
    </row>
    <row r="60" spans="4:29" ht="12.75" customHeight="1" x14ac:dyDescent="0.25">
      <c r="D60" s="3"/>
      <c r="E60" s="3"/>
      <c r="F60" s="3"/>
      <c r="L60" s="3"/>
      <c r="M60" s="3"/>
      <c r="O60" s="80"/>
      <c r="P60" s="80"/>
      <c r="Q60" s="80"/>
      <c r="Y60" s="80"/>
      <c r="Z60" s="80"/>
      <c r="AA60" s="80"/>
      <c r="AB60" s="80"/>
      <c r="AC60" s="80"/>
    </row>
    <row r="61" spans="4:29" ht="12.75" customHeight="1" x14ac:dyDescent="0.25">
      <c r="D61" s="3"/>
      <c r="E61" s="3"/>
      <c r="F61" s="3"/>
      <c r="L61" s="3"/>
      <c r="M61" s="3"/>
      <c r="O61" s="80"/>
      <c r="P61" s="80"/>
      <c r="Q61" s="80"/>
      <c r="Y61" s="80"/>
      <c r="Z61" s="80"/>
      <c r="AA61" s="80"/>
      <c r="AB61" s="80"/>
      <c r="AC61" s="80"/>
    </row>
    <row r="62" spans="4:29" ht="12.75" customHeight="1" x14ac:dyDescent="0.25">
      <c r="D62" s="3"/>
      <c r="E62" s="3"/>
      <c r="F62" s="3"/>
      <c r="L62" s="3"/>
      <c r="M62" s="3"/>
      <c r="O62" s="80"/>
      <c r="P62" s="80"/>
      <c r="Q62" s="80"/>
      <c r="Y62" s="80"/>
      <c r="Z62" s="80"/>
      <c r="AA62" s="80"/>
      <c r="AB62" s="80"/>
      <c r="AC62" s="80"/>
    </row>
    <row r="63" spans="4:29" ht="12.75" customHeight="1" x14ac:dyDescent="0.25">
      <c r="D63" s="3"/>
      <c r="E63" s="3"/>
      <c r="F63" s="3"/>
      <c r="L63" s="3"/>
      <c r="M63" s="3"/>
      <c r="O63" s="80"/>
      <c r="P63" s="80"/>
      <c r="Q63" s="80"/>
      <c r="Y63" s="80"/>
      <c r="Z63" s="80"/>
      <c r="AA63" s="80"/>
      <c r="AB63" s="80"/>
      <c r="AC63" s="80"/>
    </row>
    <row r="64" spans="4:29" ht="12.75" customHeight="1" x14ac:dyDescent="0.25">
      <c r="D64" s="3"/>
      <c r="E64" s="3"/>
      <c r="F64" s="3"/>
      <c r="L64" s="3"/>
      <c r="M64" s="3"/>
      <c r="O64" s="80"/>
      <c r="P64" s="80"/>
      <c r="Q64" s="80"/>
      <c r="Y64" s="80"/>
      <c r="Z64" s="80"/>
      <c r="AA64" s="80"/>
      <c r="AB64" s="80"/>
      <c r="AC64" s="80"/>
    </row>
    <row r="65" spans="4:29" ht="12.75" customHeight="1" x14ac:dyDescent="0.25">
      <c r="D65" s="3"/>
      <c r="E65" s="3"/>
      <c r="F65" s="3"/>
      <c r="L65" s="3"/>
      <c r="M65" s="3"/>
      <c r="O65" s="80"/>
      <c r="P65" s="80"/>
      <c r="Q65" s="80"/>
      <c r="Y65" s="80"/>
      <c r="Z65" s="80"/>
      <c r="AA65" s="80"/>
      <c r="AB65" s="80"/>
      <c r="AC65" s="80"/>
    </row>
    <row r="66" spans="4:29" ht="12.75" customHeight="1" x14ac:dyDescent="0.25">
      <c r="D66" s="3"/>
      <c r="E66" s="3"/>
      <c r="F66" s="3"/>
      <c r="L66" s="3"/>
      <c r="M66" s="3"/>
      <c r="O66" s="80"/>
      <c r="P66" s="80"/>
      <c r="Q66" s="80"/>
      <c r="Y66" s="80"/>
      <c r="Z66" s="80"/>
      <c r="AA66" s="80"/>
      <c r="AB66" s="80"/>
      <c r="AC66" s="80"/>
    </row>
    <row r="67" spans="4:29" ht="12.75" customHeight="1" x14ac:dyDescent="0.25">
      <c r="D67" s="3"/>
      <c r="E67" s="3"/>
      <c r="F67" s="3"/>
      <c r="L67" s="3"/>
      <c r="M67" s="3"/>
      <c r="O67" s="80"/>
      <c r="P67" s="80"/>
      <c r="Q67" s="80"/>
      <c r="Y67" s="80"/>
      <c r="Z67" s="80"/>
      <c r="AA67" s="80"/>
      <c r="AB67" s="80"/>
      <c r="AC67" s="80"/>
    </row>
    <row r="68" spans="4:29" ht="12.75" customHeight="1" x14ac:dyDescent="0.25">
      <c r="D68" s="3"/>
      <c r="E68" s="3"/>
      <c r="F68" s="3"/>
      <c r="L68" s="3"/>
      <c r="M68" s="3"/>
      <c r="O68" s="80"/>
      <c r="P68" s="80"/>
      <c r="Q68" s="80"/>
      <c r="Y68" s="80"/>
      <c r="Z68" s="80"/>
      <c r="AA68" s="80"/>
      <c r="AB68" s="80"/>
      <c r="AC68" s="80"/>
    </row>
    <row r="69" spans="4:29" ht="12.75" customHeight="1" x14ac:dyDescent="0.25">
      <c r="D69" s="3"/>
      <c r="E69" s="3"/>
      <c r="F69" s="3"/>
      <c r="L69" s="3"/>
      <c r="M69" s="3"/>
      <c r="O69" s="80"/>
      <c r="P69" s="80"/>
      <c r="Q69" s="80"/>
      <c r="Y69" s="80"/>
      <c r="Z69" s="80"/>
      <c r="AA69" s="80"/>
      <c r="AB69" s="80"/>
      <c r="AC69" s="80"/>
    </row>
    <row r="70" spans="4:29" ht="12.75" customHeight="1" x14ac:dyDescent="0.25">
      <c r="D70" s="3"/>
      <c r="E70" s="3"/>
      <c r="F70" s="3"/>
      <c r="L70" s="3"/>
      <c r="M70" s="3"/>
      <c r="O70" s="80"/>
      <c r="P70" s="80"/>
      <c r="Q70" s="80"/>
      <c r="Y70" s="80"/>
      <c r="Z70" s="80"/>
      <c r="AA70" s="80"/>
      <c r="AB70" s="80"/>
      <c r="AC70" s="80"/>
    </row>
    <row r="71" spans="4:29" ht="12.75" customHeight="1" x14ac:dyDescent="0.25">
      <c r="D71" s="3"/>
      <c r="E71" s="3"/>
      <c r="F71" s="3"/>
      <c r="L71" s="3"/>
      <c r="M71" s="3"/>
      <c r="O71" s="80"/>
      <c r="P71" s="80"/>
      <c r="Q71" s="80"/>
      <c r="Y71" s="80"/>
      <c r="Z71" s="80"/>
      <c r="AA71" s="80"/>
      <c r="AB71" s="80"/>
      <c r="AC71" s="80"/>
    </row>
    <row r="72" spans="4:29" ht="12.75" customHeight="1" x14ac:dyDescent="0.25">
      <c r="D72" s="3"/>
      <c r="E72" s="3"/>
      <c r="F72" s="3"/>
      <c r="L72" s="3"/>
      <c r="M72" s="3"/>
      <c r="O72" s="80"/>
      <c r="P72" s="80"/>
      <c r="Q72" s="80"/>
      <c r="Y72" s="80"/>
      <c r="Z72" s="80"/>
      <c r="AA72" s="80"/>
      <c r="AB72" s="80"/>
      <c r="AC72" s="80"/>
    </row>
    <row r="73" spans="4:29" ht="12.75" customHeight="1" x14ac:dyDescent="0.25">
      <c r="D73" s="3"/>
      <c r="E73" s="3"/>
      <c r="F73" s="3"/>
      <c r="L73" s="3"/>
      <c r="M73" s="3"/>
      <c r="O73" s="80"/>
      <c r="P73" s="80"/>
      <c r="Q73" s="80"/>
      <c r="Y73" s="80"/>
      <c r="Z73" s="80"/>
      <c r="AA73" s="80"/>
      <c r="AB73" s="80"/>
      <c r="AC73" s="80"/>
    </row>
    <row r="74" spans="4:29" ht="12.75" customHeight="1" x14ac:dyDescent="0.25">
      <c r="D74" s="3"/>
      <c r="E74" s="3"/>
      <c r="F74" s="3"/>
      <c r="L74" s="3"/>
      <c r="M74" s="3"/>
      <c r="O74" s="80"/>
      <c r="P74" s="80"/>
      <c r="Q74" s="80"/>
      <c r="Y74" s="80"/>
      <c r="Z74" s="80"/>
      <c r="AA74" s="80"/>
      <c r="AB74" s="80"/>
      <c r="AC74" s="80"/>
    </row>
    <row r="75" spans="4:29" ht="12.75" customHeight="1" x14ac:dyDescent="0.25">
      <c r="D75" s="3"/>
      <c r="E75" s="3"/>
      <c r="F75" s="3"/>
      <c r="L75" s="3"/>
      <c r="M75" s="3"/>
      <c r="O75" s="80"/>
      <c r="P75" s="80"/>
      <c r="Q75" s="80"/>
      <c r="Y75" s="80"/>
      <c r="Z75" s="80"/>
      <c r="AA75" s="80"/>
      <c r="AB75" s="80"/>
      <c r="AC75" s="80"/>
    </row>
    <row r="76" spans="4:29" ht="12.75" customHeight="1" x14ac:dyDescent="0.25">
      <c r="D76" s="3"/>
      <c r="E76" s="3"/>
      <c r="F76" s="3"/>
      <c r="L76" s="3"/>
      <c r="M76" s="3"/>
      <c r="O76" s="80"/>
      <c r="P76" s="80"/>
      <c r="Q76" s="80"/>
      <c r="Y76" s="80"/>
      <c r="Z76" s="80"/>
      <c r="AA76" s="80"/>
      <c r="AB76" s="80"/>
      <c r="AC76" s="80"/>
    </row>
    <row r="77" spans="4:29" ht="12.75" customHeight="1" x14ac:dyDescent="0.25">
      <c r="D77" s="3"/>
      <c r="E77" s="3"/>
      <c r="F77" s="3"/>
      <c r="L77" s="3"/>
      <c r="M77" s="3"/>
      <c r="O77" s="80"/>
      <c r="P77" s="80"/>
      <c r="Q77" s="80"/>
      <c r="Y77" s="80"/>
      <c r="Z77" s="80"/>
      <c r="AA77" s="80"/>
      <c r="AB77" s="80"/>
      <c r="AC77" s="80"/>
    </row>
    <row r="78" spans="4:29" ht="12.75" customHeight="1" x14ac:dyDescent="0.25">
      <c r="D78" s="3"/>
      <c r="E78" s="3"/>
      <c r="F78" s="3"/>
      <c r="L78" s="3"/>
      <c r="M78" s="3"/>
      <c r="O78" s="80"/>
      <c r="P78" s="80"/>
      <c r="Q78" s="80"/>
      <c r="Y78" s="80"/>
      <c r="Z78" s="80"/>
      <c r="AA78" s="80"/>
      <c r="AB78" s="80"/>
      <c r="AC78" s="80"/>
    </row>
    <row r="79" spans="4:29" ht="12.75" customHeight="1" x14ac:dyDescent="0.25">
      <c r="D79" s="3"/>
      <c r="E79" s="3"/>
      <c r="F79" s="3"/>
      <c r="L79" s="3"/>
      <c r="M79" s="3"/>
      <c r="O79" s="80"/>
      <c r="P79" s="80"/>
      <c r="Q79" s="80"/>
      <c r="Y79" s="80"/>
      <c r="Z79" s="80"/>
      <c r="AA79" s="80"/>
      <c r="AB79" s="80"/>
      <c r="AC79" s="80"/>
    </row>
    <row r="80" spans="4:29" ht="12.75" customHeight="1" x14ac:dyDescent="0.25">
      <c r="D80" s="3"/>
      <c r="E80" s="3"/>
      <c r="F80" s="3"/>
      <c r="L80" s="3"/>
      <c r="M80" s="3"/>
      <c r="O80" s="80"/>
      <c r="P80" s="80"/>
      <c r="Q80" s="80"/>
      <c r="Y80" s="80"/>
      <c r="Z80" s="80"/>
      <c r="AA80" s="80"/>
      <c r="AB80" s="80"/>
      <c r="AC80" s="80"/>
    </row>
    <row r="81" spans="4:29" ht="12.75" customHeight="1" x14ac:dyDescent="0.25">
      <c r="D81" s="3"/>
      <c r="E81" s="3"/>
      <c r="F81" s="3"/>
      <c r="L81" s="3"/>
      <c r="M81" s="3"/>
      <c r="O81" s="80"/>
      <c r="P81" s="80"/>
      <c r="Q81" s="80"/>
      <c r="Y81" s="80"/>
      <c r="Z81" s="80"/>
      <c r="AA81" s="80"/>
      <c r="AB81" s="80"/>
      <c r="AC81" s="80"/>
    </row>
    <row r="82" spans="4:29" ht="12.75" customHeight="1" x14ac:dyDescent="0.25">
      <c r="D82" s="3"/>
      <c r="E82" s="3"/>
      <c r="F82" s="3"/>
      <c r="L82" s="3"/>
      <c r="M82" s="3"/>
      <c r="O82" s="80"/>
      <c r="P82" s="80"/>
      <c r="Q82" s="80"/>
      <c r="Y82" s="80"/>
      <c r="Z82" s="80"/>
      <c r="AA82" s="80"/>
      <c r="AB82" s="80"/>
      <c r="AC82" s="80"/>
    </row>
    <row r="83" spans="4:29" ht="12.75" customHeight="1" x14ac:dyDescent="0.25">
      <c r="D83" s="3"/>
      <c r="E83" s="3"/>
      <c r="F83" s="3"/>
      <c r="L83" s="3"/>
      <c r="M83" s="3"/>
      <c r="O83" s="80"/>
      <c r="P83" s="80"/>
      <c r="Q83" s="80"/>
      <c r="Y83" s="80"/>
      <c r="Z83" s="80"/>
      <c r="AA83" s="80"/>
      <c r="AB83" s="80"/>
      <c r="AC83" s="80"/>
    </row>
    <row r="84" spans="4:29" ht="12.75" customHeight="1" x14ac:dyDescent="0.25">
      <c r="D84" s="3"/>
      <c r="E84" s="3"/>
      <c r="F84" s="3"/>
      <c r="L84" s="3"/>
      <c r="M84" s="3"/>
      <c r="O84" s="80"/>
      <c r="P84" s="80"/>
      <c r="Q84" s="80"/>
      <c r="Y84" s="80"/>
      <c r="Z84" s="80"/>
      <c r="AA84" s="80"/>
      <c r="AB84" s="80"/>
      <c r="AC84" s="80"/>
    </row>
    <row r="85" spans="4:29" ht="12.75" customHeight="1" x14ac:dyDescent="0.25">
      <c r="D85" s="3"/>
      <c r="E85" s="3"/>
      <c r="F85" s="3"/>
      <c r="L85" s="3"/>
      <c r="M85" s="3"/>
      <c r="O85" s="80"/>
      <c r="P85" s="80"/>
      <c r="Q85" s="80"/>
      <c r="Y85" s="80"/>
      <c r="Z85" s="80"/>
      <c r="AA85" s="80"/>
      <c r="AB85" s="80"/>
      <c r="AC85" s="80"/>
    </row>
    <row r="86" spans="4:29" ht="12.75" customHeight="1" x14ac:dyDescent="0.25">
      <c r="D86" s="3"/>
      <c r="E86" s="3"/>
      <c r="F86" s="3"/>
      <c r="L86" s="3"/>
      <c r="M86" s="3"/>
      <c r="O86" s="80"/>
      <c r="P86" s="80"/>
      <c r="Q86" s="80"/>
      <c r="Y86" s="80"/>
      <c r="Z86" s="80"/>
      <c r="AA86" s="80"/>
      <c r="AB86" s="80"/>
      <c r="AC86" s="80"/>
    </row>
    <row r="87" spans="4:29" ht="12.75" customHeight="1" x14ac:dyDescent="0.25">
      <c r="D87" s="3"/>
      <c r="E87" s="3"/>
      <c r="F87" s="3"/>
      <c r="L87" s="3"/>
      <c r="M87" s="3"/>
      <c r="O87" s="80"/>
      <c r="P87" s="80"/>
      <c r="Q87" s="80"/>
      <c r="Y87" s="80"/>
      <c r="Z87" s="80"/>
      <c r="AA87" s="80"/>
      <c r="AB87" s="80"/>
      <c r="AC87" s="80"/>
    </row>
    <row r="88" spans="4:29" ht="12.75" customHeight="1" x14ac:dyDescent="0.25">
      <c r="D88" s="3"/>
      <c r="E88" s="3"/>
      <c r="F88" s="3"/>
      <c r="L88" s="3"/>
      <c r="M88" s="3"/>
      <c r="O88" s="80"/>
      <c r="P88" s="80"/>
      <c r="Q88" s="80"/>
      <c r="Y88" s="80"/>
      <c r="Z88" s="80"/>
      <c r="AA88" s="80"/>
      <c r="AB88" s="80"/>
      <c r="AC88" s="80"/>
    </row>
    <row r="89" spans="4:29" ht="12.75" customHeight="1" x14ac:dyDescent="0.25">
      <c r="D89" s="3"/>
      <c r="E89" s="3"/>
      <c r="F89" s="3"/>
      <c r="L89" s="3"/>
      <c r="M89" s="3"/>
      <c r="O89" s="80"/>
      <c r="P89" s="80"/>
      <c r="Q89" s="80"/>
      <c r="Y89" s="80"/>
      <c r="Z89" s="80"/>
      <c r="AA89" s="80"/>
      <c r="AB89" s="80"/>
      <c r="AC89" s="80"/>
    </row>
    <row r="90" spans="4:29" ht="12.75" customHeight="1" x14ac:dyDescent="0.25">
      <c r="D90" s="3"/>
      <c r="E90" s="3"/>
      <c r="F90" s="3"/>
      <c r="L90" s="3"/>
      <c r="M90" s="3"/>
      <c r="O90" s="80"/>
      <c r="P90" s="80"/>
      <c r="Q90" s="80"/>
      <c r="Y90" s="80"/>
      <c r="Z90" s="80"/>
      <c r="AA90" s="80"/>
      <c r="AB90" s="80"/>
      <c r="AC90" s="80"/>
    </row>
    <row r="91" spans="4:29" ht="12.75" customHeight="1" x14ac:dyDescent="0.25">
      <c r="D91" s="3"/>
      <c r="E91" s="3"/>
      <c r="F91" s="3"/>
      <c r="L91" s="3"/>
      <c r="M91" s="3"/>
      <c r="O91" s="80"/>
      <c r="P91" s="80"/>
      <c r="Q91" s="80"/>
      <c r="Y91" s="80"/>
      <c r="Z91" s="80"/>
      <c r="AA91" s="80"/>
      <c r="AB91" s="80"/>
      <c r="AC91" s="80"/>
    </row>
    <row r="92" spans="4:29" ht="12.75" customHeight="1" x14ac:dyDescent="0.25">
      <c r="D92" s="3"/>
      <c r="E92" s="3"/>
      <c r="F92" s="3"/>
      <c r="L92" s="3"/>
      <c r="M92" s="3"/>
      <c r="O92" s="80"/>
      <c r="P92" s="80"/>
      <c r="Q92" s="80"/>
      <c r="Y92" s="80"/>
      <c r="Z92" s="80"/>
      <c r="AA92" s="80"/>
      <c r="AB92" s="80"/>
      <c r="AC92" s="80"/>
    </row>
    <row r="93" spans="4:29" ht="12.75" customHeight="1" x14ac:dyDescent="0.25">
      <c r="D93" s="3"/>
      <c r="E93" s="3"/>
      <c r="F93" s="3"/>
      <c r="L93" s="3"/>
      <c r="M93" s="3"/>
      <c r="O93" s="80"/>
      <c r="P93" s="80"/>
      <c r="Q93" s="80"/>
      <c r="Y93" s="80"/>
      <c r="Z93" s="80"/>
      <c r="AA93" s="80"/>
      <c r="AB93" s="80"/>
      <c r="AC93" s="80"/>
    </row>
    <row r="94" spans="4:29" ht="12.75" customHeight="1" x14ac:dyDescent="0.25">
      <c r="D94" s="3"/>
      <c r="E94" s="3"/>
      <c r="F94" s="3"/>
      <c r="L94" s="3"/>
      <c r="M94" s="3"/>
      <c r="O94" s="80"/>
      <c r="P94" s="80"/>
      <c r="Q94" s="80"/>
      <c r="Y94" s="80"/>
      <c r="Z94" s="80"/>
      <c r="AA94" s="80"/>
      <c r="AB94" s="80"/>
      <c r="AC94" s="80"/>
    </row>
    <row r="95" spans="4:29" ht="12.75" customHeight="1" x14ac:dyDescent="0.25">
      <c r="D95" s="3"/>
      <c r="E95" s="3"/>
      <c r="F95" s="3"/>
      <c r="L95" s="3"/>
      <c r="M95" s="3"/>
      <c r="O95" s="80"/>
      <c r="P95" s="80"/>
      <c r="Q95" s="80"/>
      <c r="Y95" s="80"/>
      <c r="Z95" s="80"/>
      <c r="AA95" s="80"/>
      <c r="AB95" s="80"/>
      <c r="AC95" s="80"/>
    </row>
    <row r="96" spans="4:29" ht="12.75" customHeight="1" x14ac:dyDescent="0.25">
      <c r="D96" s="3"/>
      <c r="E96" s="3"/>
      <c r="F96" s="3"/>
      <c r="L96" s="3"/>
      <c r="M96" s="3"/>
      <c r="O96" s="80"/>
      <c r="P96" s="80"/>
      <c r="Q96" s="80"/>
      <c r="Y96" s="80"/>
      <c r="Z96" s="80"/>
      <c r="AA96" s="80"/>
      <c r="AB96" s="80"/>
      <c r="AC96" s="80"/>
    </row>
    <row r="97" spans="4:29" ht="12.75" customHeight="1" x14ac:dyDescent="0.25">
      <c r="D97" s="3"/>
      <c r="E97" s="3"/>
      <c r="F97" s="3"/>
      <c r="L97" s="3"/>
      <c r="M97" s="3"/>
      <c r="O97" s="80"/>
      <c r="P97" s="80"/>
      <c r="Q97" s="80"/>
      <c r="Y97" s="80"/>
      <c r="Z97" s="80"/>
      <c r="AA97" s="80"/>
      <c r="AB97" s="80"/>
      <c r="AC97" s="80"/>
    </row>
    <row r="98" spans="4:29" ht="12.75" customHeight="1" x14ac:dyDescent="0.25">
      <c r="D98" s="3"/>
      <c r="E98" s="3"/>
      <c r="F98" s="3"/>
      <c r="L98" s="3"/>
      <c r="M98" s="3"/>
      <c r="O98" s="80"/>
      <c r="P98" s="80"/>
      <c r="Q98" s="80"/>
      <c r="Y98" s="80"/>
      <c r="Z98" s="80"/>
      <c r="AA98" s="80"/>
      <c r="AB98" s="80"/>
      <c r="AC98" s="80"/>
    </row>
    <row r="99" spans="4:29" ht="12.75" customHeight="1" x14ac:dyDescent="0.25">
      <c r="D99" s="3"/>
      <c r="E99" s="3"/>
      <c r="F99" s="3"/>
      <c r="L99" s="3"/>
      <c r="M99" s="3"/>
      <c r="O99" s="80"/>
      <c r="P99" s="80"/>
      <c r="Q99" s="80"/>
      <c r="Y99" s="80"/>
      <c r="Z99" s="80"/>
      <c r="AA99" s="80"/>
      <c r="AB99" s="80"/>
      <c r="AC99" s="80"/>
    </row>
    <row r="100" spans="4:29" ht="12.75" customHeight="1" x14ac:dyDescent="0.25">
      <c r="D100" s="3"/>
      <c r="E100" s="3"/>
      <c r="F100" s="3"/>
      <c r="L100" s="3"/>
      <c r="M100" s="3"/>
      <c r="O100" s="80"/>
      <c r="P100" s="80"/>
      <c r="Q100" s="80"/>
      <c r="Y100" s="80"/>
      <c r="Z100" s="80"/>
      <c r="AA100" s="80"/>
      <c r="AB100" s="80"/>
      <c r="AC100" s="80"/>
    </row>
    <row r="101" spans="4:29" ht="12.75" customHeight="1" x14ac:dyDescent="0.25">
      <c r="D101" s="3"/>
      <c r="E101" s="3"/>
      <c r="F101" s="3"/>
      <c r="L101" s="3"/>
      <c r="M101" s="3"/>
      <c r="O101" s="80"/>
      <c r="P101" s="80"/>
      <c r="Q101" s="80"/>
      <c r="Y101" s="80"/>
      <c r="Z101" s="80"/>
      <c r="AA101" s="80"/>
      <c r="AB101" s="80"/>
      <c r="AC101" s="80"/>
    </row>
    <row r="102" spans="4:29" ht="12.75" customHeight="1" x14ac:dyDescent="0.25">
      <c r="D102" s="3"/>
      <c r="E102" s="3"/>
      <c r="F102" s="3"/>
      <c r="L102" s="3"/>
      <c r="M102" s="3"/>
      <c r="O102" s="80"/>
      <c r="P102" s="80"/>
      <c r="Q102" s="80"/>
      <c r="Y102" s="80"/>
      <c r="Z102" s="80"/>
      <c r="AA102" s="80"/>
      <c r="AB102" s="80"/>
      <c r="AC102" s="80"/>
    </row>
    <row r="103" spans="4:29" ht="12.75" customHeight="1" x14ac:dyDescent="0.25">
      <c r="D103" s="3"/>
      <c r="E103" s="3"/>
      <c r="F103" s="3"/>
      <c r="L103" s="3"/>
      <c r="M103" s="3"/>
      <c r="O103" s="80"/>
      <c r="P103" s="80"/>
      <c r="Q103" s="80"/>
      <c r="Y103" s="80"/>
      <c r="Z103" s="80"/>
      <c r="AA103" s="80"/>
      <c r="AB103" s="80"/>
      <c r="AC103" s="80"/>
    </row>
    <row r="104" spans="4:29" ht="12.75" customHeight="1" x14ac:dyDescent="0.25">
      <c r="D104" s="3"/>
      <c r="E104" s="3"/>
      <c r="F104" s="3"/>
      <c r="L104" s="3"/>
      <c r="M104" s="3"/>
      <c r="O104" s="80"/>
      <c r="P104" s="80"/>
      <c r="Q104" s="80"/>
      <c r="Y104" s="80"/>
      <c r="Z104" s="80"/>
      <c r="AA104" s="80"/>
      <c r="AB104" s="80"/>
      <c r="AC104" s="80"/>
    </row>
    <row r="105" spans="4:29" ht="12.75" customHeight="1" x14ac:dyDescent="0.25">
      <c r="D105" s="3"/>
      <c r="E105" s="3"/>
      <c r="F105" s="3"/>
      <c r="L105" s="3"/>
      <c r="M105" s="3"/>
      <c r="O105" s="80"/>
      <c r="P105" s="80"/>
      <c r="Q105" s="80"/>
      <c r="Y105" s="80"/>
      <c r="Z105" s="80"/>
      <c r="AA105" s="80"/>
      <c r="AB105" s="80"/>
      <c r="AC105" s="80"/>
    </row>
    <row r="106" spans="4:29" ht="12.75" customHeight="1" x14ac:dyDescent="0.25">
      <c r="D106" s="3"/>
      <c r="E106" s="3"/>
      <c r="F106" s="3"/>
      <c r="L106" s="3"/>
      <c r="M106" s="3"/>
      <c r="O106" s="80"/>
      <c r="P106" s="80"/>
      <c r="Q106" s="80"/>
    </row>
    <row r="107" spans="4:29" ht="12.75" customHeight="1" x14ac:dyDescent="0.25">
      <c r="D107" s="3"/>
      <c r="E107" s="3"/>
      <c r="F107" s="3"/>
      <c r="L107" s="3"/>
      <c r="M107" s="3"/>
      <c r="O107" s="80"/>
      <c r="P107" s="80"/>
      <c r="Q107" s="80"/>
    </row>
    <row r="108" spans="4:29" ht="12.75" customHeight="1" x14ac:dyDescent="0.25">
      <c r="D108" s="3"/>
      <c r="E108" s="3"/>
      <c r="F108" s="3"/>
      <c r="L108" s="3"/>
      <c r="M108" s="3"/>
      <c r="O108" s="80"/>
      <c r="P108" s="80"/>
      <c r="Q108" s="80"/>
    </row>
    <row r="109" spans="4:29" ht="12.75" customHeight="1" x14ac:dyDescent="0.25">
      <c r="D109" s="3"/>
      <c r="E109" s="3"/>
      <c r="F109" s="3"/>
      <c r="L109" s="3"/>
      <c r="M109" s="3"/>
      <c r="O109" s="80"/>
      <c r="P109" s="80"/>
      <c r="Q109" s="80"/>
    </row>
    <row r="110" spans="4:29" ht="12.75" customHeight="1" x14ac:dyDescent="0.25">
      <c r="D110" s="3"/>
      <c r="E110" s="3"/>
      <c r="F110" s="3"/>
      <c r="L110" s="3"/>
      <c r="M110" s="3"/>
      <c r="O110" s="80"/>
      <c r="P110" s="80"/>
      <c r="Q110" s="80"/>
    </row>
    <row r="111" spans="4:29" ht="12.75" customHeight="1" x14ac:dyDescent="0.25">
      <c r="D111" s="3"/>
      <c r="E111" s="3"/>
      <c r="F111" s="3"/>
      <c r="L111" s="3"/>
      <c r="M111" s="3"/>
      <c r="O111" s="80"/>
      <c r="P111" s="80"/>
      <c r="Q111" s="80"/>
    </row>
    <row r="112" spans="4:29" ht="12.75" customHeight="1" x14ac:dyDescent="0.25">
      <c r="D112" s="3"/>
      <c r="E112" s="3"/>
      <c r="F112" s="3"/>
      <c r="L112" s="3"/>
      <c r="M112" s="3"/>
      <c r="O112" s="80"/>
      <c r="P112" s="80"/>
      <c r="Q112" s="80"/>
    </row>
    <row r="113" spans="4:17" ht="12.75" customHeight="1" x14ac:dyDescent="0.25">
      <c r="D113" s="3"/>
      <c r="E113" s="3"/>
      <c r="F113" s="3"/>
      <c r="L113" s="3"/>
      <c r="M113" s="3"/>
      <c r="O113" s="80"/>
      <c r="P113" s="80"/>
      <c r="Q113" s="80"/>
    </row>
    <row r="114" spans="4:17" ht="12.75" customHeight="1" x14ac:dyDescent="0.25">
      <c r="D114" s="3"/>
      <c r="E114" s="3"/>
      <c r="F114" s="3"/>
      <c r="L114" s="3"/>
      <c r="M114" s="3"/>
      <c r="O114" s="80"/>
      <c r="P114" s="80"/>
      <c r="Q114" s="80"/>
    </row>
    <row r="115" spans="4:17" ht="12.75" customHeight="1" x14ac:dyDescent="0.25">
      <c r="D115" s="3"/>
      <c r="E115" s="3"/>
      <c r="F115" s="3"/>
      <c r="L115" s="3"/>
      <c r="M115" s="3"/>
      <c r="O115" s="80"/>
      <c r="P115" s="80"/>
      <c r="Q115" s="80"/>
    </row>
    <row r="116" spans="4:17" ht="12.75" customHeight="1" x14ac:dyDescent="0.25">
      <c r="D116" s="3"/>
      <c r="E116" s="3"/>
      <c r="F116" s="3"/>
      <c r="L116" s="3"/>
      <c r="M116" s="3"/>
      <c r="O116" s="80"/>
      <c r="P116" s="80"/>
      <c r="Q116" s="80"/>
    </row>
    <row r="117" spans="4:17" ht="12.75" customHeight="1" x14ac:dyDescent="0.25">
      <c r="D117" s="3"/>
      <c r="E117" s="3"/>
      <c r="F117" s="3"/>
      <c r="L117" s="3"/>
      <c r="M117" s="3"/>
      <c r="O117" s="80"/>
      <c r="P117" s="80"/>
      <c r="Q117" s="80"/>
    </row>
    <row r="118" spans="4:17" ht="12.75" customHeight="1" x14ac:dyDescent="0.25">
      <c r="D118" s="3"/>
      <c r="E118" s="3"/>
      <c r="F118" s="3"/>
      <c r="L118" s="3"/>
      <c r="M118" s="3"/>
      <c r="O118" s="80"/>
      <c r="P118" s="80"/>
      <c r="Q118" s="80"/>
    </row>
    <row r="119" spans="4:17" ht="12.75" customHeight="1" x14ac:dyDescent="0.25">
      <c r="D119" s="3"/>
      <c r="E119" s="3"/>
      <c r="F119" s="3"/>
      <c r="L119" s="3"/>
      <c r="M119" s="3"/>
      <c r="O119" s="80"/>
      <c r="P119" s="80"/>
      <c r="Q119" s="80"/>
    </row>
    <row r="120" spans="4:17" ht="12.75" customHeight="1" x14ac:dyDescent="0.25">
      <c r="D120" s="3"/>
      <c r="E120" s="3"/>
      <c r="F120" s="3"/>
      <c r="L120" s="3"/>
      <c r="M120" s="3"/>
      <c r="O120" s="80"/>
      <c r="P120" s="80"/>
      <c r="Q120" s="80"/>
    </row>
    <row r="121" spans="4:17" ht="12.75" customHeight="1" x14ac:dyDescent="0.25">
      <c r="D121" s="3"/>
      <c r="E121" s="3"/>
      <c r="F121" s="3"/>
      <c r="L121" s="3"/>
      <c r="M121" s="3"/>
      <c r="O121" s="80"/>
      <c r="P121" s="80"/>
      <c r="Q121" s="80"/>
    </row>
    <row r="122" spans="4:17" ht="12.75" customHeight="1" x14ac:dyDescent="0.25">
      <c r="D122" s="3"/>
      <c r="E122" s="3"/>
      <c r="F122" s="3"/>
      <c r="L122" s="3"/>
      <c r="M122" s="3"/>
      <c r="O122" s="80"/>
      <c r="P122" s="80"/>
      <c r="Q122" s="80"/>
    </row>
    <row r="123" spans="4:17" ht="12.75" customHeight="1" x14ac:dyDescent="0.25">
      <c r="D123" s="3"/>
      <c r="E123" s="3"/>
      <c r="F123" s="3"/>
      <c r="L123" s="3"/>
      <c r="M123" s="3"/>
      <c r="O123" s="80"/>
      <c r="P123" s="80"/>
      <c r="Q123" s="80"/>
    </row>
    <row r="124" spans="4:17" ht="12.75" customHeight="1" x14ac:dyDescent="0.25">
      <c r="D124" s="3"/>
      <c r="E124" s="3"/>
      <c r="F124" s="3"/>
      <c r="L124" s="3"/>
      <c r="M124" s="3"/>
      <c r="O124" s="80"/>
      <c r="P124" s="80"/>
      <c r="Q124" s="80"/>
    </row>
    <row r="125" spans="4:17" ht="12.75" customHeight="1" x14ac:dyDescent="0.25">
      <c r="D125" s="3"/>
      <c r="E125" s="3"/>
      <c r="F125" s="3"/>
      <c r="L125" s="3"/>
      <c r="M125" s="3"/>
      <c r="O125" s="80"/>
      <c r="P125" s="80"/>
      <c r="Q125" s="80"/>
    </row>
    <row r="126" spans="4:17" ht="12.75" customHeight="1" x14ac:dyDescent="0.25">
      <c r="D126" s="3"/>
      <c r="E126" s="3"/>
      <c r="F126" s="3"/>
      <c r="L126" s="3"/>
      <c r="M126" s="3"/>
      <c r="O126" s="80"/>
      <c r="P126" s="80"/>
      <c r="Q126" s="80"/>
    </row>
    <row r="127" spans="4:17" ht="12.75" customHeight="1" x14ac:dyDescent="0.25">
      <c r="D127" s="3"/>
      <c r="E127" s="3"/>
      <c r="F127" s="3"/>
      <c r="L127" s="3"/>
      <c r="M127" s="3"/>
      <c r="O127" s="80"/>
      <c r="P127" s="80"/>
      <c r="Q127" s="80"/>
    </row>
    <row r="128" spans="4:17" ht="12.75" customHeight="1" x14ac:dyDescent="0.25">
      <c r="D128" s="3"/>
      <c r="E128" s="3"/>
      <c r="F128" s="3"/>
      <c r="L128" s="3"/>
      <c r="M128" s="3"/>
      <c r="O128" s="80"/>
      <c r="P128" s="80"/>
      <c r="Q128" s="80"/>
    </row>
    <row r="129" spans="4:17" ht="12.75" customHeight="1" x14ac:dyDescent="0.25">
      <c r="D129" s="3"/>
      <c r="E129" s="3"/>
      <c r="F129" s="3"/>
      <c r="L129" s="3"/>
      <c r="M129" s="3"/>
      <c r="O129" s="80"/>
      <c r="P129" s="80"/>
      <c r="Q129" s="80"/>
    </row>
    <row r="130" spans="4:17" ht="12.75" customHeight="1" x14ac:dyDescent="0.25">
      <c r="D130" s="3"/>
      <c r="E130" s="3"/>
      <c r="F130" s="3"/>
      <c r="L130" s="3"/>
      <c r="M130" s="3"/>
      <c r="O130" s="80"/>
      <c r="P130" s="80"/>
      <c r="Q130" s="80"/>
    </row>
    <row r="131" spans="4:17" ht="12.75" customHeight="1" x14ac:dyDescent="0.25">
      <c r="D131" s="3"/>
      <c r="E131" s="3"/>
      <c r="F131" s="3"/>
      <c r="L131" s="3"/>
      <c r="M131" s="3"/>
      <c r="O131" s="80"/>
      <c r="P131" s="80"/>
      <c r="Q131" s="80"/>
    </row>
    <row r="132" spans="4:17" ht="12.75" customHeight="1" x14ac:dyDescent="0.25">
      <c r="D132" s="3"/>
      <c r="E132" s="3"/>
      <c r="F132" s="3"/>
      <c r="L132" s="3"/>
      <c r="M132" s="3"/>
      <c r="O132" s="80"/>
      <c r="P132" s="80"/>
      <c r="Q132" s="80"/>
    </row>
    <row r="133" spans="4:17" ht="12.75" customHeight="1" x14ac:dyDescent="0.25">
      <c r="D133" s="3"/>
      <c r="E133" s="3"/>
      <c r="F133" s="3"/>
      <c r="L133" s="3"/>
      <c r="M133" s="3"/>
      <c r="O133" s="80"/>
      <c r="P133" s="80"/>
      <c r="Q133" s="80"/>
    </row>
    <row r="134" spans="4:17" ht="12.75" customHeight="1" x14ac:dyDescent="0.25">
      <c r="D134" s="3"/>
      <c r="E134" s="3"/>
      <c r="F134" s="3"/>
      <c r="L134" s="3"/>
      <c r="M134" s="3"/>
      <c r="O134" s="80"/>
      <c r="P134" s="80"/>
      <c r="Q134" s="80"/>
    </row>
    <row r="135" spans="4:17" ht="12.75" customHeight="1" x14ac:dyDescent="0.25">
      <c r="D135" s="3"/>
      <c r="E135" s="3"/>
      <c r="F135" s="3"/>
      <c r="L135" s="3"/>
      <c r="M135" s="3"/>
      <c r="O135" s="80"/>
      <c r="P135" s="80"/>
      <c r="Q135" s="80"/>
    </row>
    <row r="136" spans="4:17" ht="12.75" customHeight="1" x14ac:dyDescent="0.25">
      <c r="D136" s="3"/>
      <c r="E136" s="3"/>
      <c r="F136" s="3"/>
      <c r="L136" s="3"/>
      <c r="M136" s="3"/>
      <c r="O136" s="80"/>
      <c r="P136" s="80"/>
      <c r="Q136" s="80"/>
    </row>
    <row r="137" spans="4:17" ht="12.75" customHeight="1" x14ac:dyDescent="0.25">
      <c r="D137" s="3"/>
      <c r="E137" s="3"/>
      <c r="F137" s="3"/>
      <c r="L137" s="3"/>
      <c r="M137" s="3"/>
      <c r="O137" s="80"/>
      <c r="P137" s="80"/>
      <c r="Q137" s="80"/>
    </row>
    <row r="138" spans="4:17" ht="12.75" customHeight="1" x14ac:dyDescent="0.25">
      <c r="D138" s="3"/>
      <c r="E138" s="3"/>
      <c r="F138" s="3"/>
      <c r="L138" s="3"/>
      <c r="M138" s="3"/>
      <c r="O138" s="80"/>
      <c r="P138" s="80"/>
      <c r="Q138" s="80"/>
    </row>
    <row r="139" spans="4:17" ht="12.75" customHeight="1" x14ac:dyDescent="0.25">
      <c r="D139" s="3"/>
      <c r="E139" s="3"/>
      <c r="F139" s="3"/>
      <c r="L139" s="3"/>
      <c r="M139" s="3"/>
      <c r="O139" s="80"/>
      <c r="P139" s="80"/>
      <c r="Q139" s="80"/>
    </row>
    <row r="140" spans="4:17" ht="12.75" customHeight="1" x14ac:dyDescent="0.25">
      <c r="D140" s="3"/>
      <c r="E140" s="3"/>
      <c r="F140" s="3"/>
      <c r="L140" s="3"/>
      <c r="M140" s="3"/>
      <c r="O140" s="80"/>
      <c r="P140" s="80"/>
      <c r="Q140" s="80"/>
    </row>
    <row r="141" spans="4:17" ht="12.75" customHeight="1" x14ac:dyDescent="0.25">
      <c r="D141" s="3"/>
      <c r="E141" s="3"/>
      <c r="F141" s="3"/>
      <c r="L141" s="3"/>
      <c r="M141" s="3"/>
      <c r="O141" s="80"/>
      <c r="P141" s="80"/>
      <c r="Q141" s="80"/>
    </row>
    <row r="142" spans="4:17" ht="12.75" customHeight="1" x14ac:dyDescent="0.25">
      <c r="D142" s="3"/>
      <c r="E142" s="3"/>
      <c r="F142" s="3"/>
      <c r="L142" s="3"/>
      <c r="M142" s="3"/>
      <c r="O142" s="80"/>
      <c r="P142" s="80"/>
      <c r="Q142" s="80"/>
    </row>
    <row r="143" spans="4:17" ht="12.75" customHeight="1" x14ac:dyDescent="0.25">
      <c r="D143" s="3"/>
      <c r="E143" s="3"/>
      <c r="F143" s="3"/>
      <c r="L143" s="3"/>
      <c r="M143" s="3"/>
      <c r="O143" s="80"/>
      <c r="P143" s="80"/>
      <c r="Q143" s="80"/>
    </row>
    <row r="144" spans="4:17" ht="12.75" customHeight="1" x14ac:dyDescent="0.25">
      <c r="D144" s="3"/>
      <c r="E144" s="3"/>
      <c r="F144" s="3"/>
      <c r="L144" s="3"/>
      <c r="M144" s="3"/>
      <c r="O144" s="80"/>
      <c r="P144" s="80"/>
      <c r="Q144" s="80"/>
    </row>
    <row r="145" spans="4:17" ht="12.75" customHeight="1" x14ac:dyDescent="0.25">
      <c r="D145" s="3"/>
      <c r="E145" s="3"/>
      <c r="F145" s="3"/>
      <c r="L145" s="3"/>
      <c r="M145" s="3"/>
      <c r="O145" s="80"/>
      <c r="P145" s="80"/>
      <c r="Q145" s="80"/>
    </row>
    <row r="146" spans="4:17" ht="12.75" customHeight="1" x14ac:dyDescent="0.25">
      <c r="D146" s="3"/>
      <c r="E146" s="3"/>
      <c r="F146" s="3"/>
      <c r="L146" s="3"/>
      <c r="M146" s="3"/>
      <c r="O146" s="80"/>
      <c r="P146" s="80"/>
      <c r="Q146" s="80"/>
    </row>
    <row r="147" spans="4:17" ht="12.75" customHeight="1" x14ac:dyDescent="0.25">
      <c r="D147" s="3"/>
      <c r="E147" s="3"/>
      <c r="F147" s="3"/>
      <c r="L147" s="3"/>
      <c r="M147" s="3"/>
      <c r="O147" s="80"/>
      <c r="P147" s="80"/>
      <c r="Q147" s="80"/>
    </row>
    <row r="148" spans="4:17" ht="12.75" customHeight="1" x14ac:dyDescent="0.25">
      <c r="D148" s="3"/>
      <c r="E148" s="3"/>
      <c r="F148" s="3"/>
      <c r="L148" s="3"/>
      <c r="M148" s="3"/>
      <c r="O148" s="80"/>
      <c r="P148" s="80"/>
      <c r="Q148" s="80"/>
    </row>
    <row r="149" spans="4:17" ht="12.75" customHeight="1" x14ac:dyDescent="0.25">
      <c r="D149" s="3"/>
      <c r="E149" s="3"/>
      <c r="F149" s="3"/>
      <c r="L149" s="3"/>
      <c r="M149" s="3"/>
      <c r="O149" s="80"/>
      <c r="P149" s="80"/>
      <c r="Q149" s="80"/>
    </row>
    <row r="150" spans="4:17" ht="12.75" customHeight="1" x14ac:dyDescent="0.25">
      <c r="D150" s="3"/>
      <c r="E150" s="3"/>
      <c r="F150" s="3"/>
      <c r="L150" s="3"/>
      <c r="M150" s="3"/>
      <c r="O150" s="80"/>
      <c r="P150" s="80"/>
      <c r="Q150" s="80"/>
    </row>
    <row r="151" spans="4:17" ht="12.75" customHeight="1" x14ac:dyDescent="0.25">
      <c r="D151" s="3"/>
      <c r="E151" s="3"/>
      <c r="F151" s="3"/>
      <c r="L151" s="3"/>
      <c r="M151" s="3"/>
      <c r="O151" s="80"/>
      <c r="P151" s="80"/>
      <c r="Q151" s="80"/>
    </row>
    <row r="152" spans="4:17" ht="12.75" customHeight="1" x14ac:dyDescent="0.25">
      <c r="D152" s="3"/>
      <c r="E152" s="3"/>
      <c r="F152" s="3"/>
      <c r="L152" s="3"/>
      <c r="M152" s="3"/>
      <c r="O152" s="80"/>
      <c r="P152" s="80"/>
      <c r="Q152" s="80"/>
    </row>
    <row r="153" spans="4:17" ht="12.75" customHeight="1" x14ac:dyDescent="0.25">
      <c r="D153" s="3"/>
      <c r="E153" s="3"/>
      <c r="F153" s="3"/>
      <c r="L153" s="3"/>
      <c r="M153" s="3"/>
      <c r="O153" s="80"/>
      <c r="P153" s="80"/>
      <c r="Q153" s="80"/>
    </row>
    <row r="154" spans="4:17" ht="12.75" customHeight="1" x14ac:dyDescent="0.25">
      <c r="D154" s="3"/>
      <c r="E154" s="3"/>
      <c r="F154" s="3"/>
      <c r="L154" s="3"/>
      <c r="M154" s="3"/>
      <c r="O154" s="80"/>
      <c r="P154" s="80"/>
      <c r="Q154" s="80"/>
    </row>
    <row r="155" spans="4:17" ht="12.75" customHeight="1" x14ac:dyDescent="0.25">
      <c r="D155" s="3"/>
      <c r="E155" s="3"/>
      <c r="F155" s="3"/>
      <c r="L155" s="3"/>
      <c r="M155" s="3"/>
      <c r="O155" s="80"/>
      <c r="P155" s="80"/>
      <c r="Q155" s="80"/>
    </row>
    <row r="156" spans="4:17" ht="12.75" customHeight="1" x14ac:dyDescent="0.25">
      <c r="D156" s="3"/>
      <c r="E156" s="3"/>
      <c r="F156" s="3"/>
      <c r="L156" s="3"/>
      <c r="M156" s="3"/>
      <c r="O156" s="80"/>
      <c r="P156" s="80"/>
      <c r="Q156" s="80"/>
    </row>
    <row r="157" spans="4:17" ht="12.75" customHeight="1" x14ac:dyDescent="0.25">
      <c r="D157" s="3"/>
      <c r="E157" s="3"/>
      <c r="F157" s="3"/>
      <c r="L157" s="3"/>
      <c r="M157" s="3"/>
      <c r="O157" s="80"/>
      <c r="P157" s="80"/>
      <c r="Q157" s="80"/>
    </row>
    <row r="158" spans="4:17" ht="12.75" customHeight="1" x14ac:dyDescent="0.25">
      <c r="D158" s="3"/>
      <c r="E158" s="3"/>
      <c r="F158" s="3"/>
      <c r="L158" s="3"/>
      <c r="M158" s="3"/>
      <c r="O158" s="80"/>
      <c r="P158" s="80"/>
      <c r="Q158" s="80"/>
    </row>
    <row r="159" spans="4:17" ht="12.75" customHeight="1" x14ac:dyDescent="0.25">
      <c r="D159" s="3"/>
      <c r="E159" s="3"/>
      <c r="F159" s="3"/>
      <c r="L159" s="3"/>
      <c r="M159" s="3"/>
      <c r="O159" s="80"/>
      <c r="P159" s="80"/>
      <c r="Q159" s="80"/>
    </row>
    <row r="160" spans="4:17" ht="12.75" customHeight="1" x14ac:dyDescent="0.25">
      <c r="D160" s="3"/>
      <c r="E160" s="3"/>
      <c r="F160" s="3"/>
      <c r="L160" s="3"/>
      <c r="M160" s="3"/>
      <c r="O160" s="80"/>
      <c r="P160" s="80"/>
      <c r="Q160" s="80"/>
    </row>
    <row r="161" spans="4:17" ht="12.75" customHeight="1" x14ac:dyDescent="0.25">
      <c r="D161" s="3"/>
      <c r="E161" s="3"/>
      <c r="F161" s="3"/>
      <c r="L161" s="3"/>
      <c r="M161" s="3"/>
      <c r="O161" s="80"/>
      <c r="P161" s="80"/>
      <c r="Q161" s="80"/>
    </row>
    <row r="162" spans="4:17" ht="12.75" customHeight="1" x14ac:dyDescent="0.25">
      <c r="D162" s="3"/>
      <c r="E162" s="3"/>
      <c r="F162" s="3"/>
      <c r="L162" s="3"/>
      <c r="M162" s="3"/>
      <c r="O162" s="80"/>
      <c r="P162" s="80"/>
      <c r="Q162" s="80"/>
    </row>
    <row r="163" spans="4:17" ht="12.75" customHeight="1" x14ac:dyDescent="0.25">
      <c r="D163" s="3"/>
      <c r="E163" s="3"/>
      <c r="F163" s="3"/>
      <c r="L163" s="3"/>
      <c r="M163" s="3"/>
      <c r="O163" s="80"/>
      <c r="P163" s="80"/>
      <c r="Q163" s="80"/>
    </row>
    <row r="164" spans="4:17" ht="12.75" customHeight="1" x14ac:dyDescent="0.25">
      <c r="D164" s="3"/>
      <c r="E164" s="3"/>
      <c r="F164" s="3"/>
      <c r="L164" s="3"/>
      <c r="M164" s="3"/>
      <c r="O164" s="80"/>
      <c r="P164" s="80"/>
      <c r="Q164" s="80"/>
    </row>
    <row r="165" spans="4:17" ht="12.75" customHeight="1" x14ac:dyDescent="0.25">
      <c r="D165" s="3"/>
      <c r="E165" s="3"/>
      <c r="F165" s="3"/>
      <c r="L165" s="3"/>
      <c r="M165" s="3"/>
      <c r="O165" s="80"/>
      <c r="P165" s="80"/>
      <c r="Q165" s="80"/>
    </row>
    <row r="166" spans="4:17" ht="12.75" customHeight="1" x14ac:dyDescent="0.25">
      <c r="D166" s="3"/>
      <c r="E166" s="3"/>
      <c r="F166" s="3"/>
      <c r="L166" s="3"/>
      <c r="M166" s="3"/>
      <c r="O166" s="80"/>
      <c r="P166" s="80"/>
      <c r="Q166" s="80"/>
    </row>
    <row r="167" spans="4:17" ht="12.75" customHeight="1" x14ac:dyDescent="0.25">
      <c r="D167" s="3"/>
      <c r="E167" s="3"/>
      <c r="F167" s="3"/>
      <c r="L167" s="3"/>
      <c r="M167" s="3"/>
      <c r="O167" s="80"/>
      <c r="P167" s="80"/>
      <c r="Q167" s="80"/>
    </row>
    <row r="168" spans="4:17" ht="12.75" customHeight="1" x14ac:dyDescent="0.25">
      <c r="D168" s="3"/>
      <c r="E168" s="3"/>
      <c r="F168" s="3"/>
      <c r="L168" s="3"/>
      <c r="M168" s="3"/>
      <c r="O168" s="80"/>
      <c r="P168" s="80"/>
      <c r="Q168" s="80"/>
    </row>
    <row r="169" spans="4:17" ht="12.75" customHeight="1" x14ac:dyDescent="0.25">
      <c r="D169" s="3"/>
      <c r="E169" s="3"/>
      <c r="F169" s="3"/>
      <c r="L169" s="3"/>
      <c r="M169" s="3"/>
      <c r="O169" s="80"/>
      <c r="P169" s="80"/>
      <c r="Q169" s="80"/>
    </row>
    <row r="170" spans="4:17" ht="12.75" customHeight="1" x14ac:dyDescent="0.25">
      <c r="D170" s="3"/>
      <c r="E170" s="3"/>
      <c r="F170" s="3"/>
      <c r="L170" s="3"/>
      <c r="M170" s="3"/>
      <c r="O170" s="80"/>
      <c r="P170" s="80"/>
      <c r="Q170" s="80"/>
    </row>
    <row r="171" spans="4:17" ht="12.75" customHeight="1" x14ac:dyDescent="0.25">
      <c r="D171" s="3"/>
      <c r="E171" s="3"/>
      <c r="F171" s="3"/>
      <c r="L171" s="3"/>
      <c r="M171" s="3"/>
      <c r="O171" s="80"/>
      <c r="P171" s="80"/>
      <c r="Q171" s="80"/>
    </row>
    <row r="172" spans="4:17" ht="12.75" customHeight="1" x14ac:dyDescent="0.25">
      <c r="D172" s="3"/>
      <c r="E172" s="3"/>
      <c r="F172" s="3"/>
      <c r="L172" s="3"/>
      <c r="M172" s="3"/>
      <c r="O172" s="80"/>
      <c r="P172" s="80"/>
      <c r="Q172" s="80"/>
    </row>
    <row r="173" spans="4:17" ht="12.75" customHeight="1" x14ac:dyDescent="0.25">
      <c r="D173" s="3"/>
      <c r="E173" s="3"/>
      <c r="F173" s="3"/>
      <c r="L173" s="3"/>
      <c r="M173" s="3"/>
      <c r="O173" s="80"/>
      <c r="P173" s="80"/>
      <c r="Q173" s="80"/>
    </row>
    <row r="174" spans="4:17" ht="12.75" customHeight="1" x14ac:dyDescent="0.25">
      <c r="D174" s="3"/>
      <c r="E174" s="3"/>
      <c r="F174" s="3"/>
      <c r="L174" s="3"/>
      <c r="M174" s="3"/>
      <c r="O174" s="80"/>
      <c r="P174" s="80"/>
      <c r="Q174" s="80"/>
    </row>
    <row r="175" spans="4:17" ht="12.75" customHeight="1" x14ac:dyDescent="0.25">
      <c r="D175" s="3"/>
      <c r="E175" s="3"/>
      <c r="F175" s="3"/>
      <c r="L175" s="3"/>
      <c r="M175" s="3"/>
      <c r="O175" s="80"/>
      <c r="P175" s="80"/>
      <c r="Q175" s="80"/>
    </row>
    <row r="176" spans="4:17" ht="12.75" customHeight="1" x14ac:dyDescent="0.25">
      <c r="D176" s="3"/>
      <c r="E176" s="3"/>
      <c r="F176" s="3"/>
      <c r="L176" s="3"/>
      <c r="M176" s="3"/>
      <c r="O176" s="80"/>
      <c r="P176" s="80"/>
      <c r="Q176" s="80"/>
    </row>
    <row r="177" spans="4:17" ht="12.75" customHeight="1" x14ac:dyDescent="0.25">
      <c r="D177" s="3"/>
      <c r="E177" s="3"/>
      <c r="F177" s="3"/>
      <c r="L177" s="3"/>
      <c r="M177" s="3"/>
      <c r="O177" s="80"/>
      <c r="P177" s="80"/>
      <c r="Q177" s="80"/>
    </row>
    <row r="178" spans="4:17" ht="12.75" customHeight="1" x14ac:dyDescent="0.25">
      <c r="D178" s="3"/>
      <c r="E178" s="3"/>
      <c r="F178" s="3"/>
      <c r="L178" s="3"/>
      <c r="M178" s="3"/>
      <c r="O178" s="80"/>
      <c r="P178" s="80"/>
      <c r="Q178" s="80"/>
    </row>
    <row r="179" spans="4:17" ht="12.75" customHeight="1" x14ac:dyDescent="0.25">
      <c r="D179" s="3"/>
      <c r="E179" s="3"/>
      <c r="F179" s="3"/>
      <c r="L179" s="3"/>
      <c r="M179" s="3"/>
      <c r="O179" s="80"/>
      <c r="P179" s="80"/>
      <c r="Q179" s="80"/>
    </row>
    <row r="180" spans="4:17" ht="12.75" customHeight="1" x14ac:dyDescent="0.25">
      <c r="D180" s="3"/>
      <c r="E180" s="3"/>
      <c r="F180" s="3"/>
      <c r="L180" s="3"/>
      <c r="M180" s="3"/>
      <c r="O180" s="80"/>
      <c r="P180" s="80"/>
      <c r="Q180" s="80"/>
    </row>
    <row r="181" spans="4:17" ht="12.75" customHeight="1" x14ac:dyDescent="0.25">
      <c r="D181" s="3"/>
      <c r="E181" s="3"/>
      <c r="F181" s="3"/>
      <c r="L181" s="3"/>
      <c r="M181" s="3"/>
      <c r="O181" s="80"/>
      <c r="P181" s="80"/>
      <c r="Q181" s="80"/>
    </row>
    <row r="182" spans="4:17" ht="12.75" customHeight="1" x14ac:dyDescent="0.25">
      <c r="D182" s="3"/>
      <c r="E182" s="3"/>
      <c r="F182" s="3"/>
      <c r="L182" s="3"/>
      <c r="M182" s="3"/>
      <c r="O182" s="80"/>
      <c r="P182" s="80"/>
      <c r="Q182" s="80"/>
    </row>
    <row r="183" spans="4:17" ht="12.75" customHeight="1" x14ac:dyDescent="0.25">
      <c r="D183" s="3"/>
      <c r="E183" s="3"/>
      <c r="F183" s="3"/>
      <c r="L183" s="3"/>
      <c r="M183" s="3"/>
      <c r="O183" s="80"/>
      <c r="P183" s="80"/>
      <c r="Q183" s="80"/>
    </row>
    <row r="184" spans="4:17" ht="12.75" customHeight="1" x14ac:dyDescent="0.25">
      <c r="D184" s="3"/>
      <c r="E184" s="3"/>
      <c r="F184" s="3"/>
      <c r="L184" s="3"/>
      <c r="M184" s="3"/>
      <c r="O184" s="80"/>
      <c r="P184" s="80"/>
      <c r="Q184" s="80"/>
    </row>
    <row r="185" spans="4:17" ht="12.75" customHeight="1" x14ac:dyDescent="0.25">
      <c r="D185" s="3"/>
      <c r="E185" s="3"/>
      <c r="F185" s="3"/>
      <c r="L185" s="3"/>
      <c r="M185" s="3"/>
      <c r="O185" s="80"/>
      <c r="P185" s="80"/>
      <c r="Q185" s="80"/>
    </row>
    <row r="186" spans="4:17" ht="12.75" customHeight="1" x14ac:dyDescent="0.25">
      <c r="D186" s="3"/>
      <c r="E186" s="3"/>
      <c r="F186" s="3"/>
      <c r="L186" s="3"/>
      <c r="M186" s="3"/>
      <c r="O186" s="80"/>
      <c r="P186" s="80"/>
      <c r="Q186" s="80"/>
    </row>
    <row r="187" spans="4:17" ht="12.75" customHeight="1" x14ac:dyDescent="0.25">
      <c r="D187" s="3"/>
      <c r="E187" s="3"/>
      <c r="F187" s="3"/>
      <c r="L187" s="3"/>
      <c r="M187" s="3"/>
      <c r="O187" s="80"/>
      <c r="P187" s="80"/>
      <c r="Q187" s="80"/>
    </row>
    <row r="188" spans="4:17" ht="12.75" customHeight="1" x14ac:dyDescent="0.25">
      <c r="D188" s="3"/>
      <c r="E188" s="3"/>
      <c r="F188" s="3"/>
      <c r="L188" s="3"/>
      <c r="M188" s="3"/>
      <c r="O188" s="80"/>
      <c r="P188" s="80"/>
      <c r="Q188" s="80"/>
    </row>
    <row r="189" spans="4:17" ht="12.75" customHeight="1" x14ac:dyDescent="0.25">
      <c r="D189" s="3"/>
      <c r="E189" s="3"/>
      <c r="F189" s="3"/>
      <c r="L189" s="3"/>
      <c r="M189" s="3"/>
      <c r="O189" s="80"/>
      <c r="P189" s="80"/>
      <c r="Q189" s="80"/>
    </row>
    <row r="190" spans="4:17" ht="12.75" customHeight="1" x14ac:dyDescent="0.25">
      <c r="D190" s="3"/>
      <c r="E190" s="3"/>
      <c r="F190" s="3"/>
      <c r="L190" s="3"/>
      <c r="M190" s="3"/>
      <c r="O190" s="80"/>
      <c r="P190" s="80"/>
      <c r="Q190" s="80"/>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J10:K10"/>
    <mergeCell ref="F4:H4"/>
    <mergeCell ref="F8:H8"/>
    <mergeCell ref="J4:K4"/>
    <mergeCell ref="J5:K5"/>
    <mergeCell ref="J6:K6"/>
    <mergeCell ref="J7:K7"/>
    <mergeCell ref="J8:K8"/>
    <mergeCell ref="J9:K9"/>
    <mergeCell ref="B9:C9"/>
    <mergeCell ref="B10:C10"/>
    <mergeCell ref="F2:G2"/>
    <mergeCell ref="F5:G5"/>
    <mergeCell ref="F6:G6"/>
    <mergeCell ref="F7:G7"/>
    <mergeCell ref="F9:G9"/>
    <mergeCell ref="F10:G10"/>
    <mergeCell ref="B2:C2"/>
    <mergeCell ref="B4:C4"/>
    <mergeCell ref="B5:C5"/>
    <mergeCell ref="B6:C6"/>
    <mergeCell ref="B7:C7"/>
    <mergeCell ref="B8:C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2016-11-08T09:00:02Z</dcterms:modified>
</cp:coreProperties>
</file>