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2-Stage_vehicle\Design\Calculations\trunk\"/>
    </mc:Choice>
  </mc:AlternateContent>
  <bookViews>
    <workbookView xWindow="0" yWindow="465" windowWidth="28680" windowHeight="17460"/>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1" i="1" l="1"/>
  <c r="E9" i="3"/>
  <c r="O14" i="3"/>
  <c r="O15" i="3"/>
  <c r="O16" i="3"/>
  <c r="O17" i="3"/>
  <c r="O18" i="3"/>
  <c r="O19" i="3"/>
  <c r="O20" i="3"/>
  <c r="O21" i="3"/>
  <c r="O22" i="3"/>
  <c r="O23" i="3"/>
  <c r="S5" i="3"/>
  <c r="D7" i="1"/>
  <c r="K4" i="1"/>
  <c r="C16" i="1"/>
  <c r="F16" i="1"/>
  <c r="I16" i="1"/>
  <c r="J16" i="1"/>
  <c r="E16" i="1"/>
  <c r="K16" i="1"/>
  <c r="L16" i="1"/>
  <c r="M16" i="1"/>
  <c r="Q16" i="1"/>
  <c r="C14" i="2"/>
  <c r="D14" i="2"/>
  <c r="C17" i="1"/>
  <c r="F17" i="1"/>
  <c r="I17" i="1"/>
  <c r="J17" i="1"/>
  <c r="E17" i="1"/>
  <c r="K17" i="1"/>
  <c r="L17" i="1"/>
  <c r="M17" i="1"/>
  <c r="Q17" i="1"/>
  <c r="C15" i="2"/>
  <c r="D15" i="2"/>
  <c r="C18" i="1"/>
  <c r="F18" i="1"/>
  <c r="I18" i="1"/>
  <c r="J18" i="1"/>
  <c r="E18" i="1"/>
  <c r="K18" i="1"/>
  <c r="L18" i="1"/>
  <c r="M18" i="1"/>
  <c r="Q18" i="1"/>
  <c r="C16" i="2"/>
  <c r="D16" i="2"/>
  <c r="C19" i="1"/>
  <c r="F19" i="1"/>
  <c r="I19" i="1"/>
  <c r="J19" i="1"/>
  <c r="E19" i="1"/>
  <c r="K19" i="1"/>
  <c r="L19" i="1"/>
  <c r="M19" i="1"/>
  <c r="Q19" i="1"/>
  <c r="C17" i="2"/>
  <c r="D17" i="2"/>
  <c r="C20" i="1"/>
  <c r="F20" i="1"/>
  <c r="I20" i="1"/>
  <c r="J20" i="1"/>
  <c r="E20" i="1"/>
  <c r="K20" i="1"/>
  <c r="L20" i="1"/>
  <c r="M20" i="1"/>
  <c r="Q20" i="1"/>
  <c r="C18" i="2"/>
  <c r="D18" i="2"/>
  <c r="C21" i="1"/>
  <c r="F21" i="1"/>
  <c r="I21" i="1"/>
  <c r="J21" i="1"/>
  <c r="E21" i="1"/>
  <c r="K21" i="1"/>
  <c r="L21" i="1"/>
  <c r="M21" i="1"/>
  <c r="Q21" i="1"/>
  <c r="C19" i="2"/>
  <c r="D19" i="2"/>
  <c r="C22" i="1"/>
  <c r="F22" i="1"/>
  <c r="I22" i="1"/>
  <c r="J22" i="1"/>
  <c r="E22" i="1"/>
  <c r="K22" i="1"/>
  <c r="L22" i="1"/>
  <c r="M22" i="1"/>
  <c r="Q22" i="1"/>
  <c r="C20" i="2"/>
  <c r="D20" i="2"/>
  <c r="C23" i="1"/>
  <c r="F23" i="1"/>
  <c r="I23" i="1"/>
  <c r="J23" i="1"/>
  <c r="E23" i="1"/>
  <c r="K23" i="1"/>
  <c r="L23" i="1"/>
  <c r="M23" i="1"/>
  <c r="Q23" i="1"/>
  <c r="C21" i="2"/>
  <c r="D21" i="2"/>
  <c r="C24" i="1"/>
  <c r="F24" i="1"/>
  <c r="I24" i="1"/>
  <c r="J24" i="1"/>
  <c r="E24" i="1"/>
  <c r="K24" i="1"/>
  <c r="L24" i="1"/>
  <c r="M24" i="1"/>
  <c r="Q24" i="1"/>
  <c r="C22" i="2"/>
  <c r="D22" i="2"/>
  <c r="C25" i="1"/>
  <c r="F25" i="1"/>
  <c r="I25" i="1"/>
  <c r="J25" i="1"/>
  <c r="E25" i="1"/>
  <c r="K25" i="1"/>
  <c r="L25" i="1"/>
  <c r="M25" i="1"/>
  <c r="Q25" i="1"/>
  <c r="C23" i="2"/>
  <c r="D23" i="2"/>
  <c r="C26" i="1"/>
  <c r="F26" i="1"/>
  <c r="I26" i="1"/>
  <c r="J26" i="1"/>
  <c r="E26" i="1"/>
  <c r="K26" i="1"/>
  <c r="L26" i="1"/>
  <c r="M26" i="1"/>
  <c r="Q26" i="1"/>
  <c r="C24" i="2"/>
  <c r="D24" i="2"/>
  <c r="C27" i="1"/>
  <c r="F27" i="1"/>
  <c r="I27" i="1"/>
  <c r="J27" i="1"/>
  <c r="E27" i="1"/>
  <c r="K27" i="1"/>
  <c r="L27" i="1"/>
  <c r="M27" i="1"/>
  <c r="Q27" i="1"/>
  <c r="C25" i="2"/>
  <c r="D25" i="2"/>
  <c r="C28" i="1"/>
  <c r="F28" i="1"/>
  <c r="I28" i="1"/>
  <c r="J28" i="1"/>
  <c r="E28" i="1"/>
  <c r="K28" i="1"/>
  <c r="L28" i="1"/>
  <c r="M28" i="1"/>
  <c r="Q28" i="1"/>
  <c r="C26" i="2"/>
  <c r="D26" i="2"/>
  <c r="C29" i="1"/>
  <c r="F29" i="1"/>
  <c r="I29" i="1"/>
  <c r="J29" i="1"/>
  <c r="E29" i="1"/>
  <c r="K29" i="1"/>
  <c r="L29" i="1"/>
  <c r="M29" i="1"/>
  <c r="Q29" i="1"/>
  <c r="C27" i="2"/>
  <c r="D27" i="2"/>
  <c r="C30" i="1"/>
  <c r="F30" i="1"/>
  <c r="I30" i="1"/>
  <c r="J30" i="1"/>
  <c r="E30" i="1"/>
  <c r="K30" i="1"/>
  <c r="L30" i="1"/>
  <c r="M30" i="1"/>
  <c r="Q30" i="1"/>
  <c r="C28" i="2"/>
  <c r="D28" i="2"/>
  <c r="C31" i="1"/>
  <c r="F31" i="1"/>
  <c r="I31" i="1"/>
  <c r="J31" i="1"/>
  <c r="E31" i="1"/>
  <c r="K31" i="1"/>
  <c r="L31" i="1"/>
  <c r="M31" i="1"/>
  <c r="Q31" i="1"/>
  <c r="C29" i="2"/>
  <c r="D29" i="2"/>
  <c r="C32" i="1"/>
  <c r="F32" i="1"/>
  <c r="I32" i="1"/>
  <c r="J32" i="1"/>
  <c r="E32" i="1"/>
  <c r="K32" i="1"/>
  <c r="L32" i="1"/>
  <c r="M32" i="1"/>
  <c r="Q32" i="1"/>
  <c r="C30" i="2"/>
  <c r="D30" i="2"/>
  <c r="C33" i="1"/>
  <c r="F33" i="1"/>
  <c r="I33" i="1"/>
  <c r="J33" i="1"/>
  <c r="E33" i="1"/>
  <c r="K33" i="1"/>
  <c r="L33" i="1"/>
  <c r="M33" i="1"/>
  <c r="Q33" i="1"/>
  <c r="C31" i="2"/>
  <c r="D31" i="2"/>
  <c r="C34" i="1"/>
  <c r="F34" i="1"/>
  <c r="I34" i="1"/>
  <c r="J34" i="1"/>
  <c r="E34" i="1"/>
  <c r="K34" i="1"/>
  <c r="L34" i="1"/>
  <c r="M34" i="1"/>
  <c r="Q34" i="1"/>
  <c r="C32" i="2"/>
  <c r="D32" i="2"/>
  <c r="C35" i="1"/>
  <c r="F35" i="1"/>
  <c r="I35" i="1"/>
  <c r="J35" i="1"/>
  <c r="E35" i="1"/>
  <c r="K35" i="1"/>
  <c r="L35" i="1"/>
  <c r="M35" i="1"/>
  <c r="Q35" i="1"/>
  <c r="C33" i="2"/>
  <c r="D33" i="2"/>
  <c r="C36" i="1"/>
  <c r="F36" i="1"/>
  <c r="I36" i="1"/>
  <c r="J36" i="1"/>
  <c r="E36" i="1"/>
  <c r="K36" i="1"/>
  <c r="L36" i="1"/>
  <c r="M36" i="1"/>
  <c r="Q36" i="1"/>
  <c r="C34" i="2"/>
  <c r="D34" i="2"/>
  <c r="C37" i="1"/>
  <c r="F37" i="1"/>
  <c r="I37" i="1"/>
  <c r="J37" i="1"/>
  <c r="E37" i="1"/>
  <c r="K37" i="1"/>
  <c r="L37" i="1"/>
  <c r="M37" i="1"/>
  <c r="Q37" i="1"/>
  <c r="C35" i="2"/>
  <c r="D35" i="2"/>
  <c r="C38" i="1"/>
  <c r="F38" i="1"/>
  <c r="I38" i="1"/>
  <c r="J38" i="1"/>
  <c r="E38" i="1"/>
  <c r="K38" i="1"/>
  <c r="L38" i="1"/>
  <c r="M38" i="1"/>
  <c r="Q38" i="1"/>
  <c r="C36" i="2"/>
  <c r="D36" i="2"/>
  <c r="C39" i="1"/>
  <c r="F39" i="1"/>
  <c r="I39" i="1"/>
  <c r="J39" i="1"/>
  <c r="E39" i="1"/>
  <c r="K39" i="1"/>
  <c r="L39" i="1"/>
  <c r="M39" i="1"/>
  <c r="Q39" i="1"/>
  <c r="C37" i="2"/>
  <c r="D37" i="2"/>
  <c r="C40" i="1"/>
  <c r="F40" i="1"/>
  <c r="I40" i="1"/>
  <c r="J40" i="1"/>
  <c r="E40" i="1"/>
  <c r="K40" i="1"/>
  <c r="L40" i="1"/>
  <c r="M40" i="1"/>
  <c r="Q40" i="1"/>
  <c r="C38" i="2"/>
  <c r="D38" i="2"/>
  <c r="C41" i="1"/>
  <c r="F41" i="1"/>
  <c r="I41" i="1"/>
  <c r="J41" i="1"/>
  <c r="E41" i="1"/>
  <c r="K41" i="1"/>
  <c r="L41" i="1"/>
  <c r="M41" i="1"/>
  <c r="Q41" i="1"/>
  <c r="C39" i="2"/>
  <c r="D39" i="2"/>
  <c r="C42" i="1"/>
  <c r="F42" i="1"/>
  <c r="I42" i="1"/>
  <c r="J42" i="1"/>
  <c r="E42" i="1"/>
  <c r="K42" i="1"/>
  <c r="L42" i="1"/>
  <c r="M42" i="1"/>
  <c r="Q42" i="1"/>
  <c r="C40" i="2"/>
  <c r="D40" i="2"/>
  <c r="C43" i="1"/>
  <c r="F43" i="1"/>
  <c r="I43" i="1"/>
  <c r="J43" i="1"/>
  <c r="E43" i="1"/>
  <c r="K43" i="1"/>
  <c r="L43" i="1"/>
  <c r="M43" i="1"/>
  <c r="Q43" i="1"/>
  <c r="C41" i="2"/>
  <c r="D41" i="2"/>
  <c r="C44" i="1"/>
  <c r="F44" i="1"/>
  <c r="I44" i="1"/>
  <c r="J44" i="1"/>
  <c r="E44" i="1"/>
  <c r="K44" i="1"/>
  <c r="L44" i="1"/>
  <c r="M44" i="1"/>
  <c r="Q44" i="1"/>
  <c r="C42" i="2"/>
  <c r="D42" i="2"/>
  <c r="C45" i="1"/>
  <c r="F45" i="1"/>
  <c r="I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D17" i="1"/>
  <c r="H17" i="1"/>
  <c r="I15" i="2"/>
  <c r="D16" i="1"/>
  <c r="H16" i="1"/>
  <c r="D19" i="1"/>
  <c r="H19" i="1"/>
  <c r="E5" i="3"/>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D18" i="1"/>
  <c r="H18" i="1"/>
  <c r="I16" i="2"/>
  <c r="I17" i="2"/>
  <c r="D20" i="1"/>
  <c r="H20" i="1"/>
  <c r="I18" i="2"/>
  <c r="D21" i="1"/>
  <c r="H21" i="1"/>
  <c r="I19" i="2"/>
  <c r="D22" i="1"/>
  <c r="H22" i="1"/>
  <c r="I20" i="2"/>
  <c r="D23" i="1"/>
  <c r="H23" i="1"/>
  <c r="I21" i="2"/>
  <c r="D24" i="1"/>
  <c r="H24" i="1"/>
  <c r="I22" i="2"/>
  <c r="D25" i="1"/>
  <c r="H25" i="1"/>
  <c r="I23" i="2"/>
  <c r="D26" i="1"/>
  <c r="H26" i="1"/>
  <c r="I24" i="2"/>
  <c r="D27" i="1"/>
  <c r="H27" i="1"/>
  <c r="I25" i="2"/>
  <c r="D28" i="1"/>
  <c r="H28" i="1"/>
  <c r="I26" i="2"/>
  <c r="D29" i="1"/>
  <c r="H29" i="1"/>
  <c r="I27" i="2"/>
  <c r="D30" i="1"/>
  <c r="H30" i="1"/>
  <c r="I28" i="2"/>
  <c r="D31" i="1"/>
  <c r="H31" i="1"/>
  <c r="I29" i="2"/>
  <c r="D32" i="1"/>
  <c r="H32" i="1"/>
  <c r="D33" i="1"/>
  <c r="H33" i="1"/>
  <c r="I31" i="2"/>
  <c r="D34" i="1"/>
  <c r="H34" i="1"/>
  <c r="I32" i="2"/>
  <c r="D35" i="1"/>
  <c r="H35" i="1"/>
  <c r="I33" i="2"/>
  <c r="D36" i="1"/>
  <c r="H36" i="1"/>
  <c r="I34" i="2"/>
  <c r="D37" i="1"/>
  <c r="H37" i="1"/>
  <c r="I35" i="2"/>
  <c r="D38" i="1"/>
  <c r="H38" i="1"/>
  <c r="I36" i="2"/>
  <c r="D39" i="1"/>
  <c r="H39" i="1"/>
  <c r="I37" i="2"/>
  <c r="D40" i="1"/>
  <c r="H40" i="1"/>
  <c r="I38" i="2"/>
  <c r="D41" i="1"/>
  <c r="H41" i="1"/>
  <c r="I39" i="2"/>
  <c r="D42" i="1"/>
  <c r="H42" i="1"/>
  <c r="I40" i="2"/>
  <c r="D43" i="1"/>
  <c r="H43" i="1"/>
  <c r="I41" i="2"/>
  <c r="D44" i="1"/>
  <c r="H44" i="1"/>
  <c r="I42" i="2"/>
  <c r="D45" i="1"/>
  <c r="H45" i="1"/>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M14" i="2"/>
  <c r="G23" i="3"/>
  <c r="G20" i="3"/>
  <c r="H20" i="3"/>
  <c r="G21" i="3"/>
  <c r="H21" i="3"/>
  <c r="H22" i="3"/>
  <c r="G22" i="3"/>
  <c r="H23" i="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L9" i="2"/>
  <c r="P9" i="1"/>
  <c r="L10" i="2"/>
  <c r="N14" i="3"/>
  <c r="N15" i="3"/>
  <c r="N16" i="3"/>
  <c r="N17" i="3"/>
  <c r="N19" i="3"/>
  <c r="N18" i="3"/>
</calcChain>
</file>

<file path=xl/sharedStrings.xml><?xml version="1.0" encoding="utf-8"?>
<sst xmlns="http://schemas.openxmlformats.org/spreadsheetml/2006/main" count="175" uniqueCount="139">
  <si>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</si>
  <si>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</si>
  <si>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</si>
  <si>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</si>
  <si>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</si>
  <si>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</si>
  <si>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</si>
  <si>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</si>
  <si>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</si>
  <si>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</si>
  <si>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</si>
  <si>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</si>
  <si>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</si>
  <si>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</si>
  <si>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</si>
  <si>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</si>
  <si>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</si>
  <si>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</si>
  <si>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</si>
  <si>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</si>
  <si>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</si>
  <si>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</si>
  <si>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</si>
  <si>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</si>
  <si>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</si>
  <si>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</si>
  <si>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</si>
  <si>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</si>
  <si>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</si>
  <si>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</si>
  <si>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</si>
  <si>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</si>
  <si>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</si>
  <si>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</si>
  <si>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</si>
  <si>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</si>
  <si>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</si>
  <si>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</si>
  <si>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</si>
  <si>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</si>
  <si>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</si>
  <si>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</si>
  <si>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</si>
  <si>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</si>
  <si>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</si>
  <si>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</si>
  <si>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</si>
  <si>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</si>
  <si>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</si>
  <si>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</si>
  <si>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</si>
  <si>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</si>
  <si>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</si>
  <si>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</si>
  <si>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</si>
  <si>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</si>
  <si>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</si>
  <si>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</si>
  <si>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</si>
  <si>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</si>
  <si>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</si>
  <si>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</si>
  <si>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</si>
  <si>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</si>
  <si>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</si>
  <si>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</si>
  <si>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</si>
  <si>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</si>
  <si>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</si>
  <si>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</si>
  <si>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</si>
  <si>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</si>
  <si>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</si>
  <si>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</si>
  <si>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</si>
  <si>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</si>
  <si>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</si>
  <si>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</si>
  <si>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</si>
  <si>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</si>
  <si>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</si>
  <si>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</si>
  <si>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</si>
  <si>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</si>
  <si>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</si>
  <si>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</si>
  <si>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</si>
  <si>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</si>
  <si>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</si>
  <si>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</si>
  <si>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</si>
  <si>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</si>
  <si>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</si>
  <si>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</si>
  <si>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</si>
  <si>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</si>
  <si>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</si>
  <si>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</si>
  <si>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</si>
  <si>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</si>
  <si>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</si>
  <si>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</si>
  <si>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</si>
  <si>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</si>
  <si>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</si>
  <si>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</si>
  <si>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</si>
  <si>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</si>
  <si>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</si>
  <si>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</si>
  <si>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</si>
  <si>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</si>
  <si>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</si>
  <si>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</si>
  <si>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</si>
  <si>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</si>
  <si>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</si>
  <si>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</si>
  <si>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</si>
  <si>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</si>
  <si>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</si>
  <si>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</si>
  <si>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</si>
  <si>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</si>
  <si>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</si>
  <si>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</si>
  <si>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</si>
  <si>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</si>
  <si>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</si>
  <si>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</si>
  <si>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</si>
  <si>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</si>
  <si>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</si>
  <si>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</si>
  <si>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</si>
  <si>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</si>
  <si>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</si>
  <si>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</si>
  <si>
    <t>Isp[s]: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</si>
</sst>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8">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5" xfId="5" applyBorder="1" applyAlignment="1">
      <alignment horizontal="left" indent="1"/>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5" fillId="5" borderId="41" xfId="2" applyBorder="1">
      <alignment horizontal="right" indent="1"/>
    </xf>
    <xf numFmtId="0" fontId="5" fillId="5" borderId="12" xfId="2" applyBorder="1">
      <alignment horizontal="right" indent="1"/>
    </xf>
    <xf numFmtId="0" fontId="5" fillId="5" borderId="28" xfId="2" applyBorder="1">
      <alignment horizontal="right" indent="1"/>
    </xf>
    <xf numFmtId="0" fontId="5" fillId="5" borderId="11"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40" xfId="2" applyBorder="1">
      <alignment horizontal="right" indent="1"/>
    </xf>
    <xf numFmtId="0" fontId="5" fillId="5" borderId="19" xfId="2" applyBorder="1">
      <alignment horizontal="right" indent="1"/>
    </xf>
    <xf numFmtId="0" fontId="5" fillId="5" borderId="2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39" xfId="2" applyBorder="1">
      <alignment horizontal="right" indent="1"/>
    </xf>
    <xf numFmtId="0" fontId="5" fillId="5" borderId="22" xfId="2" applyBorder="1">
      <alignment horizontal="right" indent="1"/>
    </xf>
    <xf numFmtId="0" fontId="5" fillId="5" borderId="23" xfId="2" applyBorder="1">
      <alignment horizontal="right" indent="1"/>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2" fillId="9" borderId="10" xfId="6" applyBorder="1">
      <alignment horizontal="center" vertical="center"/>
    </xf>
    <xf numFmtId="0" fontId="2" fillId="9" borderId="37" xfId="6" applyBorder="1">
      <alignment horizontal="center" vertical="center"/>
    </xf>
    <xf numFmtId="0" fontId="5" fillId="5" borderId="46" xfId="0" applyFont="1" applyFill="1" applyBorder="1" applyAlignment="1">
      <alignment horizontal="right" indent="1"/>
    </xf>
    <xf numFmtId="0" fontId="5" fillId="5" borderId="47" xfId="0" applyFont="1" applyFill="1" applyBorder="1" applyAlignment="1">
      <alignment horizontal="right" indent="1"/>
    </xf>
    <xf numFmtId="0" fontId="4" fillId="3" borderId="48" xfId="0" applyFont="1" applyFill="1" applyBorder="1"/>
    <xf numFmtId="1" fontId="4" fillId="3" borderId="16" xfId="5">
      <alignment vertical="center"/>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Estimate!$L$14:$L$43</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abSelected="1" zoomScaleNormal="100" workbookViewId="0">
      <selection activeCell="V15" sqref="V15"/>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75" t="s">
        <v>0</v>
      </c>
      <c r="C2" s="176"/>
      <c r="D2" s="145" t="s">
        <v>1</v>
      </c>
      <c r="E2" s="146"/>
      <c r="G2" s="86"/>
      <c r="I2" s="134" t="s">
        <v>53</v>
      </c>
      <c r="J2" s="135"/>
      <c r="K2" s="135"/>
      <c r="L2" s="135"/>
      <c r="M2" s="135"/>
      <c r="N2" s="135"/>
      <c r="O2" s="135"/>
      <c r="P2" s="136"/>
      <c r="Q2" s="3"/>
      <c r="R2" s="165" t="s">
        <v>34</v>
      </c>
      <c r="S2" s="165"/>
      <c r="T2" s="179" t="b">
        <f>AND(ISNUMBER(D5),ISNUMBER(D6),ISNUMBER(D7),ISNUMBER(D8),ISNUMBER(D9),ISNUMBER(D10),ISNUMBER(D11),ISNUMBER(D12),NOT(ISBLANK($D$5:$D$12)))</f>
        <v>1</v>
      </c>
      <c r="U2" s="179"/>
    </row>
    <row r="3" spans="1:21" ht="17.100000000000001" customHeight="1" thickBot="1" x14ac:dyDescent="0.3">
      <c r="B3" s="141" t="s">
        <v>71</v>
      </c>
      <c r="C3" s="142"/>
      <c r="D3" s="143" t="s">
        <v>72</v>
      </c>
      <c r="E3" s="144"/>
      <c r="G3" s="51"/>
      <c r="I3" s="50"/>
      <c r="J3" s="5"/>
      <c r="K3" s="51"/>
      <c r="L3" s="51"/>
      <c r="M3" s="51"/>
      <c r="N3" s="51"/>
      <c r="O3" s="51"/>
      <c r="P3" s="7"/>
      <c r="R3" s="166"/>
      <c r="S3" s="166"/>
      <c r="T3" s="180"/>
      <c r="U3" s="180"/>
    </row>
    <row r="4" spans="1:21" ht="17.100000000000001" customHeight="1" thickBot="1" x14ac:dyDescent="0.3">
      <c r="G4" s="87"/>
      <c r="I4" s="161" t="s">
        <v>7</v>
      </c>
      <c r="J4" s="162"/>
      <c r="K4" s="37">
        <f>(($D$6-$D$7))/29</f>
        <v>0.12570114942528737</v>
      </c>
      <c r="L4" s="52" t="s">
        <v>58</v>
      </c>
      <c r="M4" s="51"/>
      <c r="N4" s="153" t="s">
        <v>45</v>
      </c>
      <c r="O4" s="154"/>
      <c r="P4" s="48">
        <f>Estimate!L4</f>
        <v>745.97934257540339</v>
      </c>
    </row>
    <row r="5" spans="1:21" ht="17.100000000000001" customHeight="1" thickBot="1" x14ac:dyDescent="0.3">
      <c r="B5" s="177" t="s">
        <v>35</v>
      </c>
      <c r="C5" s="178"/>
      <c r="D5" s="42">
        <v>6</v>
      </c>
      <c r="E5" s="2" t="s">
        <v>54</v>
      </c>
      <c r="F5" s="147" t="s">
        <v>43</v>
      </c>
      <c r="G5" s="148"/>
      <c r="I5" s="163" t="s">
        <v>8</v>
      </c>
      <c r="J5" s="164"/>
      <c r="K5" s="38">
        <f>$M$16</f>
        <v>1261.6469550518068</v>
      </c>
      <c r="L5" s="52"/>
      <c r="M5" s="51"/>
      <c r="N5" s="173" t="s">
        <v>46</v>
      </c>
      <c r="O5" s="174"/>
      <c r="P5" s="49">
        <f>Estimate!L5</f>
        <v>698.39506261096119</v>
      </c>
      <c r="R5" s="181" t="s">
        <v>52</v>
      </c>
      <c r="S5" s="182"/>
      <c r="T5" s="182"/>
      <c r="U5" s="183"/>
    </row>
    <row r="6" spans="1:21" ht="17.100000000000001" customHeight="1" thickBot="1" x14ac:dyDescent="0.3">
      <c r="B6" s="137" t="s">
        <v>36</v>
      </c>
      <c r="C6" s="138"/>
      <c r="D6" s="43">
        <v>7.0620000000000003</v>
      </c>
      <c r="E6" s="2" t="s">
        <v>55</v>
      </c>
      <c r="F6" s="149"/>
      <c r="G6" s="150"/>
      <c r="I6" s="163" t="s">
        <v>9</v>
      </c>
      <c r="J6" s="164"/>
      <c r="K6" s="39">
        <f>PI()*Nozzle_Throat_Diameter^2/4</f>
        <v>4.0114996593688055</v>
      </c>
      <c r="L6" s="53" t="s">
        <v>42</v>
      </c>
      <c r="M6" s="51"/>
      <c r="N6" s="173" t="s">
        <v>47</v>
      </c>
      <c r="O6" s="174"/>
      <c r="P6" s="49">
        <f>Estimate!L6</f>
        <v>4622.4000880041103</v>
      </c>
      <c r="Q6" s="3"/>
      <c r="R6" s="184" t="str">
        <f>IF(ISNUMBER($D$5:$D$12), "", "Error: Input Values Must be Numerical")</f>
        <v/>
      </c>
      <c r="S6" s="185"/>
      <c r="T6" s="185"/>
      <c r="U6" s="186"/>
    </row>
    <row r="7" spans="1:21" ht="17.100000000000001" customHeight="1" x14ac:dyDescent="0.25">
      <c r="B7" s="137" t="s">
        <v>37</v>
      </c>
      <c r="C7" s="138"/>
      <c r="D7" s="63">
        <f>'Erosive Burning'!S5</f>
        <v>3.4166666666666665</v>
      </c>
      <c r="E7" s="6" t="s">
        <v>55</v>
      </c>
      <c r="F7" s="151">
        <v>3</v>
      </c>
      <c r="G7" s="152"/>
      <c r="H7" s="2" t="s">
        <v>54</v>
      </c>
      <c r="I7" s="163" t="s">
        <v>10</v>
      </c>
      <c r="J7" s="164"/>
      <c r="K7" s="40">
        <f>$Q$16</f>
        <v>317.30939153909469</v>
      </c>
      <c r="L7" s="54"/>
      <c r="M7" s="51"/>
      <c r="N7" s="173" t="s">
        <v>48</v>
      </c>
      <c r="O7" s="174"/>
      <c r="P7" s="49">
        <f>Estimate!L7</f>
        <v>4301.6910884659092</v>
      </c>
      <c r="Q7" s="3"/>
      <c r="R7" s="167" t="str">
        <f>IF(NOT(ISBLANK($D$5:$D$12)),"", "Error: Must Enter All Input Values")</f>
        <v/>
      </c>
      <c r="S7" s="168"/>
      <c r="T7" s="168"/>
      <c r="U7" s="169"/>
    </row>
    <row r="8" spans="1:21" ht="17.100000000000001" customHeight="1" x14ac:dyDescent="0.25">
      <c r="B8" s="137" t="s">
        <v>38</v>
      </c>
      <c r="C8" s="138"/>
      <c r="D8" s="43">
        <v>14</v>
      </c>
      <c r="E8" s="2" t="s">
        <v>55</v>
      </c>
      <c r="F8" s="189">
        <v>3</v>
      </c>
      <c r="G8" s="190"/>
      <c r="H8" s="2" t="s">
        <v>54</v>
      </c>
      <c r="I8" s="163" t="s">
        <v>11</v>
      </c>
      <c r="J8" s="164"/>
      <c r="K8" s="40">
        <f>MAX(Q17:Q45)</f>
        <v>357.8910079082417</v>
      </c>
      <c r="L8" s="54"/>
      <c r="M8" s="51"/>
      <c r="N8" s="173" t="s">
        <v>49</v>
      </c>
      <c r="O8" s="174"/>
      <c r="P8" s="49">
        <f>Estimate!L8</f>
        <v>7.5002918665422884</v>
      </c>
      <c r="Q8" s="3"/>
      <c r="R8" s="167" t="str">
        <f>IF(ISNUMBER($F$7:$F$12), "", "Error: Grain Core Diameter Values Must be Numerical")</f>
        <v/>
      </c>
      <c r="S8" s="168"/>
      <c r="T8" s="168"/>
      <c r="U8" s="169"/>
    </row>
    <row r="9" spans="1:21" ht="17.100000000000001" customHeight="1" thickBot="1" x14ac:dyDescent="0.3">
      <c r="B9" s="137" t="s">
        <v>39</v>
      </c>
      <c r="C9" s="138"/>
      <c r="D9" s="43">
        <v>2.2599999999999998</v>
      </c>
      <c r="E9" s="2" t="s">
        <v>55</v>
      </c>
      <c r="F9" s="189">
        <v>3</v>
      </c>
      <c r="G9" s="190"/>
      <c r="H9" s="2" t="s">
        <v>54</v>
      </c>
      <c r="I9" s="193" t="s">
        <v>12</v>
      </c>
      <c r="J9" s="194"/>
      <c r="K9" s="41">
        <f>$Q$45</f>
        <v>346.66503585185194</v>
      </c>
      <c r="L9" s="54"/>
      <c r="M9" s="5"/>
      <c r="N9" s="173" t="s">
        <v>50</v>
      </c>
      <c r="O9" s="174"/>
      <c r="P9" s="49">
        <f>Estimate!L9</f>
        <v>32181.177321244992</v>
      </c>
      <c r="Q9" s="3"/>
      <c r="R9" s="167"/>
      <c r="S9" s="168"/>
      <c r="T9" s="168"/>
      <c r="U9" s="169"/>
    </row>
    <row r="10" spans="1:21" ht="17.100000000000001" customHeight="1" thickBot="1" x14ac:dyDescent="0.3">
      <c r="B10" s="137" t="s">
        <v>40</v>
      </c>
      <c r="C10" s="138"/>
      <c r="D10" s="63">
        <f>Nozzle_Throat_Diameter</f>
        <v>2.2599999999999998</v>
      </c>
      <c r="E10" s="2" t="s">
        <v>55</v>
      </c>
      <c r="F10" s="191">
        <v>3.4</v>
      </c>
      <c r="G10" s="192"/>
      <c r="H10" s="3" t="s">
        <v>54</v>
      </c>
      <c r="I10" s="50"/>
      <c r="J10" s="5"/>
      <c r="K10" s="55"/>
      <c r="L10" s="53"/>
      <c r="M10" s="51"/>
      <c r="N10" s="234" t="s">
        <v>51</v>
      </c>
      <c r="O10" s="235"/>
      <c r="P10" s="236">
        <f>MAX('Erosive Burning'!L14:L19)</f>
        <v>1.3003654800962834</v>
      </c>
      <c r="R10" s="170"/>
      <c r="S10" s="171"/>
      <c r="T10" s="171"/>
      <c r="U10" s="172"/>
    </row>
    <row r="11" spans="1:21" ht="17.100000000000001" customHeight="1" thickBot="1" x14ac:dyDescent="0.3">
      <c r="B11" s="137" t="s">
        <v>41</v>
      </c>
      <c r="C11" s="138"/>
      <c r="D11" s="43">
        <v>9</v>
      </c>
      <c r="E11" s="2" t="s">
        <v>55</v>
      </c>
      <c r="F11" s="189">
        <v>3.8</v>
      </c>
      <c r="G11" s="190"/>
      <c r="H11" s="2" t="s">
        <v>54</v>
      </c>
      <c r="I11" s="195" t="s">
        <v>13</v>
      </c>
      <c r="J11" s="196"/>
      <c r="K11" s="44">
        <f>((D6*3)+D7)/2</f>
        <v>12.301333333333334</v>
      </c>
      <c r="L11" s="53" t="s">
        <v>14</v>
      </c>
      <c r="M11" s="51"/>
      <c r="N11" s="223" t="s">
        <v>138</v>
      </c>
      <c r="O11" s="224"/>
      <c r="P11" s="237">
        <f>Estimate!L9/'Erosive Burning'!S9</f>
        <v>217.81643934534523</v>
      </c>
      <c r="Q11" s="81" t="s">
        <v>57</v>
      </c>
    </row>
    <row r="12" spans="1:21" ht="17.100000000000001" customHeight="1" thickBot="1" x14ac:dyDescent="0.3">
      <c r="B12" s="139" t="s">
        <v>44</v>
      </c>
      <c r="C12" s="140"/>
      <c r="D12" s="100">
        <v>5.0000000000000001E-3</v>
      </c>
      <c r="E12" s="2" t="s">
        <v>55</v>
      </c>
      <c r="F12" s="187">
        <v>4.3</v>
      </c>
      <c r="G12" s="188"/>
      <c r="H12" s="2" t="s">
        <v>54</v>
      </c>
      <c r="I12" s="50"/>
      <c r="J12" s="51"/>
      <c r="K12" s="51"/>
      <c r="L12" s="51"/>
      <c r="M12" s="153" t="s">
        <v>136</v>
      </c>
      <c r="N12" s="154"/>
      <c r="O12" s="157" t="s">
        <v>17</v>
      </c>
      <c r="P12" s="158"/>
    </row>
    <row r="13" spans="1:21" ht="17.100000000000001" customHeight="1" thickBot="1" x14ac:dyDescent="0.3">
      <c r="B13" s="132" t="s">
        <v>125</v>
      </c>
      <c r="C13" s="133"/>
      <c r="D13" s="67">
        <f>(D10-D9)/29</f>
        <v>0</v>
      </c>
      <c r="I13" s="56"/>
      <c r="J13" s="57"/>
      <c r="K13" s="57"/>
      <c r="L13" s="57"/>
      <c r="M13" s="155" t="s">
        <v>137</v>
      </c>
      <c r="N13" s="156"/>
      <c r="O13" s="159">
        <f>(36800+18400)/2</f>
        <v>27600</v>
      </c>
      <c r="P13" s="160"/>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7.0620000000000003</v>
      </c>
      <c r="E16" s="9">
        <f>$D8-C16</f>
        <v>14</v>
      </c>
      <c r="F16" s="11">
        <f>$D7+C16</f>
        <v>3.4166666666666665</v>
      </c>
      <c r="G16" s="12">
        <f t="shared" ref="G16:G45" si="0">(D16*(PI())*E16)</f>
        <v>310.60298247511571</v>
      </c>
      <c r="H16" s="12">
        <f t="shared" ref="H16:H45" si="1">((D16/2)^2)*PI()</f>
        <v>39.169254682844056</v>
      </c>
      <c r="I16" s="12">
        <f t="shared" ref="I16:I45" si="2">((F16/2)^2)*PI()</f>
        <v>9.1684327268827115</v>
      </c>
      <c r="J16" s="12">
        <f t="shared" ref="J16:J45" si="3">H16-I16</f>
        <v>30.000821955961342</v>
      </c>
      <c r="K16" s="12">
        <f t="shared" ref="K16:K45" si="4">(F16*PI())*E16</f>
        <v>150.27284859671178</v>
      </c>
      <c r="L16" s="12">
        <f t="shared" ref="L16:L45" si="5">(J16*2)+K16</f>
        <v>210.27449250863447</v>
      </c>
      <c r="M16" s="12">
        <f>L16*D5</f>
        <v>1261.6469550518068</v>
      </c>
      <c r="N16" s="13">
        <f t="shared" ref="N16:N45" si="6">(D16-F16)*0.5</f>
        <v>1.8226666666666669</v>
      </c>
      <c r="O16" s="24">
        <f t="shared" ref="O16:O45" si="7">Nozzle_Throat_Diameter-boundry_layer*2+B16*$D$13</f>
        <v>2.25</v>
      </c>
      <c r="P16" s="14">
        <f t="shared" ref="P16:P45" si="8">PI()*O16^2/4</f>
        <v>3.9760782021995817</v>
      </c>
      <c r="Q16" s="15">
        <f t="shared" ref="Q16:Q45" si="9">M16/(P16)</f>
        <v>317.30939153909469</v>
      </c>
      <c r="R16" s="16">
        <f t="shared" ref="R16:R45" si="10">Nozzle_Throat_Diameter+B16*S$6</f>
        <v>2.2599999999999998</v>
      </c>
      <c r="S16" s="17">
        <f t="shared" ref="S16:S45" si="11">PI()*R16^2/4</f>
        <v>4.0114996593688055</v>
      </c>
    </row>
    <row r="17" spans="2:19" ht="12.75" customHeight="1" x14ac:dyDescent="0.25">
      <c r="B17" s="18">
        <v>1</v>
      </c>
      <c r="C17" s="19">
        <f>B17*K4</f>
        <v>0.12570114942528737</v>
      </c>
      <c r="D17" s="20">
        <f>D6</f>
        <v>7.0620000000000003</v>
      </c>
      <c r="E17" s="19">
        <f>$D8-C17</f>
        <v>13.874298850574712</v>
      </c>
      <c r="F17" s="21">
        <f>$D7+C17</f>
        <v>3.5423678160919541</v>
      </c>
      <c r="G17" s="22">
        <f t="shared" si="0"/>
        <v>307.81418590996964</v>
      </c>
      <c r="H17" s="22">
        <f t="shared" si="1"/>
        <v>39.169254682844056</v>
      </c>
      <c r="I17" s="22">
        <f t="shared" si="2"/>
        <v>9.8554665509499042</v>
      </c>
      <c r="J17" s="22">
        <f t="shared" si="3"/>
        <v>29.31378813189415</v>
      </c>
      <c r="K17" s="22">
        <f t="shared" si="4"/>
        <v>154.40258644916764</v>
      </c>
      <c r="L17" s="22">
        <f t="shared" si="5"/>
        <v>213.03016271295593</v>
      </c>
      <c r="M17" s="22">
        <f>L17*D5</f>
        <v>1278.1809762777357</v>
      </c>
      <c r="N17" s="23">
        <f t="shared" si="6"/>
        <v>1.7598160919540231</v>
      </c>
      <c r="O17" s="24">
        <f t="shared" si="7"/>
        <v>2.25</v>
      </c>
      <c r="P17" s="24">
        <f>PI()*O17^2/4</f>
        <v>3.9760782021995817</v>
      </c>
      <c r="Q17" s="25">
        <f t="shared" si="9"/>
        <v>321.46776579259461</v>
      </c>
      <c r="R17" s="26">
        <f t="shared" si="10"/>
        <v>2.2599999999999998</v>
      </c>
      <c r="S17" s="27">
        <f t="shared" si="11"/>
        <v>4.0114996593688055</v>
      </c>
    </row>
    <row r="18" spans="2:19" ht="12.75" customHeight="1" x14ac:dyDescent="0.25">
      <c r="B18" s="18">
        <v>2</v>
      </c>
      <c r="C18" s="19">
        <f>B18*K4</f>
        <v>0.25140229885057475</v>
      </c>
      <c r="D18" s="20">
        <f>D6</f>
        <v>7.0620000000000003</v>
      </c>
      <c r="E18" s="19">
        <f>$D8-C18</f>
        <v>13.748597701149425</v>
      </c>
      <c r="F18" s="21">
        <f>$D7+C18</f>
        <v>3.6680689655172412</v>
      </c>
      <c r="G18" s="22">
        <f t="shared" si="0"/>
        <v>305.02538934482362</v>
      </c>
      <c r="H18" s="22">
        <f t="shared" si="1"/>
        <v>39.169254682844056</v>
      </c>
      <c r="I18" s="22">
        <f t="shared" si="2"/>
        <v>10.567320180578701</v>
      </c>
      <c r="J18" s="22">
        <f t="shared" si="3"/>
        <v>28.601934502265355</v>
      </c>
      <c r="K18" s="22">
        <f t="shared" si="4"/>
        <v>158.43304507937705</v>
      </c>
      <c r="L18" s="22">
        <f t="shared" si="5"/>
        <v>215.63691408390775</v>
      </c>
      <c r="M18" s="22">
        <f>L18*D5</f>
        <v>1293.8214845034465</v>
      </c>
      <c r="N18" s="23">
        <f t="shared" si="6"/>
        <v>1.6969655172413796</v>
      </c>
      <c r="O18" s="24">
        <f t="shared" si="7"/>
        <v>2.25</v>
      </c>
      <c r="P18" s="24">
        <f t="shared" si="8"/>
        <v>3.9760782021995817</v>
      </c>
      <c r="Q18" s="25">
        <f t="shared" si="9"/>
        <v>325.40141785634387</v>
      </c>
      <c r="R18" s="26">
        <f t="shared" si="10"/>
        <v>2.2599999999999998</v>
      </c>
      <c r="S18" s="27">
        <f t="shared" si="11"/>
        <v>4.0114996593688055</v>
      </c>
    </row>
    <row r="19" spans="2:19" ht="12.75" customHeight="1" x14ac:dyDescent="0.25">
      <c r="B19" s="18">
        <v>3</v>
      </c>
      <c r="C19" s="19">
        <f>B19*K4</f>
        <v>0.37710344827586212</v>
      </c>
      <c r="D19" s="20">
        <f>D6</f>
        <v>7.0620000000000003</v>
      </c>
      <c r="E19" s="19">
        <f>$D8-C19</f>
        <v>13.622896551724137</v>
      </c>
      <c r="F19" s="21">
        <f>$D7+C19</f>
        <v>3.7937701149425287</v>
      </c>
      <c r="G19" s="22">
        <f t="shared" si="0"/>
        <v>302.23659277967761</v>
      </c>
      <c r="H19" s="22">
        <f t="shared" si="1"/>
        <v>39.169254682844056</v>
      </c>
      <c r="I19" s="22">
        <f t="shared" si="2"/>
        <v>11.303993615769111</v>
      </c>
      <c r="J19" s="22">
        <f t="shared" si="3"/>
        <v>27.865261067074947</v>
      </c>
      <c r="K19" s="22">
        <f t="shared" si="4"/>
        <v>162.36422448734007</v>
      </c>
      <c r="L19" s="22">
        <f t="shared" si="5"/>
        <v>218.09474662148995</v>
      </c>
      <c r="M19" s="22">
        <f>L19*D5</f>
        <v>1308.5684797289396</v>
      </c>
      <c r="N19" s="23">
        <f t="shared" si="6"/>
        <v>1.6341149425287358</v>
      </c>
      <c r="O19" s="24">
        <f t="shared" si="7"/>
        <v>2.25</v>
      </c>
      <c r="P19" s="24">
        <f>PI()*O19^2/4</f>
        <v>3.9760782021995817</v>
      </c>
      <c r="Q19" s="25">
        <f t="shared" si="9"/>
        <v>329.11034773034254</v>
      </c>
      <c r="R19" s="26">
        <f t="shared" si="10"/>
        <v>2.2599999999999998</v>
      </c>
      <c r="S19" s="27">
        <f t="shared" si="11"/>
        <v>4.0114996593688055</v>
      </c>
    </row>
    <row r="20" spans="2:19" ht="12.75" customHeight="1" x14ac:dyDescent="0.25">
      <c r="B20" s="18">
        <v>4</v>
      </c>
      <c r="C20" s="19">
        <f>B20*K4</f>
        <v>0.50280459770114949</v>
      </c>
      <c r="D20" s="20">
        <f>D6</f>
        <v>7.0620000000000003</v>
      </c>
      <c r="E20" s="19">
        <f>$D8-C20</f>
        <v>13.49719540229885</v>
      </c>
      <c r="F20" s="21">
        <f>$D7+C20</f>
        <v>3.9194712643678162</v>
      </c>
      <c r="G20" s="22">
        <f t="shared" si="0"/>
        <v>299.44779621453154</v>
      </c>
      <c r="H20" s="22">
        <f t="shared" si="1"/>
        <v>39.169254682844056</v>
      </c>
      <c r="I20" s="22">
        <f t="shared" si="2"/>
        <v>12.065486856521126</v>
      </c>
      <c r="J20" s="22">
        <f t="shared" si="3"/>
        <v>27.10376782632293</v>
      </c>
      <c r="K20" s="22">
        <f t="shared" si="4"/>
        <v>166.19612467305666</v>
      </c>
      <c r="L20" s="22">
        <f t="shared" si="5"/>
        <v>220.4036603257025</v>
      </c>
      <c r="M20" s="22">
        <f>L20*D5</f>
        <v>1322.421961954215</v>
      </c>
      <c r="N20" s="23">
        <f t="shared" si="6"/>
        <v>1.571264367816092</v>
      </c>
      <c r="O20" s="24">
        <f t="shared" si="7"/>
        <v>2.25</v>
      </c>
      <c r="P20" s="24">
        <f t="shared" si="8"/>
        <v>3.9760782021995817</v>
      </c>
      <c r="Q20" s="25">
        <f t="shared" si="9"/>
        <v>332.59455541459073</v>
      </c>
      <c r="R20" s="26">
        <f t="shared" si="10"/>
        <v>2.2599999999999998</v>
      </c>
      <c r="S20" s="27">
        <f t="shared" si="11"/>
        <v>4.0114996593688055</v>
      </c>
    </row>
    <row r="21" spans="2:19" ht="12.75" customHeight="1" x14ac:dyDescent="0.25">
      <c r="B21" s="18">
        <v>5</v>
      </c>
      <c r="C21" s="19">
        <f>B21*K4</f>
        <v>0.62850574712643681</v>
      </c>
      <c r="D21" s="20">
        <f>D6</f>
        <v>7.0620000000000003</v>
      </c>
      <c r="E21" s="19">
        <f>$D8-C21</f>
        <v>13.371494252873564</v>
      </c>
      <c r="F21" s="21">
        <f>$D7+C21</f>
        <v>4.0451724137931038</v>
      </c>
      <c r="G21" s="22">
        <f t="shared" si="0"/>
        <v>296.65899964938558</v>
      </c>
      <c r="H21" s="22">
        <f t="shared" si="1"/>
        <v>39.169254682844056</v>
      </c>
      <c r="I21" s="22">
        <f t="shared" si="2"/>
        <v>12.851799902834749</v>
      </c>
      <c r="J21" s="22">
        <f t="shared" si="3"/>
        <v>26.317454780009307</v>
      </c>
      <c r="K21" s="22">
        <f t="shared" si="4"/>
        <v>169.92874563652683</v>
      </c>
      <c r="L21" s="22">
        <f t="shared" si="5"/>
        <v>222.56365519654543</v>
      </c>
      <c r="M21" s="22">
        <f>L21*D5</f>
        <v>1335.3819311792727</v>
      </c>
      <c r="N21" s="23">
        <f t="shared" si="6"/>
        <v>1.5084137931034483</v>
      </c>
      <c r="O21" s="24">
        <f t="shared" si="7"/>
        <v>2.25</v>
      </c>
      <c r="P21" s="24">
        <f t="shared" si="8"/>
        <v>3.9760782021995817</v>
      </c>
      <c r="Q21" s="25">
        <f t="shared" si="9"/>
        <v>335.85404090908833</v>
      </c>
      <c r="R21" s="26">
        <f t="shared" si="10"/>
        <v>2.2599999999999998</v>
      </c>
      <c r="S21" s="27">
        <f t="shared" si="11"/>
        <v>4.0114996593688055</v>
      </c>
    </row>
    <row r="22" spans="2:19" ht="12.75" customHeight="1" x14ac:dyDescent="0.25">
      <c r="B22" s="18">
        <v>6</v>
      </c>
      <c r="C22" s="19">
        <f>B22*K4</f>
        <v>0.75420689655172424</v>
      </c>
      <c r="D22" s="20">
        <f>D6</f>
        <v>7.0620000000000003</v>
      </c>
      <c r="E22" s="19">
        <f>$D8-C22</f>
        <v>13.245793103448277</v>
      </c>
      <c r="F22" s="21">
        <f>$D7+C22</f>
        <v>4.1708735632183904</v>
      </c>
      <c r="G22" s="22">
        <f t="shared" si="0"/>
        <v>293.87020308423951</v>
      </c>
      <c r="H22" s="22">
        <f t="shared" si="1"/>
        <v>39.169254682844056</v>
      </c>
      <c r="I22" s="22">
        <f t="shared" si="2"/>
        <v>13.662932754709976</v>
      </c>
      <c r="J22" s="22">
        <f t="shared" si="3"/>
        <v>25.506321928134078</v>
      </c>
      <c r="K22" s="22">
        <f t="shared" si="4"/>
        <v>173.56208737775049</v>
      </c>
      <c r="L22" s="22">
        <f t="shared" si="5"/>
        <v>224.57473123401866</v>
      </c>
      <c r="M22" s="22">
        <f>L22*D5</f>
        <v>1347.4483874041121</v>
      </c>
      <c r="N22" s="23">
        <f t="shared" si="6"/>
        <v>1.4455632183908049</v>
      </c>
      <c r="O22" s="24">
        <f t="shared" si="7"/>
        <v>2.25</v>
      </c>
      <c r="P22" s="24">
        <f t="shared" si="8"/>
        <v>3.9760782021995817</v>
      </c>
      <c r="Q22" s="25">
        <f t="shared" si="9"/>
        <v>338.88880421383521</v>
      </c>
      <c r="R22" s="26">
        <f t="shared" si="10"/>
        <v>2.2599999999999998</v>
      </c>
      <c r="S22" s="27">
        <f t="shared" si="11"/>
        <v>4.0114996593688055</v>
      </c>
    </row>
    <row r="23" spans="2:19" ht="12.75" customHeight="1" x14ac:dyDescent="0.25">
      <c r="B23" s="18">
        <v>7</v>
      </c>
      <c r="C23" s="19">
        <f>B23*K4</f>
        <v>0.87990804597701167</v>
      </c>
      <c r="D23" s="20">
        <f>D6</f>
        <v>7.0620000000000003</v>
      </c>
      <c r="E23" s="19">
        <f>$D8-C23</f>
        <v>13.120091954022989</v>
      </c>
      <c r="F23" s="21">
        <f>$D7+C23</f>
        <v>4.296574712643678</v>
      </c>
      <c r="G23" s="22">
        <f t="shared" si="0"/>
        <v>291.08140651909349</v>
      </c>
      <c r="H23" s="22">
        <f t="shared" si="1"/>
        <v>39.169254682844056</v>
      </c>
      <c r="I23" s="22">
        <f t="shared" si="2"/>
        <v>14.498885412146816</v>
      </c>
      <c r="J23" s="22">
        <f t="shared" si="3"/>
        <v>24.67036927069724</v>
      </c>
      <c r="K23" s="22">
        <f t="shared" si="4"/>
        <v>177.09614989672778</v>
      </c>
      <c r="L23" s="22">
        <f t="shared" si="5"/>
        <v>226.43688843812225</v>
      </c>
      <c r="M23" s="22">
        <f>L23*D5</f>
        <v>1358.6213306287336</v>
      </c>
      <c r="N23" s="23">
        <f t="shared" si="6"/>
        <v>1.3827126436781612</v>
      </c>
      <c r="O23" s="24">
        <f t="shared" si="7"/>
        <v>2.25</v>
      </c>
      <c r="P23" s="24">
        <f t="shared" si="8"/>
        <v>3.9760782021995817</v>
      </c>
      <c r="Q23" s="25">
        <f t="shared" si="9"/>
        <v>341.69884532883157</v>
      </c>
      <c r="R23" s="26">
        <f t="shared" si="10"/>
        <v>2.2599999999999998</v>
      </c>
      <c r="S23" s="27">
        <f t="shared" si="11"/>
        <v>4.0114996593688055</v>
      </c>
    </row>
    <row r="24" spans="2:19" ht="12.75" customHeight="1" x14ac:dyDescent="0.25">
      <c r="B24" s="18">
        <v>8</v>
      </c>
      <c r="C24" s="19">
        <f>B24*K4</f>
        <v>1.005609195402299</v>
      </c>
      <c r="D24" s="20">
        <f>D6</f>
        <v>7.0620000000000003</v>
      </c>
      <c r="E24" s="19">
        <f>$D8-C24</f>
        <v>12.994390804597701</v>
      </c>
      <c r="F24" s="21">
        <f>$D7+C24</f>
        <v>4.4222758620689655</v>
      </c>
      <c r="G24" s="22">
        <f t="shared" si="0"/>
        <v>288.29260995394748</v>
      </c>
      <c r="H24" s="22">
        <f t="shared" si="1"/>
        <v>39.169254682844056</v>
      </c>
      <c r="I24" s="22">
        <f t="shared" si="2"/>
        <v>15.359657875145263</v>
      </c>
      <c r="J24" s="22">
        <f t="shared" si="3"/>
        <v>23.809596807698792</v>
      </c>
      <c r="K24" s="22">
        <f t="shared" si="4"/>
        <v>180.53093319345865</v>
      </c>
      <c r="L24" s="22">
        <f t="shared" si="5"/>
        <v>228.15012680885624</v>
      </c>
      <c r="M24" s="22">
        <f>L24*D5</f>
        <v>1368.9007608531374</v>
      </c>
      <c r="N24" s="23">
        <f t="shared" si="6"/>
        <v>1.3198620689655174</v>
      </c>
      <c r="O24" s="24">
        <f t="shared" si="7"/>
        <v>2.25</v>
      </c>
      <c r="P24" s="24">
        <f t="shared" si="8"/>
        <v>3.9760782021995817</v>
      </c>
      <c r="Q24" s="25">
        <f t="shared" si="9"/>
        <v>344.28416425407738</v>
      </c>
      <c r="R24" s="26">
        <f t="shared" si="10"/>
        <v>2.2599999999999998</v>
      </c>
      <c r="S24" s="27">
        <f t="shared" si="11"/>
        <v>4.0114996593688055</v>
      </c>
    </row>
    <row r="25" spans="2:19" ht="12.75" customHeight="1" x14ac:dyDescent="0.25">
      <c r="B25" s="18">
        <v>9</v>
      </c>
      <c r="C25" s="19">
        <f>B25*K4</f>
        <v>1.1313103448275863</v>
      </c>
      <c r="D25" s="20">
        <f>D6</f>
        <v>7.0620000000000003</v>
      </c>
      <c r="E25" s="19">
        <f>$D8-C25</f>
        <v>12.868689655172414</v>
      </c>
      <c r="F25" s="21">
        <f>$D7+C25</f>
        <v>4.547977011494253</v>
      </c>
      <c r="G25" s="22">
        <f t="shared" si="0"/>
        <v>285.5038133888014</v>
      </c>
      <c r="H25" s="22">
        <f t="shared" si="1"/>
        <v>39.169254682844056</v>
      </c>
      <c r="I25" s="22">
        <f t="shared" si="2"/>
        <v>16.24525014370532</v>
      </c>
      <c r="J25" s="22">
        <f t="shared" si="3"/>
        <v>22.924004539138735</v>
      </c>
      <c r="K25" s="22">
        <f t="shared" si="4"/>
        <v>183.86643726794307</v>
      </c>
      <c r="L25" s="22">
        <f t="shared" si="5"/>
        <v>229.71444634622054</v>
      </c>
      <c r="M25" s="22">
        <f>L25*D5</f>
        <v>1378.2866780773234</v>
      </c>
      <c r="N25" s="23">
        <f t="shared" si="6"/>
        <v>1.2570114942528736</v>
      </c>
      <c r="O25" s="24">
        <f t="shared" si="7"/>
        <v>2.25</v>
      </c>
      <c r="P25" s="24">
        <f t="shared" si="8"/>
        <v>3.9760782021995817</v>
      </c>
      <c r="Q25" s="25">
        <f t="shared" si="9"/>
        <v>346.64476098957255</v>
      </c>
      <c r="R25" s="26">
        <f t="shared" si="10"/>
        <v>2.2599999999999998</v>
      </c>
      <c r="S25" s="27">
        <f t="shared" si="11"/>
        <v>4.0114996593688055</v>
      </c>
    </row>
    <row r="26" spans="2:19" ht="12.75" customHeight="1" x14ac:dyDescent="0.25">
      <c r="B26" s="18">
        <v>10</v>
      </c>
      <c r="C26" s="19">
        <f>B26*K4</f>
        <v>1.2570114942528736</v>
      </c>
      <c r="D26" s="20">
        <f>D6</f>
        <v>7.0620000000000003</v>
      </c>
      <c r="E26" s="19">
        <f>$D8-C26</f>
        <v>12.742988505747126</v>
      </c>
      <c r="F26" s="21">
        <f>$D7+C26</f>
        <v>4.6736781609195397</v>
      </c>
      <c r="G26" s="22">
        <f t="shared" si="0"/>
        <v>282.71501682365539</v>
      </c>
      <c r="H26" s="22">
        <f t="shared" si="1"/>
        <v>39.169254682844056</v>
      </c>
      <c r="I26" s="22">
        <f t="shared" si="2"/>
        <v>17.155662217826976</v>
      </c>
      <c r="J26" s="22">
        <f t="shared" si="3"/>
        <v>22.01359246501708</v>
      </c>
      <c r="K26" s="22">
        <f t="shared" si="4"/>
        <v>187.10266212018104</v>
      </c>
      <c r="L26" s="22">
        <f t="shared" si="5"/>
        <v>231.1298470502152</v>
      </c>
      <c r="M26" s="22">
        <f>L26*D5</f>
        <v>1386.7790823012913</v>
      </c>
      <c r="N26" s="23">
        <f t="shared" si="6"/>
        <v>1.1941609195402303</v>
      </c>
      <c r="O26" s="24">
        <f t="shared" si="7"/>
        <v>2.25</v>
      </c>
      <c r="P26" s="24">
        <f t="shared" si="8"/>
        <v>3.9760782021995817</v>
      </c>
      <c r="Q26" s="25">
        <f t="shared" si="9"/>
        <v>348.78063553531712</v>
      </c>
      <c r="R26" s="26">
        <f t="shared" si="10"/>
        <v>2.2599999999999998</v>
      </c>
      <c r="S26" s="27">
        <f t="shared" si="11"/>
        <v>4.0114996593688055</v>
      </c>
    </row>
    <row r="27" spans="2:19" ht="12.75" customHeight="1" x14ac:dyDescent="0.25">
      <c r="B27" s="18">
        <v>11</v>
      </c>
      <c r="C27" s="19">
        <f>B27*K4</f>
        <v>1.3827126436781612</v>
      </c>
      <c r="D27" s="20">
        <f>D6</f>
        <v>7.0620000000000003</v>
      </c>
      <c r="E27" s="19">
        <f>$D8-C27</f>
        <v>12.617287356321839</v>
      </c>
      <c r="F27" s="21">
        <f>$D7+C27</f>
        <v>4.7993793103448272</v>
      </c>
      <c r="G27" s="22">
        <f t="shared" si="0"/>
        <v>279.92622025850937</v>
      </c>
      <c r="H27" s="22">
        <f t="shared" si="1"/>
        <v>39.169254682844056</v>
      </c>
      <c r="I27" s="22">
        <f t="shared" si="2"/>
        <v>18.090894097510247</v>
      </c>
      <c r="J27" s="22">
        <f t="shared" si="3"/>
        <v>21.078360585333808</v>
      </c>
      <c r="K27" s="22">
        <f t="shared" si="4"/>
        <v>190.23960775017258</v>
      </c>
      <c r="L27" s="22">
        <f t="shared" si="5"/>
        <v>232.3963289208402</v>
      </c>
      <c r="M27" s="22">
        <f>L27*D5</f>
        <v>1394.3779735250412</v>
      </c>
      <c r="N27" s="23">
        <f t="shared" si="6"/>
        <v>1.1313103448275865</v>
      </c>
      <c r="O27" s="24">
        <f t="shared" si="7"/>
        <v>2.25</v>
      </c>
      <c r="P27" s="24">
        <f t="shared" si="8"/>
        <v>3.9760782021995817</v>
      </c>
      <c r="Q27" s="25">
        <f t="shared" si="9"/>
        <v>350.69178789131109</v>
      </c>
      <c r="R27" s="26">
        <f t="shared" si="10"/>
        <v>2.2599999999999998</v>
      </c>
      <c r="S27" s="27">
        <f t="shared" si="11"/>
        <v>4.0114996593688055</v>
      </c>
    </row>
    <row r="28" spans="2:19" ht="12.75" customHeight="1" x14ac:dyDescent="0.25">
      <c r="B28" s="18">
        <v>12</v>
      </c>
      <c r="C28" s="19">
        <f>B28*K4</f>
        <v>1.5084137931034485</v>
      </c>
      <c r="D28" s="20">
        <f>D6</f>
        <v>7.0620000000000003</v>
      </c>
      <c r="E28" s="19">
        <f>$D8-C28</f>
        <v>12.491586206896551</v>
      </c>
      <c r="F28" s="21">
        <f>$D7+C28</f>
        <v>4.9250804597701148</v>
      </c>
      <c r="G28" s="22">
        <f t="shared" si="0"/>
        <v>277.1374236933633</v>
      </c>
      <c r="H28" s="22">
        <f t="shared" si="1"/>
        <v>39.169254682844056</v>
      </c>
      <c r="I28" s="22">
        <f t="shared" si="2"/>
        <v>19.050945782755125</v>
      </c>
      <c r="J28" s="22">
        <f t="shared" si="3"/>
        <v>20.11830890008893</v>
      </c>
      <c r="K28" s="22">
        <f t="shared" si="4"/>
        <v>193.2772741579177</v>
      </c>
      <c r="L28" s="22">
        <f t="shared" si="5"/>
        <v>233.51389195809557</v>
      </c>
      <c r="M28" s="22">
        <f>L28*D5</f>
        <v>1401.0833517485735</v>
      </c>
      <c r="N28" s="23">
        <f t="shared" si="6"/>
        <v>1.0684597701149428</v>
      </c>
      <c r="O28" s="24">
        <f t="shared" si="7"/>
        <v>2.25</v>
      </c>
      <c r="P28" s="24">
        <f t="shared" si="8"/>
        <v>3.9760782021995817</v>
      </c>
      <c r="Q28" s="25">
        <f t="shared" si="9"/>
        <v>352.37821805755448</v>
      </c>
      <c r="R28" s="26">
        <f t="shared" si="10"/>
        <v>2.2599999999999998</v>
      </c>
      <c r="S28" s="27">
        <f t="shared" si="11"/>
        <v>4.0114996593688055</v>
      </c>
    </row>
    <row r="29" spans="2:19" ht="12.75" customHeight="1" x14ac:dyDescent="0.25">
      <c r="B29" s="18">
        <v>13</v>
      </c>
      <c r="C29" s="19">
        <f>B29*K4</f>
        <v>1.6341149425287358</v>
      </c>
      <c r="D29" s="20">
        <f>D6</f>
        <v>7.0620000000000003</v>
      </c>
      <c r="E29" s="19">
        <f>$D8-C29</f>
        <v>12.365885057471264</v>
      </c>
      <c r="F29" s="21">
        <f>$D7+C29</f>
        <v>5.0507816091954023</v>
      </c>
      <c r="G29" s="22">
        <f t="shared" si="0"/>
        <v>274.34862712821729</v>
      </c>
      <c r="H29" s="22">
        <f t="shared" si="1"/>
        <v>39.169254682844056</v>
      </c>
      <c r="I29" s="22">
        <f t="shared" si="2"/>
        <v>20.035817273561612</v>
      </c>
      <c r="J29" s="22">
        <f t="shared" si="3"/>
        <v>19.133437409282443</v>
      </c>
      <c r="K29" s="22">
        <f t="shared" si="4"/>
        <v>196.21566134341637</v>
      </c>
      <c r="L29" s="22">
        <f t="shared" si="5"/>
        <v>234.48253616198127</v>
      </c>
      <c r="M29" s="22">
        <f>L29*D5</f>
        <v>1406.8952169718877</v>
      </c>
      <c r="N29" s="23">
        <f t="shared" si="6"/>
        <v>1.005609195402299</v>
      </c>
      <c r="O29" s="24">
        <f t="shared" si="7"/>
        <v>2.25</v>
      </c>
      <c r="P29" s="24">
        <f t="shared" si="8"/>
        <v>3.9760782021995817</v>
      </c>
      <c r="Q29" s="25">
        <f t="shared" si="9"/>
        <v>353.83992603404727</v>
      </c>
      <c r="R29" s="26">
        <f t="shared" si="10"/>
        <v>2.2599999999999998</v>
      </c>
      <c r="S29" s="27">
        <f t="shared" si="11"/>
        <v>4.0114996593688055</v>
      </c>
    </row>
    <row r="30" spans="2:19" ht="12.75" customHeight="1" x14ac:dyDescent="0.25">
      <c r="B30" s="18">
        <v>14</v>
      </c>
      <c r="C30" s="19">
        <f>B30*K4</f>
        <v>1.7598160919540233</v>
      </c>
      <c r="D30" s="20">
        <f>D6</f>
        <v>7.0620000000000003</v>
      </c>
      <c r="E30" s="19">
        <f>$D8-C30</f>
        <v>12.240183908045976</v>
      </c>
      <c r="F30" s="21">
        <f>$D7+C30</f>
        <v>5.1764827586206899</v>
      </c>
      <c r="G30" s="22">
        <f t="shared" si="0"/>
        <v>271.55983056307127</v>
      </c>
      <c r="H30" s="22">
        <f t="shared" si="1"/>
        <v>39.169254682844056</v>
      </c>
      <c r="I30" s="22">
        <f t="shared" si="2"/>
        <v>21.045508569929709</v>
      </c>
      <c r="J30" s="22">
        <f t="shared" si="3"/>
        <v>18.123746112914347</v>
      </c>
      <c r="K30" s="22">
        <f t="shared" si="4"/>
        <v>199.05476930666867</v>
      </c>
      <c r="L30" s="22">
        <f t="shared" si="5"/>
        <v>235.30226153249737</v>
      </c>
      <c r="M30" s="22">
        <f>L30*D5</f>
        <v>1411.8135691949842</v>
      </c>
      <c r="N30" s="23">
        <f t="shared" si="6"/>
        <v>0.94275862068965521</v>
      </c>
      <c r="O30" s="24">
        <f t="shared" si="7"/>
        <v>2.25</v>
      </c>
      <c r="P30" s="24">
        <f t="shared" si="8"/>
        <v>3.9760782021995817</v>
      </c>
      <c r="Q30" s="25">
        <f t="shared" si="9"/>
        <v>355.07691182078952</v>
      </c>
      <c r="R30" s="26">
        <f t="shared" si="10"/>
        <v>2.2599999999999998</v>
      </c>
      <c r="S30" s="27">
        <f t="shared" si="11"/>
        <v>4.0114996593688055</v>
      </c>
    </row>
    <row r="31" spans="2:19" ht="12.75" customHeight="1" x14ac:dyDescent="0.25">
      <c r="B31" s="18">
        <v>15</v>
      </c>
      <c r="C31" s="19">
        <f>B31*K4</f>
        <v>1.8855172413793106</v>
      </c>
      <c r="D31" s="20">
        <f>D6</f>
        <v>7.0620000000000003</v>
      </c>
      <c r="E31" s="19">
        <f>$D8-C31</f>
        <v>12.114482758620689</v>
      </c>
      <c r="F31" s="21">
        <f>$D7+C31</f>
        <v>5.3021839080459774</v>
      </c>
      <c r="G31" s="22">
        <f t="shared" si="0"/>
        <v>268.7710339979252</v>
      </c>
      <c r="H31" s="22">
        <f t="shared" si="1"/>
        <v>39.169254682844056</v>
      </c>
      <c r="I31" s="22">
        <f t="shared" si="2"/>
        <v>22.080019671859411</v>
      </c>
      <c r="J31" s="22">
        <f t="shared" si="3"/>
        <v>17.089235010984645</v>
      </c>
      <c r="K31" s="22">
        <f t="shared" si="4"/>
        <v>201.7945980476745</v>
      </c>
      <c r="L31" s="22">
        <f t="shared" si="5"/>
        <v>235.97306806964377</v>
      </c>
      <c r="M31" s="22">
        <f>L31*D5</f>
        <v>1415.8384084178626</v>
      </c>
      <c r="N31" s="23">
        <f t="shared" si="6"/>
        <v>0.87990804597701144</v>
      </c>
      <c r="O31" s="24">
        <f t="shared" si="7"/>
        <v>2.25</v>
      </c>
      <c r="P31" s="24">
        <f t="shared" si="8"/>
        <v>3.9760782021995817</v>
      </c>
      <c r="Q31" s="25">
        <f t="shared" si="9"/>
        <v>356.08917541778112</v>
      </c>
      <c r="R31" s="26">
        <f t="shared" si="10"/>
        <v>2.2599999999999998</v>
      </c>
      <c r="S31" s="27">
        <f t="shared" si="11"/>
        <v>4.0114996593688055</v>
      </c>
    </row>
    <row r="32" spans="2:19" ht="12.75" customHeight="1" x14ac:dyDescent="0.25">
      <c r="B32" s="18">
        <v>16</v>
      </c>
      <c r="C32" s="19">
        <f>B32*K4</f>
        <v>2.011218390804598</v>
      </c>
      <c r="D32" s="20">
        <f>D6</f>
        <v>7.0620000000000003</v>
      </c>
      <c r="E32" s="19">
        <f>$D8-C32</f>
        <v>11.988781609195403</v>
      </c>
      <c r="F32" s="21">
        <f>$D7+C32</f>
        <v>5.4278850574712649</v>
      </c>
      <c r="G32" s="22">
        <f t="shared" si="0"/>
        <v>265.98223743277924</v>
      </c>
      <c r="H32" s="22">
        <f t="shared" si="1"/>
        <v>39.169254682844056</v>
      </c>
      <c r="I32" s="22">
        <f t="shared" si="2"/>
        <v>23.139350579350722</v>
      </c>
      <c r="J32" s="22">
        <f t="shared" si="3"/>
        <v>16.029904103493333</v>
      </c>
      <c r="K32" s="22">
        <f t="shared" si="4"/>
        <v>204.43514756643393</v>
      </c>
      <c r="L32" s="22">
        <f t="shared" si="5"/>
        <v>236.4949557734206</v>
      </c>
      <c r="M32" s="22">
        <f>L32*D5</f>
        <v>1418.9697346405237</v>
      </c>
      <c r="N32" s="23">
        <f t="shared" si="6"/>
        <v>0.81705747126436767</v>
      </c>
      <c r="O32" s="24">
        <f t="shared" si="7"/>
        <v>2.25</v>
      </c>
      <c r="P32" s="24">
        <f t="shared" si="8"/>
        <v>3.9760782021995817</v>
      </c>
      <c r="Q32" s="25">
        <f t="shared" si="9"/>
        <v>356.87671682502224</v>
      </c>
      <c r="R32" s="26">
        <f t="shared" si="10"/>
        <v>2.2599999999999998</v>
      </c>
      <c r="S32" s="27">
        <f t="shared" si="11"/>
        <v>4.0114996593688055</v>
      </c>
    </row>
    <row r="33" spans="2:19" ht="12.75" customHeight="1" x14ac:dyDescent="0.25">
      <c r="B33" s="18">
        <v>17</v>
      </c>
      <c r="C33" s="19">
        <f>B33*K4</f>
        <v>2.1369195402298855</v>
      </c>
      <c r="D33" s="20">
        <f>D6</f>
        <v>7.0620000000000003</v>
      </c>
      <c r="E33" s="19">
        <f>$D8-C33</f>
        <v>11.863080459770114</v>
      </c>
      <c r="F33" s="21">
        <f>$D7+C33</f>
        <v>5.5535862068965525</v>
      </c>
      <c r="G33" s="22">
        <f t="shared" si="0"/>
        <v>263.19344086763317</v>
      </c>
      <c r="H33" s="22">
        <f t="shared" si="1"/>
        <v>39.169254682844056</v>
      </c>
      <c r="I33" s="22">
        <f t="shared" si="2"/>
        <v>24.223501292403643</v>
      </c>
      <c r="J33" s="22">
        <f t="shared" si="3"/>
        <v>14.945753390440412</v>
      </c>
      <c r="K33" s="22">
        <f t="shared" si="4"/>
        <v>206.97641786294685</v>
      </c>
      <c r="L33" s="22">
        <f t="shared" si="5"/>
        <v>236.86792464382768</v>
      </c>
      <c r="M33" s="22">
        <f>L33*D5</f>
        <v>1421.2075478629661</v>
      </c>
      <c r="N33" s="23">
        <f t="shared" si="6"/>
        <v>0.7542068965517239</v>
      </c>
      <c r="O33" s="24">
        <f t="shared" si="7"/>
        <v>2.25</v>
      </c>
      <c r="P33" s="24">
        <f t="shared" si="8"/>
        <v>3.9760782021995817</v>
      </c>
      <c r="Q33" s="25">
        <f t="shared" si="9"/>
        <v>357.4395360425126</v>
      </c>
      <c r="R33" s="26">
        <f t="shared" si="10"/>
        <v>2.2599999999999998</v>
      </c>
      <c r="S33" s="27">
        <f t="shared" si="11"/>
        <v>4.0114996593688055</v>
      </c>
    </row>
    <row r="34" spans="2:19" ht="12.75" customHeight="1" x14ac:dyDescent="0.25">
      <c r="B34" s="18">
        <v>18</v>
      </c>
      <c r="C34" s="19">
        <f>B34*K4</f>
        <v>2.2626206896551726</v>
      </c>
      <c r="D34" s="20">
        <f>D6</f>
        <v>7.0620000000000003</v>
      </c>
      <c r="E34" s="19">
        <f>$D8-C34</f>
        <v>11.737379310344828</v>
      </c>
      <c r="F34" s="21">
        <f>$D7+C34</f>
        <v>5.6792873563218391</v>
      </c>
      <c r="G34" s="22">
        <f t="shared" si="0"/>
        <v>260.40464430248716</v>
      </c>
      <c r="H34" s="22">
        <f t="shared" si="1"/>
        <v>39.169254682844056</v>
      </c>
      <c r="I34" s="22">
        <f t="shared" si="2"/>
        <v>25.332471811018163</v>
      </c>
      <c r="J34" s="22">
        <f t="shared" si="3"/>
        <v>13.836782871825893</v>
      </c>
      <c r="K34" s="22">
        <f t="shared" si="4"/>
        <v>209.4184089372134</v>
      </c>
      <c r="L34" s="22">
        <f t="shared" si="5"/>
        <v>237.09197468086518</v>
      </c>
      <c r="M34" s="22">
        <f>L34*D5</f>
        <v>1422.5518480851911</v>
      </c>
      <c r="N34" s="23">
        <f t="shared" si="6"/>
        <v>0.69135632183908058</v>
      </c>
      <c r="O34" s="24">
        <f t="shared" si="7"/>
        <v>2.25</v>
      </c>
      <c r="P34" s="24">
        <f t="shared" si="8"/>
        <v>3.9760782021995817</v>
      </c>
      <c r="Q34" s="25">
        <f t="shared" si="9"/>
        <v>357.77763307025248</v>
      </c>
      <c r="R34" s="26">
        <f t="shared" si="10"/>
        <v>2.2599999999999998</v>
      </c>
      <c r="S34" s="27">
        <f t="shared" si="11"/>
        <v>4.0114996593688055</v>
      </c>
    </row>
    <row r="35" spans="2:19" ht="12.75" customHeight="1" x14ac:dyDescent="0.25">
      <c r="B35" s="18">
        <v>19</v>
      </c>
      <c r="C35" s="19">
        <f>B35*K4</f>
        <v>2.3883218390804601</v>
      </c>
      <c r="D35" s="20">
        <f>D6</f>
        <v>7.0620000000000003</v>
      </c>
      <c r="E35" s="19">
        <f>$D8-C35</f>
        <v>11.61167816091954</v>
      </c>
      <c r="F35" s="21">
        <f>$D7+C35</f>
        <v>5.8049885057471267</v>
      </c>
      <c r="G35" s="22">
        <f t="shared" si="0"/>
        <v>257.61584773734114</v>
      </c>
      <c r="H35" s="22">
        <f t="shared" si="1"/>
        <v>39.169254682844056</v>
      </c>
      <c r="I35" s="22">
        <f t="shared" si="2"/>
        <v>26.466262135194295</v>
      </c>
      <c r="J35" s="22">
        <f t="shared" si="3"/>
        <v>12.70299254764976</v>
      </c>
      <c r="K35" s="22">
        <f t="shared" si="4"/>
        <v>211.7611207892335</v>
      </c>
      <c r="L35" s="22">
        <f t="shared" si="5"/>
        <v>237.16710588453302</v>
      </c>
      <c r="M35" s="22">
        <f>L35*D5</f>
        <v>1423.002635307198</v>
      </c>
      <c r="N35" s="23">
        <f t="shared" si="6"/>
        <v>0.62850574712643681</v>
      </c>
      <c r="O35" s="24">
        <f t="shared" si="7"/>
        <v>2.25</v>
      </c>
      <c r="P35" s="24">
        <f t="shared" si="8"/>
        <v>3.9760782021995817</v>
      </c>
      <c r="Q35" s="25">
        <f t="shared" si="9"/>
        <v>357.8910079082417</v>
      </c>
      <c r="R35" s="26">
        <f t="shared" si="10"/>
        <v>2.2599999999999998</v>
      </c>
      <c r="S35" s="27">
        <f t="shared" si="11"/>
        <v>4.0114996593688055</v>
      </c>
    </row>
    <row r="36" spans="2:19" ht="12.75" customHeight="1" x14ac:dyDescent="0.25">
      <c r="B36" s="18">
        <v>20</v>
      </c>
      <c r="C36" s="19">
        <f>B36*K4</f>
        <v>2.5140229885057472</v>
      </c>
      <c r="D36" s="20">
        <f>D6</f>
        <v>7.0620000000000003</v>
      </c>
      <c r="E36" s="19">
        <f>$D8-C36</f>
        <v>11.485977011494253</v>
      </c>
      <c r="F36" s="21">
        <f>$D7+C36</f>
        <v>5.9306896551724133</v>
      </c>
      <c r="G36" s="22">
        <f t="shared" si="0"/>
        <v>254.82705117219507</v>
      </c>
      <c r="H36" s="22">
        <f t="shared" si="1"/>
        <v>39.169254682844056</v>
      </c>
      <c r="I36" s="22">
        <f t="shared" si="2"/>
        <v>27.62487226493203</v>
      </c>
      <c r="J36" s="22">
        <f t="shared" si="3"/>
        <v>11.544382417912026</v>
      </c>
      <c r="K36" s="22">
        <f t="shared" si="4"/>
        <v>214.00455341900712</v>
      </c>
      <c r="L36" s="22">
        <f t="shared" si="5"/>
        <v>237.09331825483116</v>
      </c>
      <c r="M36" s="22">
        <f>L36*D5</f>
        <v>1422.559909528987</v>
      </c>
      <c r="N36" s="23">
        <f t="shared" si="6"/>
        <v>0.56565517241379348</v>
      </c>
      <c r="O36" s="24">
        <f t="shared" si="7"/>
        <v>2.25</v>
      </c>
      <c r="P36" s="24">
        <f t="shared" si="8"/>
        <v>3.9760782021995817</v>
      </c>
      <c r="Q36" s="25">
        <f t="shared" si="9"/>
        <v>357.77966055648034</v>
      </c>
      <c r="R36" s="26">
        <f t="shared" si="10"/>
        <v>2.2599999999999998</v>
      </c>
      <c r="S36" s="27">
        <f t="shared" si="11"/>
        <v>4.0114996593688055</v>
      </c>
    </row>
    <row r="37" spans="2:19" ht="12.75" customHeight="1" x14ac:dyDescent="0.25">
      <c r="B37" s="18">
        <v>21</v>
      </c>
      <c r="C37" s="19">
        <f>B37*K4</f>
        <v>2.6397241379310348</v>
      </c>
      <c r="D37" s="20">
        <f>D6</f>
        <v>7.0620000000000003</v>
      </c>
      <c r="E37" s="19">
        <f>$D8-C37</f>
        <v>11.360275862068965</v>
      </c>
      <c r="F37" s="21">
        <f>$D7+C37</f>
        <v>6.0563908045977008</v>
      </c>
      <c r="G37" s="22">
        <f t="shared" si="0"/>
        <v>252.03825460704905</v>
      </c>
      <c r="H37" s="22">
        <f t="shared" si="1"/>
        <v>39.169254682844056</v>
      </c>
      <c r="I37" s="22">
        <f t="shared" si="2"/>
        <v>28.808302200231378</v>
      </c>
      <c r="J37" s="22">
        <f t="shared" si="3"/>
        <v>10.360952482612678</v>
      </c>
      <c r="K37" s="22">
        <f t="shared" si="4"/>
        <v>216.14870682653438</v>
      </c>
      <c r="L37" s="22">
        <f t="shared" si="5"/>
        <v>236.87061179175973</v>
      </c>
      <c r="M37" s="22">
        <f>L37*D5</f>
        <v>1421.2236707505583</v>
      </c>
      <c r="N37" s="23">
        <f t="shared" si="6"/>
        <v>0.50280459770114971</v>
      </c>
      <c r="O37" s="24">
        <f t="shared" si="7"/>
        <v>2.25</v>
      </c>
      <c r="P37" s="24">
        <f t="shared" si="8"/>
        <v>3.9760782021995817</v>
      </c>
      <c r="Q37" s="25">
        <f t="shared" si="9"/>
        <v>357.44359101496843</v>
      </c>
      <c r="R37" s="26">
        <f t="shared" si="10"/>
        <v>2.2599999999999998</v>
      </c>
      <c r="S37" s="27">
        <f t="shared" si="11"/>
        <v>4.0114996593688055</v>
      </c>
    </row>
    <row r="38" spans="2:19" ht="12.75" customHeight="1" x14ac:dyDescent="0.25">
      <c r="B38" s="18">
        <v>22</v>
      </c>
      <c r="C38" s="19">
        <f>B38*K4</f>
        <v>2.7654252873563223</v>
      </c>
      <c r="D38" s="20">
        <f>D6</f>
        <v>7.0620000000000003</v>
      </c>
      <c r="E38" s="19">
        <f>$D8-C38</f>
        <v>11.234574712643678</v>
      </c>
      <c r="F38" s="21">
        <f>$D7+C38</f>
        <v>6.1820919540229884</v>
      </c>
      <c r="G38" s="22">
        <f t="shared" si="0"/>
        <v>249.24945804190301</v>
      </c>
      <c r="H38" s="22">
        <f t="shared" si="1"/>
        <v>39.169254682844056</v>
      </c>
      <c r="I38" s="22">
        <f t="shared" si="2"/>
        <v>30.016551941092338</v>
      </c>
      <c r="J38" s="22">
        <f t="shared" si="3"/>
        <v>9.1527027417517175</v>
      </c>
      <c r="K38" s="22">
        <f t="shared" si="4"/>
        <v>218.19358101181518</v>
      </c>
      <c r="L38" s="22">
        <f t="shared" si="5"/>
        <v>236.4989864953186</v>
      </c>
      <c r="M38" s="22">
        <f>L38*D5</f>
        <v>1418.9939189719116</v>
      </c>
      <c r="N38" s="23">
        <f t="shared" si="6"/>
        <v>0.43995402298850594</v>
      </c>
      <c r="O38" s="24">
        <f t="shared" si="7"/>
        <v>2.25</v>
      </c>
      <c r="P38" s="24">
        <f t="shared" si="8"/>
        <v>3.9760782021995817</v>
      </c>
      <c r="Q38" s="25">
        <f t="shared" si="9"/>
        <v>356.88279928370594</v>
      </c>
      <c r="R38" s="26">
        <f t="shared" si="10"/>
        <v>2.2599999999999998</v>
      </c>
      <c r="S38" s="27">
        <f t="shared" si="11"/>
        <v>4.0114996593688055</v>
      </c>
    </row>
    <row r="39" spans="2:19" ht="12.75" customHeight="1" x14ac:dyDescent="0.25">
      <c r="B39" s="18">
        <v>23</v>
      </c>
      <c r="C39" s="19">
        <f>B39*K4</f>
        <v>2.8911264367816094</v>
      </c>
      <c r="D39" s="20">
        <f>D6</f>
        <v>7.0620000000000003</v>
      </c>
      <c r="E39" s="19">
        <f>$D8-C39</f>
        <v>11.10887356321839</v>
      </c>
      <c r="F39" s="21">
        <f>$D7+C39</f>
        <v>6.3077931034482759</v>
      </c>
      <c r="G39" s="22">
        <f t="shared" si="0"/>
        <v>246.46066147675697</v>
      </c>
      <c r="H39" s="22">
        <f t="shared" si="1"/>
        <v>39.169254682844056</v>
      </c>
      <c r="I39" s="22">
        <f t="shared" si="2"/>
        <v>31.249621487514897</v>
      </c>
      <c r="J39" s="22">
        <f t="shared" si="3"/>
        <v>7.9196331953291583</v>
      </c>
      <c r="K39" s="22">
        <f t="shared" si="4"/>
        <v>220.13917597484959</v>
      </c>
      <c r="L39" s="22">
        <f t="shared" si="5"/>
        <v>235.9784423655079</v>
      </c>
      <c r="M39" s="22">
        <f>L39*D5</f>
        <v>1415.8706541930474</v>
      </c>
      <c r="N39" s="23">
        <f t="shared" si="6"/>
        <v>0.37710344827586217</v>
      </c>
      <c r="O39" s="24">
        <f t="shared" si="7"/>
        <v>2.25</v>
      </c>
      <c r="P39" s="24">
        <f t="shared" si="8"/>
        <v>3.9760782021995817</v>
      </c>
      <c r="Q39" s="25">
        <f t="shared" si="9"/>
        <v>356.0972853626929</v>
      </c>
      <c r="R39" s="26">
        <f t="shared" si="10"/>
        <v>2.2599999999999998</v>
      </c>
      <c r="S39" s="27">
        <f t="shared" si="11"/>
        <v>4.0114996593688055</v>
      </c>
    </row>
    <row r="40" spans="2:19" ht="12.75" customHeight="1" x14ac:dyDescent="0.25">
      <c r="B40" s="18">
        <v>24</v>
      </c>
      <c r="C40" s="19">
        <f>B40*K4</f>
        <v>3.0168275862068969</v>
      </c>
      <c r="D40" s="20">
        <f>D6</f>
        <v>7.0620000000000003</v>
      </c>
      <c r="E40" s="19">
        <f>$D8-C40</f>
        <v>10.983172413793103</v>
      </c>
      <c r="F40" s="21">
        <f>$D7+C40</f>
        <v>6.4334942528735635</v>
      </c>
      <c r="G40" s="22">
        <f t="shared" si="0"/>
        <v>243.67186491161095</v>
      </c>
      <c r="H40" s="22">
        <f t="shared" si="1"/>
        <v>39.169254682844056</v>
      </c>
      <c r="I40" s="22">
        <f t="shared" si="2"/>
        <v>32.507510839499076</v>
      </c>
      <c r="J40" s="22">
        <f t="shared" si="3"/>
        <v>6.6617438433449792</v>
      </c>
      <c r="K40" s="22">
        <f t="shared" si="4"/>
        <v>221.98549171563752</v>
      </c>
      <c r="L40" s="22">
        <f t="shared" si="5"/>
        <v>235.30897940232748</v>
      </c>
      <c r="M40" s="22">
        <f>L40*D5</f>
        <v>1411.8538764139648</v>
      </c>
      <c r="N40" s="23">
        <f t="shared" si="6"/>
        <v>0.3142528735632184</v>
      </c>
      <c r="O40" s="24">
        <f t="shared" si="7"/>
        <v>2.25</v>
      </c>
      <c r="P40" s="24">
        <f t="shared" si="8"/>
        <v>3.9760782021995817</v>
      </c>
      <c r="Q40" s="25">
        <f t="shared" si="9"/>
        <v>355.08704925192916</v>
      </c>
      <c r="R40" s="26">
        <f t="shared" si="10"/>
        <v>2.2599999999999998</v>
      </c>
      <c r="S40" s="27">
        <f t="shared" si="11"/>
        <v>4.0114996593688055</v>
      </c>
    </row>
    <row r="41" spans="2:19" ht="12.75" customHeight="1" x14ac:dyDescent="0.25">
      <c r="B41" s="18">
        <v>25</v>
      </c>
      <c r="C41" s="19">
        <f>B41*K4</f>
        <v>3.1425287356321845</v>
      </c>
      <c r="D41" s="20">
        <f>D6</f>
        <v>7.0620000000000003</v>
      </c>
      <c r="E41" s="19">
        <f>$D8-C41</f>
        <v>10.857471264367815</v>
      </c>
      <c r="F41" s="21">
        <f>$D7+C41</f>
        <v>6.559195402298851</v>
      </c>
      <c r="G41" s="22">
        <f t="shared" si="0"/>
        <v>240.88306834646491</v>
      </c>
      <c r="H41" s="22">
        <f t="shared" si="1"/>
        <v>39.169254682844056</v>
      </c>
      <c r="I41" s="22">
        <f t="shared" si="2"/>
        <v>33.790219997044858</v>
      </c>
      <c r="J41" s="22">
        <f t="shared" si="3"/>
        <v>5.3790346857991977</v>
      </c>
      <c r="K41" s="22">
        <f t="shared" si="4"/>
        <v>223.73252823417906</v>
      </c>
      <c r="L41" s="22">
        <f t="shared" si="5"/>
        <v>234.49059760577745</v>
      </c>
      <c r="M41" s="22">
        <f>L41*D5</f>
        <v>1406.9435856346647</v>
      </c>
      <c r="N41" s="23">
        <f t="shared" si="6"/>
        <v>0.25140229885057463</v>
      </c>
      <c r="O41" s="24">
        <f t="shared" si="7"/>
        <v>2.25</v>
      </c>
      <c r="P41" s="24">
        <f t="shared" si="8"/>
        <v>3.9760782021995817</v>
      </c>
      <c r="Q41" s="25">
        <f t="shared" si="9"/>
        <v>353.85209095141494</v>
      </c>
      <c r="R41" s="26">
        <f t="shared" si="10"/>
        <v>2.2599999999999998</v>
      </c>
      <c r="S41" s="27">
        <f t="shared" si="11"/>
        <v>4.0114996593688055</v>
      </c>
    </row>
    <row r="42" spans="2:19" ht="12.75" customHeight="1" x14ac:dyDescent="0.25">
      <c r="B42" s="18">
        <v>26</v>
      </c>
      <c r="C42" s="19">
        <f>B42*K4</f>
        <v>3.2682298850574716</v>
      </c>
      <c r="D42" s="20">
        <f>D6</f>
        <v>7.0620000000000003</v>
      </c>
      <c r="E42" s="19">
        <f>$D8-C42</f>
        <v>10.731770114942528</v>
      </c>
      <c r="F42" s="21">
        <f>$D7+C42</f>
        <v>6.6848965517241385</v>
      </c>
      <c r="G42" s="22">
        <f t="shared" si="0"/>
        <v>238.09427178131887</v>
      </c>
      <c r="H42" s="22">
        <f t="shared" si="1"/>
        <v>39.169254682844056</v>
      </c>
      <c r="I42" s="22">
        <f t="shared" si="2"/>
        <v>35.097748960152245</v>
      </c>
      <c r="J42" s="22">
        <f t="shared" si="3"/>
        <v>4.0715057226918105</v>
      </c>
      <c r="K42" s="22">
        <f t="shared" si="4"/>
        <v>225.38028553047411</v>
      </c>
      <c r="L42" s="22">
        <f t="shared" si="5"/>
        <v>233.52329697585773</v>
      </c>
      <c r="M42" s="22">
        <f>L42*D5</f>
        <v>1401.1397818551463</v>
      </c>
      <c r="N42" s="23">
        <f t="shared" si="6"/>
        <v>0.18855172413793087</v>
      </c>
      <c r="O42" s="24">
        <f t="shared" si="7"/>
        <v>2.25</v>
      </c>
      <c r="P42" s="24">
        <f t="shared" si="8"/>
        <v>3.9760782021995817</v>
      </c>
      <c r="Q42" s="25">
        <f t="shared" si="9"/>
        <v>352.39241046115001</v>
      </c>
      <c r="R42" s="26">
        <f t="shared" si="10"/>
        <v>2.2599999999999998</v>
      </c>
      <c r="S42" s="27">
        <f t="shared" si="11"/>
        <v>4.0114996593688055</v>
      </c>
    </row>
    <row r="43" spans="2:19" ht="12.75" customHeight="1" x14ac:dyDescent="0.25">
      <c r="B43" s="18">
        <v>27</v>
      </c>
      <c r="C43" s="19">
        <f>B43*K4</f>
        <v>3.3939310344827591</v>
      </c>
      <c r="D43" s="20">
        <f>D6</f>
        <v>7.0620000000000003</v>
      </c>
      <c r="E43" s="19">
        <f>$D8-C43</f>
        <v>10.606068965517242</v>
      </c>
      <c r="F43" s="21">
        <f>$D7+C43</f>
        <v>6.8105977011494261</v>
      </c>
      <c r="G43" s="22">
        <f t="shared" si="0"/>
        <v>235.30547521617288</v>
      </c>
      <c r="H43" s="22">
        <f t="shared" si="1"/>
        <v>39.169254682844056</v>
      </c>
      <c r="I43" s="22">
        <f t="shared" si="2"/>
        <v>36.430097728821245</v>
      </c>
      <c r="J43" s="22">
        <f t="shared" si="3"/>
        <v>2.7391569540228105</v>
      </c>
      <c r="K43" s="22">
        <f t="shared" si="4"/>
        <v>226.9287636045228</v>
      </c>
      <c r="L43" s="22">
        <f t="shared" si="5"/>
        <v>232.40707751256843</v>
      </c>
      <c r="M43" s="22">
        <f>L43*D5</f>
        <v>1394.4424650754106</v>
      </c>
      <c r="N43" s="23">
        <f t="shared" si="6"/>
        <v>0.1257011494252871</v>
      </c>
      <c r="O43" s="24">
        <f t="shared" si="7"/>
        <v>2.25</v>
      </c>
      <c r="P43" s="24">
        <f t="shared" si="8"/>
        <v>3.9760782021995817</v>
      </c>
      <c r="Q43" s="25">
        <f t="shared" si="9"/>
        <v>350.7080077811346</v>
      </c>
      <c r="R43" s="26">
        <f t="shared" si="10"/>
        <v>2.2599999999999998</v>
      </c>
      <c r="S43" s="27">
        <f t="shared" si="11"/>
        <v>4.0114996593688055</v>
      </c>
    </row>
    <row r="44" spans="2:19" ht="12.75" customHeight="1" x14ac:dyDescent="0.25">
      <c r="B44" s="18">
        <v>28</v>
      </c>
      <c r="C44" s="19">
        <f>B44*$K$4</f>
        <v>3.5196321839080467</v>
      </c>
      <c r="D44" s="20">
        <f>$D$6</f>
        <v>7.0620000000000003</v>
      </c>
      <c r="E44" s="19">
        <f>$D$8-C44</f>
        <v>10.480367816091952</v>
      </c>
      <c r="F44" s="21">
        <f>$D$7+C44</f>
        <v>6.9362988505747136</v>
      </c>
      <c r="G44" s="22">
        <f t="shared" si="0"/>
        <v>232.51667865102681</v>
      </c>
      <c r="H44" s="22">
        <f t="shared" si="1"/>
        <v>39.169254682844056</v>
      </c>
      <c r="I44" s="22">
        <f t="shared" si="2"/>
        <v>37.787266303051851</v>
      </c>
      <c r="J44" s="22">
        <f t="shared" si="3"/>
        <v>1.3819883797922046</v>
      </c>
      <c r="K44" s="22">
        <f t="shared" si="4"/>
        <v>228.37796245632498</v>
      </c>
      <c r="L44" s="22">
        <f t="shared" si="5"/>
        <v>231.14193921590939</v>
      </c>
      <c r="M44" s="22">
        <f>L44*$D$5</f>
        <v>1386.8516352954564</v>
      </c>
      <c r="N44" s="23">
        <f t="shared" si="6"/>
        <v>6.2850574712643326E-2</v>
      </c>
      <c r="O44" s="127">
        <f t="shared" si="7"/>
        <v>2.25</v>
      </c>
      <c r="P44" s="24">
        <f t="shared" si="8"/>
        <v>3.9760782021995817</v>
      </c>
      <c r="Q44" s="25">
        <f t="shared" si="9"/>
        <v>348.79888291136848</v>
      </c>
      <c r="R44" s="26">
        <f t="shared" si="10"/>
        <v>2.2599999999999998</v>
      </c>
      <c r="S44" s="27">
        <f t="shared" si="11"/>
        <v>4.0114996593688055</v>
      </c>
    </row>
    <row r="45" spans="2:19" ht="12.75" customHeight="1" thickBot="1" x14ac:dyDescent="0.3">
      <c r="B45" s="28">
        <v>29</v>
      </c>
      <c r="C45" s="29">
        <f>B45*$K$4</f>
        <v>3.6453333333333338</v>
      </c>
      <c r="D45" s="30">
        <f>$D$6</f>
        <v>7.0620000000000003</v>
      </c>
      <c r="E45" s="29">
        <f>$D$8-C45</f>
        <v>10.354666666666667</v>
      </c>
      <c r="F45" s="31">
        <f>$D$7+C45</f>
        <v>7.0620000000000003</v>
      </c>
      <c r="G45" s="32">
        <f t="shared" si="0"/>
        <v>229.72788208588082</v>
      </c>
      <c r="H45" s="32">
        <f t="shared" si="1"/>
        <v>39.169254682844056</v>
      </c>
      <c r="I45" s="32">
        <f t="shared" si="2"/>
        <v>39.169254682844056</v>
      </c>
      <c r="J45" s="32">
        <f t="shared" si="3"/>
        <v>0</v>
      </c>
      <c r="K45" s="32">
        <f t="shared" si="4"/>
        <v>229.72788208588082</v>
      </c>
      <c r="L45" s="32">
        <f t="shared" si="5"/>
        <v>229.72788208588082</v>
      </c>
      <c r="M45" s="32">
        <f>L45*$D$5</f>
        <v>1378.367292515285</v>
      </c>
      <c r="N45" s="125">
        <f t="shared" si="6"/>
        <v>0</v>
      </c>
      <c r="O45" s="33">
        <f t="shared" si="7"/>
        <v>2.25</v>
      </c>
      <c r="P45" s="126">
        <f t="shared" si="8"/>
        <v>3.9760782021995817</v>
      </c>
      <c r="Q45" s="34">
        <f t="shared" si="9"/>
        <v>346.66503585185194</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8">
    <mergeCell ref="F12:G12"/>
    <mergeCell ref="N4:O4"/>
    <mergeCell ref="F8:G8"/>
    <mergeCell ref="F9:G9"/>
    <mergeCell ref="F10:G10"/>
    <mergeCell ref="F11:G11"/>
    <mergeCell ref="I6:J6"/>
    <mergeCell ref="I7:J7"/>
    <mergeCell ref="I8:J8"/>
    <mergeCell ref="I9:J9"/>
    <mergeCell ref="I11:J11"/>
    <mergeCell ref="N5:O5"/>
    <mergeCell ref="N11:O11"/>
    <mergeCell ref="B2:C2"/>
    <mergeCell ref="B5:C5"/>
    <mergeCell ref="B6:C6"/>
    <mergeCell ref="B7:C7"/>
    <mergeCell ref="T2:U3"/>
    <mergeCell ref="R5:U5"/>
    <mergeCell ref="R6:U6"/>
    <mergeCell ref="R7:U7"/>
    <mergeCell ref="I4:J4"/>
    <mergeCell ref="I5:J5"/>
    <mergeCell ref="R2:S3"/>
    <mergeCell ref="R9:U9"/>
    <mergeCell ref="R10:U10"/>
    <mergeCell ref="N10:O10"/>
    <mergeCell ref="N6:O6"/>
    <mergeCell ref="N7:O7"/>
    <mergeCell ref="N8:O8"/>
    <mergeCell ref="N9:O9"/>
    <mergeCell ref="R8:U8"/>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S9" sqref="S9"/>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219" t="s">
        <v>18</v>
      </c>
      <c r="C2" s="220"/>
      <c r="D2" s="220"/>
      <c r="E2" s="221"/>
      <c r="N2" s="197" t="s">
        <v>53</v>
      </c>
      <c r="O2" s="198"/>
      <c r="P2" s="198"/>
      <c r="Q2" s="198"/>
      <c r="R2" s="198"/>
      <c r="S2" s="198"/>
      <c r="T2" s="199"/>
    </row>
    <row r="3" spans="2:34" ht="17.25" customHeight="1" thickBot="1" x14ac:dyDescent="0.3">
      <c r="B3" s="141" t="s">
        <v>71</v>
      </c>
      <c r="C3" s="142"/>
      <c r="D3" s="143" t="str">
        <f>'Bates Grain Kn Calculator'!D3</f>
        <v>Q-Motor</v>
      </c>
      <c r="E3" s="144"/>
      <c r="N3" s="208" t="s">
        <v>107</v>
      </c>
      <c r="O3" s="210" t="s">
        <v>108</v>
      </c>
      <c r="P3" s="51"/>
      <c r="Q3" s="51"/>
      <c r="R3" s="51"/>
      <c r="S3" s="51"/>
      <c r="T3" s="7"/>
    </row>
    <row r="4" spans="2:34" ht="12.75" customHeight="1" thickBot="1" x14ac:dyDescent="0.3">
      <c r="B4" s="3"/>
      <c r="C4" s="3"/>
      <c r="D4" s="3"/>
      <c r="E4" s="3"/>
      <c r="F4" s="3"/>
      <c r="I4" s="3"/>
      <c r="J4" s="3"/>
      <c r="K4" s="3"/>
      <c r="N4" s="208"/>
      <c r="O4" s="210"/>
      <c r="P4" s="51"/>
      <c r="Q4" s="51"/>
      <c r="R4" s="51"/>
      <c r="S4" s="51"/>
      <c r="T4" s="7"/>
    </row>
    <row r="5" spans="2:34" ht="17.100000000000001" customHeight="1" thickBot="1" x14ac:dyDescent="0.3">
      <c r="B5" s="213" t="s">
        <v>93</v>
      </c>
      <c r="C5" s="214"/>
      <c r="D5" s="214"/>
      <c r="E5" s="65">
        <f>'Bates Grain Kn Calculator'!D6</f>
        <v>7.0620000000000003</v>
      </c>
      <c r="F5" s="2" t="s">
        <v>55</v>
      </c>
      <c r="H5" s="200" t="s">
        <v>126</v>
      </c>
      <c r="I5" s="201"/>
      <c r="J5" s="201"/>
      <c r="K5" s="202"/>
      <c r="N5" s="209"/>
      <c r="O5" s="211"/>
      <c r="P5" s="51"/>
      <c r="Q5" s="206" t="s">
        <v>86</v>
      </c>
      <c r="R5" s="207"/>
      <c r="S5" s="75">
        <f>SUM(O14+O15+O16+O17+O18+O19+O20+O21+O22+O23)/ng</f>
        <v>3.4166666666666665</v>
      </c>
      <c r="T5" s="7" t="s">
        <v>55</v>
      </c>
    </row>
    <row r="6" spans="2:34" ht="17.100000000000001" customHeight="1" x14ac:dyDescent="0.25">
      <c r="B6" s="215" t="s">
        <v>94</v>
      </c>
      <c r="C6" s="216"/>
      <c r="D6" s="216"/>
      <c r="E6" s="66">
        <f>'Bates Grain Kn Calculator'!D8</f>
        <v>14</v>
      </c>
      <c r="F6" s="2" t="s">
        <v>55</v>
      </c>
      <c r="H6" s="206" t="s">
        <v>101</v>
      </c>
      <c r="I6" s="222"/>
      <c r="J6" s="222"/>
      <c r="K6" s="64">
        <v>0.57499999999999996</v>
      </c>
      <c r="L6" s="2" t="s">
        <v>55</v>
      </c>
      <c r="N6" s="71">
        <f t="shared" ref="N6:N11" si="0">PI()*((($R$17/2)^2)-((R18/2)^2))</f>
        <v>32.100671212267017</v>
      </c>
      <c r="O6" s="71">
        <f t="shared" ref="O6:O11" si="1">N6*lg</f>
        <v>449.40939697173826</v>
      </c>
      <c r="P6" s="51"/>
      <c r="Q6" s="204" t="s">
        <v>89</v>
      </c>
      <c r="R6" s="205"/>
      <c r="S6" s="76">
        <f>AVERAGE(E14:E19)</f>
        <v>29.811235565963457</v>
      </c>
      <c r="T6" s="7" t="s">
        <v>83</v>
      </c>
    </row>
    <row r="7" spans="2:34" ht="17.100000000000001" customHeight="1" x14ac:dyDescent="0.25">
      <c r="B7" s="215" t="s">
        <v>95</v>
      </c>
      <c r="C7" s="216"/>
      <c r="D7" s="216"/>
      <c r="E7" s="61">
        <v>5.8999999999999997E-2</v>
      </c>
      <c r="F7" s="2" t="s">
        <v>82</v>
      </c>
      <c r="H7" s="204" t="s">
        <v>102</v>
      </c>
      <c r="I7" s="212"/>
      <c r="J7" s="212"/>
      <c r="K7" s="64">
        <v>0.1</v>
      </c>
      <c r="L7" s="2" t="s">
        <v>90</v>
      </c>
      <c r="N7" s="72">
        <f t="shared" si="0"/>
        <v>32.100671212267017</v>
      </c>
      <c r="O7" s="72">
        <f t="shared" si="1"/>
        <v>449.40939697173826</v>
      </c>
      <c r="P7" s="51"/>
      <c r="Q7" s="204" t="s">
        <v>88</v>
      </c>
      <c r="R7" s="205"/>
      <c r="S7" s="76">
        <f>(C14+C15+C16+C17+C18+C19)/ng</f>
        <v>3.4166666666666665</v>
      </c>
      <c r="T7" s="7" t="s">
        <v>55</v>
      </c>
    </row>
    <row r="8" spans="2:34" ht="17.100000000000001" customHeight="1" x14ac:dyDescent="0.25">
      <c r="B8" s="215" t="s">
        <v>96</v>
      </c>
      <c r="C8" s="216"/>
      <c r="D8" s="216"/>
      <c r="E8" s="66">
        <f>Estimate!D10</f>
        <v>0.25165922323104589</v>
      </c>
      <c r="F8" s="2" t="s">
        <v>90</v>
      </c>
      <c r="H8" s="204" t="s">
        <v>103</v>
      </c>
      <c r="I8" s="212"/>
      <c r="J8" s="212"/>
      <c r="K8" s="64">
        <v>7.0000000000000007E-2</v>
      </c>
      <c r="L8" s="2" t="s">
        <v>82</v>
      </c>
      <c r="N8" s="72">
        <f t="shared" si="0"/>
        <v>32.100671212267017</v>
      </c>
      <c r="O8" s="72">
        <f t="shared" si="1"/>
        <v>449.40939697173826</v>
      </c>
      <c r="P8" s="51"/>
      <c r="Q8" s="204" t="s">
        <v>87</v>
      </c>
      <c r="R8" s="205"/>
      <c r="S8" s="76">
        <f>SUM(O6:O11)</f>
        <v>2504.1437875409301</v>
      </c>
      <c r="T8" s="7" t="s">
        <v>81</v>
      </c>
    </row>
    <row r="9" spans="2:34" ht="17.100000000000001" customHeight="1" x14ac:dyDescent="0.25">
      <c r="B9" s="215" t="s">
        <v>99</v>
      </c>
      <c r="C9" s="216"/>
      <c r="D9" s="216"/>
      <c r="E9" s="66">
        <f>[0]!Num_Grains</f>
        <v>6</v>
      </c>
      <c r="F9" s="2" t="s">
        <v>91</v>
      </c>
      <c r="H9" s="204" t="s">
        <v>104</v>
      </c>
      <c r="I9" s="212"/>
      <c r="J9" s="212"/>
      <c r="K9" s="64">
        <f>PI()/4*ds^2</f>
        <v>0.25967226777328128</v>
      </c>
      <c r="L9" s="2" t="s">
        <v>83</v>
      </c>
      <c r="N9" s="72">
        <f t="shared" si="0"/>
        <v>30.090051913969553</v>
      </c>
      <c r="O9" s="72">
        <f t="shared" si="1"/>
        <v>421.26072679557376</v>
      </c>
      <c r="P9" s="51"/>
      <c r="Q9" s="204" t="s">
        <v>84</v>
      </c>
      <c r="R9" s="205"/>
      <c r="S9" s="76">
        <f>S10*rhop</f>
        <v>147.74448346491488</v>
      </c>
      <c r="T9" s="78" t="s">
        <v>80</v>
      </c>
    </row>
    <row r="10" spans="2:34" ht="17.100000000000001" customHeight="1" thickBot="1" x14ac:dyDescent="0.3">
      <c r="B10" s="217" t="s">
        <v>97</v>
      </c>
      <c r="C10" s="218"/>
      <c r="D10" s="218"/>
      <c r="E10" s="74">
        <f>[0]!boundary_layer</f>
        <v>5.0000000000000001E-3</v>
      </c>
      <c r="F10" s="2" t="s">
        <v>55</v>
      </c>
      <c r="H10" s="204" t="s">
        <v>105</v>
      </c>
      <c r="I10" s="212"/>
      <c r="J10" s="212"/>
      <c r="K10" s="64">
        <f>As*sdots</f>
        <v>2.5967226777328128E-2</v>
      </c>
      <c r="L10" s="2" t="s">
        <v>100</v>
      </c>
      <c r="N10" s="72">
        <f t="shared" si="0"/>
        <v>27.828105203384901</v>
      </c>
      <c r="O10" s="72">
        <f t="shared" si="1"/>
        <v>389.59347284738863</v>
      </c>
      <c r="P10" s="51"/>
      <c r="Q10" s="132" t="s">
        <v>85</v>
      </c>
      <c r="R10" s="133"/>
      <c r="S10" s="77">
        <f>S8</f>
        <v>2504.1437875409301</v>
      </c>
      <c r="T10" s="78" t="s">
        <v>81</v>
      </c>
      <c r="AA10" s="3"/>
      <c r="AB10" s="3"/>
      <c r="AC10" s="3"/>
      <c r="AD10" s="3"/>
      <c r="AE10" s="3"/>
      <c r="AF10" s="3"/>
      <c r="AH10" s="3"/>
    </row>
    <row r="11" spans="2:34" ht="17.100000000000001" customHeight="1" thickBot="1" x14ac:dyDescent="0.3">
      <c r="B11" s="132" t="s">
        <v>98</v>
      </c>
      <c r="C11" s="203"/>
      <c r="D11" s="133"/>
      <c r="E11" s="62">
        <v>1.4</v>
      </c>
      <c r="F11" s="3" t="s">
        <v>92</v>
      </c>
      <c r="G11" s="3"/>
      <c r="H11" s="132" t="s">
        <v>106</v>
      </c>
      <c r="I11" s="203"/>
      <c r="J11" s="203"/>
      <c r="K11" s="67">
        <f>Vdots*rhos</f>
        <v>1.8177058744129691E-3</v>
      </c>
      <c r="L11" s="2" t="s">
        <v>92</v>
      </c>
      <c r="N11" s="73">
        <f t="shared" si="0"/>
        <v>24.647242641625237</v>
      </c>
      <c r="O11" s="73">
        <f t="shared" si="1"/>
        <v>345.06139698275331</v>
      </c>
      <c r="P11" s="57"/>
      <c r="Q11" s="57"/>
      <c r="R11" s="57"/>
      <c r="S11" s="57"/>
      <c r="T11" s="79"/>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59" t="s">
        <v>59</v>
      </c>
      <c r="C13" s="59" t="s">
        <v>60</v>
      </c>
      <c r="D13" s="59" t="s">
        <v>61</v>
      </c>
      <c r="E13" s="59" t="s">
        <v>62</v>
      </c>
      <c r="F13" s="59" t="s">
        <v>63</v>
      </c>
      <c r="G13" s="59" t="s">
        <v>64</v>
      </c>
      <c r="H13" s="59" t="s">
        <v>65</v>
      </c>
      <c r="I13" s="59" t="s">
        <v>70</v>
      </c>
      <c r="J13" s="59" t="s">
        <v>66</v>
      </c>
      <c r="K13" s="59" t="s">
        <v>67</v>
      </c>
      <c r="L13" s="59" t="s">
        <v>68</v>
      </c>
      <c r="M13" s="59" t="s">
        <v>67</v>
      </c>
      <c r="N13" s="59" t="s">
        <v>69</v>
      </c>
      <c r="O13" s="59" t="s">
        <v>60</v>
      </c>
      <c r="Q13" s="58"/>
      <c r="AA13" s="3"/>
      <c r="AB13" s="3"/>
      <c r="AC13" s="3"/>
      <c r="AD13" s="3"/>
      <c r="AE13" s="3"/>
      <c r="AF13" s="3"/>
      <c r="AH13" s="3"/>
    </row>
    <row r="14" spans="2:34" ht="17.100000000000001" customHeight="1" x14ac:dyDescent="0.25">
      <c r="B14" s="88">
        <v>1</v>
      </c>
      <c r="C14" s="89">
        <f>'Bates Grain Kn Calculator'!F7</f>
        <v>3</v>
      </c>
      <c r="D14" s="90">
        <f t="shared" ref="D14:D23" si="2">IF(ig&gt;ng,0,PI()*lg*dc)</f>
        <v>131.94689145077132</v>
      </c>
      <c r="E14" s="90">
        <f t="shared" ref="E14:E23" si="3">IF(ig&gt;ng,0,PI()/4*(dg^2-dc^2))</f>
        <v>32.100671212267017</v>
      </c>
      <c r="F14" s="90">
        <f t="shared" ref="F14:F23" si="4">IF(ig&gt;ng,0,Acyl+2*Aend)</f>
        <v>196.14823387530535</v>
      </c>
      <c r="G14" s="90">
        <f t="shared" ref="G14:G23" si="5">Aseg*sdot</f>
        <v>49.36251217520087</v>
      </c>
      <c r="H14" s="90">
        <f t="shared" ref="H14:H23" si="6">Aend*sdot</f>
        <v>8.0784299824743133</v>
      </c>
      <c r="I14" s="90">
        <f>0+Vdot-Vdote</f>
        <v>41.284082192726558</v>
      </c>
      <c r="J14" s="90">
        <f t="shared" ref="J14:J23" si="7">IF(ig&gt;ng,0,VdotAbove*rhop+Wdots)</f>
        <v>2.4375785552452798</v>
      </c>
      <c r="K14" s="90">
        <f>PI()/4*dc^2</f>
        <v>7.0685834705770345</v>
      </c>
      <c r="L14" s="90">
        <f>WdotAbove/Ac</f>
        <v>0.34484682332629951</v>
      </c>
      <c r="M14" s="90">
        <f>PI()/4*(dc-2*bl)^2</f>
        <v>7.0215381205895282</v>
      </c>
      <c r="N14" s="90">
        <f>WdotAbove/M14</f>
        <v>0.34715734834472717</v>
      </c>
      <c r="O14" s="91">
        <f t="shared" ref="O14:O23" si="8">IF(ig&gt;ng,0,C14)</f>
        <v>3</v>
      </c>
      <c r="Q14" s="3"/>
      <c r="U14" s="3"/>
    </row>
    <row r="15" spans="2:34" ht="17.100000000000001" customHeight="1" x14ac:dyDescent="0.25">
      <c r="B15" s="92">
        <v>2</v>
      </c>
      <c r="C15" s="93">
        <f>'Bates Grain Kn Calculator'!F8</f>
        <v>3</v>
      </c>
      <c r="D15" s="94">
        <f t="shared" si="2"/>
        <v>131.94689145077132</v>
      </c>
      <c r="E15" s="94">
        <f t="shared" si="3"/>
        <v>32.100671212267017</v>
      </c>
      <c r="F15" s="94">
        <f t="shared" si="4"/>
        <v>196.14823387530535</v>
      </c>
      <c r="G15" s="94">
        <f t="shared" si="5"/>
        <v>49.36251217520087</v>
      </c>
      <c r="H15" s="94">
        <f t="shared" si="6"/>
        <v>8.0784299824743133</v>
      </c>
      <c r="I15" s="94">
        <f t="shared" ref="I15:I23" si="9">IF(ig&gt;ng,0,I14+H14+Vdot-Vdote)</f>
        <v>90.64659436792742</v>
      </c>
      <c r="J15" s="94">
        <f t="shared" si="7"/>
        <v>5.349966773582131</v>
      </c>
      <c r="K15" s="94">
        <f t="shared" ref="K15:K23" si="10">IF(ig&gt;ng,0,PI()/4*dc^2)</f>
        <v>7.0685834705770345</v>
      </c>
      <c r="L15" s="94">
        <f t="shared" ref="L15:L23" si="11">IF(ig&gt;ng,0,WdotAbove/Ac)</f>
        <v>0.75686547323821773</v>
      </c>
      <c r="M15" s="94">
        <f t="shared" ref="M15:M23" si="12">IF(ig&gt;ng,0,PI()/4*(dc-2*bl)^2)</f>
        <v>7.0215381205895282</v>
      </c>
      <c r="N15" s="94">
        <f t="shared" ref="N15:N23" si="13">IF(ig&gt;ng,0,WdotAbove/M15)</f>
        <v>0.76193658450620905</v>
      </c>
      <c r="O15" s="95">
        <f t="shared" si="8"/>
        <v>3</v>
      </c>
      <c r="Q15" s="3"/>
    </row>
    <row r="16" spans="2:34" ht="17.100000000000001" customHeight="1" thickBot="1" x14ac:dyDescent="0.3">
      <c r="B16" s="92">
        <v>3</v>
      </c>
      <c r="C16" s="93">
        <f>'Bates Grain Kn Calculator'!F9</f>
        <v>3</v>
      </c>
      <c r="D16" s="94">
        <f t="shared" si="2"/>
        <v>131.94689145077132</v>
      </c>
      <c r="E16" s="94">
        <f t="shared" si="3"/>
        <v>32.100671212267017</v>
      </c>
      <c r="F16" s="94">
        <f t="shared" si="4"/>
        <v>196.14823387530535</v>
      </c>
      <c r="G16" s="94">
        <f t="shared" si="5"/>
        <v>49.36251217520087</v>
      </c>
      <c r="H16" s="94">
        <f t="shared" si="6"/>
        <v>8.0784299824743133</v>
      </c>
      <c r="I16" s="94">
        <f t="shared" si="9"/>
        <v>140.0091065431283</v>
      </c>
      <c r="J16" s="94">
        <f t="shared" si="7"/>
        <v>8.2623549919189809</v>
      </c>
      <c r="K16" s="94">
        <f t="shared" si="10"/>
        <v>7.0685834705770345</v>
      </c>
      <c r="L16" s="94">
        <f t="shared" si="11"/>
        <v>1.1688841231501359</v>
      </c>
      <c r="M16" s="94">
        <f t="shared" si="12"/>
        <v>7.0215381205895282</v>
      </c>
      <c r="N16" s="94">
        <f t="shared" si="13"/>
        <v>1.1767158206676906</v>
      </c>
      <c r="O16" s="95">
        <f t="shared" si="8"/>
        <v>3</v>
      </c>
      <c r="Q16" s="3"/>
    </row>
    <row r="17" spans="2:18" ht="17.100000000000001" customHeight="1" x14ac:dyDescent="0.25">
      <c r="B17" s="92">
        <v>4</v>
      </c>
      <c r="C17" s="93">
        <f>'Bates Grain Kn Calculator'!F10</f>
        <v>3.4</v>
      </c>
      <c r="D17" s="94">
        <f t="shared" si="2"/>
        <v>149.53981031087415</v>
      </c>
      <c r="E17" s="94">
        <f t="shared" si="3"/>
        <v>30.090051913969553</v>
      </c>
      <c r="F17" s="94">
        <f t="shared" si="4"/>
        <v>209.71991413881324</v>
      </c>
      <c r="G17" s="94">
        <f t="shared" si="5"/>
        <v>52.77795068825538</v>
      </c>
      <c r="H17" s="94">
        <f t="shared" si="6"/>
        <v>7.5724390916514235</v>
      </c>
      <c r="I17" s="94">
        <f t="shared" si="9"/>
        <v>193.29304812220656</v>
      </c>
      <c r="J17" s="94">
        <f t="shared" si="7"/>
        <v>11.406107545084598</v>
      </c>
      <c r="K17" s="94">
        <f t="shared" si="10"/>
        <v>9.0792027688745005</v>
      </c>
      <c r="L17" s="94">
        <f t="shared" si="11"/>
        <v>1.2562895482615761</v>
      </c>
      <c r="M17" s="94">
        <f t="shared" si="12"/>
        <v>9.025874233579815</v>
      </c>
      <c r="N17" s="94">
        <f t="shared" si="13"/>
        <v>1.2637122177760218</v>
      </c>
      <c r="O17" s="95">
        <f t="shared" si="8"/>
        <v>3.4</v>
      </c>
      <c r="Q17" s="68" t="s">
        <v>73</v>
      </c>
      <c r="R17" s="65">
        <f>'Bates Grain Kn Calculator'!D6</f>
        <v>7.0620000000000003</v>
      </c>
    </row>
    <row r="18" spans="2:18" ht="17.100000000000001" customHeight="1" x14ac:dyDescent="0.25">
      <c r="B18" s="92">
        <v>5</v>
      </c>
      <c r="C18" s="93">
        <f>'Bates Grain Kn Calculator'!F11</f>
        <v>3.8</v>
      </c>
      <c r="D18" s="94">
        <f t="shared" si="2"/>
        <v>167.13272917097697</v>
      </c>
      <c r="E18" s="94">
        <f t="shared" si="3"/>
        <v>27.828105203384901</v>
      </c>
      <c r="F18" s="94">
        <f t="shared" si="4"/>
        <v>222.78893957774676</v>
      </c>
      <c r="G18" s="94">
        <f t="shared" si="5"/>
        <v>56.06689147860417</v>
      </c>
      <c r="H18" s="94">
        <f t="shared" si="6"/>
        <v>7.0031993394756702</v>
      </c>
      <c r="I18" s="94">
        <f t="shared" si="9"/>
        <v>249.92917935298652</v>
      </c>
      <c r="J18" s="94">
        <f t="shared" si="7"/>
        <v>14.747639287700617</v>
      </c>
      <c r="K18" s="94">
        <f t="shared" si="10"/>
        <v>11.341149479459153</v>
      </c>
      <c r="L18" s="94">
        <f t="shared" si="11"/>
        <v>1.3003654800962834</v>
      </c>
      <c r="M18" s="94">
        <f t="shared" si="12"/>
        <v>11.281537758857286</v>
      </c>
      <c r="N18" s="94">
        <f t="shared" si="13"/>
        <v>1.3072366199476704</v>
      </c>
      <c r="O18" s="95">
        <f t="shared" si="8"/>
        <v>3.8</v>
      </c>
      <c r="Q18" s="69" t="s">
        <v>74</v>
      </c>
      <c r="R18" s="66">
        <f t="shared" ref="R18:R23" si="14">C14</f>
        <v>3</v>
      </c>
    </row>
    <row r="19" spans="2:18" ht="17.100000000000001" customHeight="1" x14ac:dyDescent="0.25">
      <c r="B19" s="92">
        <v>6</v>
      </c>
      <c r="C19" s="93">
        <f>'Bates Grain Kn Calculator'!F12</f>
        <v>4.3</v>
      </c>
      <c r="D19" s="94">
        <f t="shared" si="2"/>
        <v>189.12387774610553</v>
      </c>
      <c r="E19" s="94">
        <f t="shared" si="3"/>
        <v>24.647242641625237</v>
      </c>
      <c r="F19" s="94">
        <f t="shared" si="4"/>
        <v>238.41836302935602</v>
      </c>
      <c r="G19" s="94">
        <f t="shared" si="5"/>
        <v>60.000180043985246</v>
      </c>
      <c r="H19" s="94">
        <f t="shared" si="6"/>
        <v>6.2027059379785188</v>
      </c>
      <c r="I19" s="94">
        <f t="shared" si="9"/>
        <v>310.72985279846893</v>
      </c>
      <c r="J19" s="94">
        <f t="shared" si="7"/>
        <v>18.334879020984079</v>
      </c>
      <c r="K19" s="94">
        <f t="shared" si="10"/>
        <v>14.522012041218817</v>
      </c>
      <c r="L19" s="94">
        <f t="shared" si="11"/>
        <v>1.2625577618957307</v>
      </c>
      <c r="M19" s="94">
        <f t="shared" si="12"/>
        <v>14.454546338982977</v>
      </c>
      <c r="N19" s="94">
        <f t="shared" si="13"/>
        <v>1.2684506722660742</v>
      </c>
      <c r="O19" s="95">
        <f t="shared" si="8"/>
        <v>4.3</v>
      </c>
      <c r="Q19" s="69" t="s">
        <v>75</v>
      </c>
      <c r="R19" s="66">
        <f t="shared" si="14"/>
        <v>3</v>
      </c>
    </row>
    <row r="20" spans="2:18" ht="17.100000000000001" customHeight="1" x14ac:dyDescent="0.25">
      <c r="B20" s="92">
        <v>7</v>
      </c>
      <c r="C20" s="93">
        <v>0</v>
      </c>
      <c r="D20" s="94">
        <f t="shared" si="2"/>
        <v>0</v>
      </c>
      <c r="E20" s="94">
        <f t="shared" si="3"/>
        <v>0</v>
      </c>
      <c r="F20" s="94">
        <f t="shared" si="4"/>
        <v>0</v>
      </c>
      <c r="G20" s="94">
        <f t="shared" si="5"/>
        <v>0</v>
      </c>
      <c r="H20" s="94">
        <f t="shared" si="6"/>
        <v>0</v>
      </c>
      <c r="I20" s="94">
        <f t="shared" si="9"/>
        <v>0</v>
      </c>
      <c r="J20" s="94">
        <f t="shared" si="7"/>
        <v>0</v>
      </c>
      <c r="K20" s="94">
        <f t="shared" si="10"/>
        <v>0</v>
      </c>
      <c r="L20" s="94">
        <f t="shared" si="11"/>
        <v>0</v>
      </c>
      <c r="M20" s="94">
        <f t="shared" si="12"/>
        <v>0</v>
      </c>
      <c r="N20" s="94">
        <f t="shared" si="13"/>
        <v>0</v>
      </c>
      <c r="O20" s="95">
        <f t="shared" si="8"/>
        <v>0</v>
      </c>
      <c r="Q20" s="69" t="s">
        <v>76</v>
      </c>
      <c r="R20" s="66">
        <f t="shared" si="14"/>
        <v>3</v>
      </c>
    </row>
    <row r="21" spans="2:18" ht="17.100000000000001" customHeight="1" x14ac:dyDescent="0.25">
      <c r="B21" s="92">
        <v>8</v>
      </c>
      <c r="C21" s="93">
        <v>0</v>
      </c>
      <c r="D21" s="94">
        <f t="shared" si="2"/>
        <v>0</v>
      </c>
      <c r="E21" s="94">
        <f t="shared" si="3"/>
        <v>0</v>
      </c>
      <c r="F21" s="94">
        <f t="shared" si="4"/>
        <v>0</v>
      </c>
      <c r="G21" s="94">
        <f t="shared" si="5"/>
        <v>0</v>
      </c>
      <c r="H21" s="94">
        <f t="shared" si="6"/>
        <v>0</v>
      </c>
      <c r="I21" s="94">
        <f t="shared" si="9"/>
        <v>0</v>
      </c>
      <c r="J21" s="94">
        <f t="shared" si="7"/>
        <v>0</v>
      </c>
      <c r="K21" s="94">
        <f t="shared" si="10"/>
        <v>0</v>
      </c>
      <c r="L21" s="94">
        <f t="shared" si="11"/>
        <v>0</v>
      </c>
      <c r="M21" s="94">
        <f t="shared" si="12"/>
        <v>0</v>
      </c>
      <c r="N21" s="94">
        <f t="shared" si="13"/>
        <v>0</v>
      </c>
      <c r="O21" s="95">
        <f t="shared" si="8"/>
        <v>0</v>
      </c>
      <c r="Q21" s="69" t="s">
        <v>77</v>
      </c>
      <c r="R21" s="66">
        <f t="shared" si="14"/>
        <v>3.4</v>
      </c>
    </row>
    <row r="22" spans="2:18" ht="17.100000000000001" customHeight="1" x14ac:dyDescent="0.25">
      <c r="B22" s="92">
        <v>9</v>
      </c>
      <c r="C22" s="93">
        <v>0</v>
      </c>
      <c r="D22" s="94">
        <f t="shared" si="2"/>
        <v>0</v>
      </c>
      <c r="E22" s="94">
        <f t="shared" si="3"/>
        <v>0</v>
      </c>
      <c r="F22" s="94">
        <f>IF(ig&gt;ng,0,Acyl+2*Aend)</f>
        <v>0</v>
      </c>
      <c r="G22" s="94">
        <f t="shared" si="5"/>
        <v>0</v>
      </c>
      <c r="H22" s="94">
        <f t="shared" si="6"/>
        <v>0</v>
      </c>
      <c r="I22" s="94">
        <f t="shared" si="9"/>
        <v>0</v>
      </c>
      <c r="J22" s="94">
        <f t="shared" si="7"/>
        <v>0</v>
      </c>
      <c r="K22" s="94">
        <f t="shared" si="10"/>
        <v>0</v>
      </c>
      <c r="L22" s="94">
        <f t="shared" si="11"/>
        <v>0</v>
      </c>
      <c r="M22" s="94">
        <f t="shared" si="12"/>
        <v>0</v>
      </c>
      <c r="N22" s="94">
        <f t="shared" si="13"/>
        <v>0</v>
      </c>
      <c r="O22" s="95">
        <f t="shared" si="8"/>
        <v>0</v>
      </c>
      <c r="Q22" s="69" t="s">
        <v>78</v>
      </c>
      <c r="R22" s="66">
        <f t="shared" si="14"/>
        <v>3.8</v>
      </c>
    </row>
    <row r="23" spans="2:18" ht="17.100000000000001" customHeight="1" thickBot="1" x14ac:dyDescent="0.3">
      <c r="B23" s="96">
        <v>10</v>
      </c>
      <c r="C23" s="97">
        <v>0</v>
      </c>
      <c r="D23" s="98">
        <f t="shared" si="2"/>
        <v>0</v>
      </c>
      <c r="E23" s="98">
        <f t="shared" si="3"/>
        <v>0</v>
      </c>
      <c r="F23" s="98">
        <f t="shared" si="4"/>
        <v>0</v>
      </c>
      <c r="G23" s="98">
        <f t="shared" si="5"/>
        <v>0</v>
      </c>
      <c r="H23" s="98">
        <f t="shared" si="6"/>
        <v>0</v>
      </c>
      <c r="I23" s="98">
        <f t="shared" si="9"/>
        <v>0</v>
      </c>
      <c r="J23" s="98">
        <f t="shared" si="7"/>
        <v>0</v>
      </c>
      <c r="K23" s="98">
        <f t="shared" si="10"/>
        <v>0</v>
      </c>
      <c r="L23" s="98">
        <f t="shared" si="11"/>
        <v>0</v>
      </c>
      <c r="M23" s="98">
        <f t="shared" si="12"/>
        <v>0</v>
      </c>
      <c r="N23" s="98">
        <f t="shared" si="13"/>
        <v>0</v>
      </c>
      <c r="O23" s="99">
        <f t="shared" si="8"/>
        <v>0</v>
      </c>
      <c r="Q23" s="70" t="s">
        <v>79</v>
      </c>
      <c r="R23" s="67">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2:E2"/>
    <mergeCell ref="B3:C3"/>
    <mergeCell ref="D3:E3"/>
    <mergeCell ref="H6:J6"/>
    <mergeCell ref="H7:J7"/>
    <mergeCell ref="B6:D6"/>
    <mergeCell ref="B7:D7"/>
    <mergeCell ref="B8:D8"/>
    <mergeCell ref="B9:D9"/>
    <mergeCell ref="B10:D10"/>
    <mergeCell ref="N2:T2"/>
    <mergeCell ref="H5:K5"/>
    <mergeCell ref="B11:D11"/>
    <mergeCell ref="Q9:R9"/>
    <mergeCell ref="Q10:R10"/>
    <mergeCell ref="Q5:R5"/>
    <mergeCell ref="Q6:R6"/>
    <mergeCell ref="Q7:R7"/>
    <mergeCell ref="Q8:R8"/>
    <mergeCell ref="N3:N5"/>
    <mergeCell ref="O3:O5"/>
    <mergeCell ref="H8:J8"/>
    <mergeCell ref="H9:J9"/>
    <mergeCell ref="H10:J10"/>
    <mergeCell ref="H11:J11"/>
    <mergeCell ref="B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7"/>
  <sheetViews>
    <sheetView zoomScaleNormal="100" workbookViewId="0">
      <selection activeCell="L10" sqref="L10"/>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2" ht="15" customHeight="1" thickBot="1" x14ac:dyDescent="0.3"/>
    <row r="2" spans="2:22" ht="15" customHeight="1" thickBot="1" x14ac:dyDescent="0.3">
      <c r="B2" s="232" t="s">
        <v>124</v>
      </c>
      <c r="C2" s="233"/>
      <c r="F2" s="228" t="s">
        <v>133</v>
      </c>
      <c r="G2" s="229"/>
      <c r="H2" s="120">
        <v>1.26</v>
      </c>
      <c r="I2" s="3"/>
    </row>
    <row r="3" spans="2:22" ht="15" customHeight="1" thickBot="1" x14ac:dyDescent="0.3">
      <c r="F3" s="50"/>
      <c r="G3" s="51"/>
      <c r="H3" s="7"/>
      <c r="N3" s="3"/>
      <c r="O3" s="3"/>
    </row>
    <row r="4" spans="2:22" ht="12.75" customHeight="1" x14ac:dyDescent="0.25">
      <c r="B4" s="206" t="s">
        <v>117</v>
      </c>
      <c r="C4" s="207"/>
      <c r="D4" s="83">
        <v>9.1</v>
      </c>
      <c r="F4" s="225" t="s">
        <v>19</v>
      </c>
      <c r="G4" s="226"/>
      <c r="H4" s="227"/>
      <c r="J4" s="213" t="s">
        <v>45</v>
      </c>
      <c r="K4" s="214"/>
      <c r="L4" s="121">
        <f>MAX(D14:D43)</f>
        <v>745.97934257540339</v>
      </c>
      <c r="M4" s="81"/>
      <c r="N4" s="3"/>
      <c r="O4" s="3"/>
    </row>
    <row r="5" spans="2:22" ht="12.75" customHeight="1" x14ac:dyDescent="0.25">
      <c r="B5" s="204" t="s">
        <v>118</v>
      </c>
      <c r="C5" s="205"/>
      <c r="D5" s="84">
        <v>13.43</v>
      </c>
      <c r="F5" s="215" t="s">
        <v>131</v>
      </c>
      <c r="G5" s="216"/>
      <c r="H5" s="117">
        <v>1.4109999999999999E-2</v>
      </c>
      <c r="J5" s="215" t="s">
        <v>128</v>
      </c>
      <c r="K5" s="216"/>
      <c r="L5" s="128">
        <f>AVERAGE(D14:D43)</f>
        <v>698.39506261096119</v>
      </c>
      <c r="M5" s="81"/>
      <c r="N5" s="3"/>
      <c r="O5" s="3"/>
    </row>
    <row r="6" spans="2:22" ht="12.75" customHeight="1" x14ac:dyDescent="0.25">
      <c r="B6" s="204" t="s">
        <v>119</v>
      </c>
      <c r="C6" s="205"/>
      <c r="D6" s="84">
        <f>(('Bates Grain Kn Calculator'!D11^2)/4)/((Nozzle_Throat_Diameter^2)/4)</f>
        <v>15.858720338319371</v>
      </c>
      <c r="F6" s="215" t="s">
        <v>132</v>
      </c>
      <c r="G6" s="216"/>
      <c r="H6" s="117">
        <v>0.44005699999999998</v>
      </c>
      <c r="J6" s="215" t="s">
        <v>47</v>
      </c>
      <c r="K6" s="216"/>
      <c r="L6" s="122">
        <f>MAX(L14:L43)</f>
        <v>4622.4000880041103</v>
      </c>
      <c r="M6" s="81" t="s">
        <v>56</v>
      </c>
      <c r="O6" s="3"/>
    </row>
    <row r="7" spans="2:22" ht="12.75" customHeight="1" thickBot="1" x14ac:dyDescent="0.3">
      <c r="B7" s="204" t="s">
        <v>120</v>
      </c>
      <c r="C7" s="205"/>
      <c r="D7" s="84">
        <v>1.1499999999999999</v>
      </c>
      <c r="F7" s="230"/>
      <c r="G7" s="231"/>
      <c r="H7" s="101"/>
      <c r="J7" s="215" t="s">
        <v>48</v>
      </c>
      <c r="K7" s="216"/>
      <c r="L7" s="122">
        <f>AVERAGE(L14:L43)</f>
        <v>4301.6910884659092</v>
      </c>
      <c r="M7" s="81" t="s">
        <v>56</v>
      </c>
    </row>
    <row r="8" spans="2:22" ht="12.75" customHeight="1" x14ac:dyDescent="0.25">
      <c r="B8" s="204" t="s">
        <v>121</v>
      </c>
      <c r="C8" s="205"/>
      <c r="D8" s="84">
        <f>6*2300</f>
        <v>13800</v>
      </c>
      <c r="F8" s="225" t="s">
        <v>20</v>
      </c>
      <c r="G8" s="226"/>
      <c r="H8" s="227"/>
      <c r="J8" s="215" t="s">
        <v>49</v>
      </c>
      <c r="K8" s="216"/>
      <c r="L8" s="123">
        <f>K43</f>
        <v>7.5002918665422884</v>
      </c>
      <c r="M8" s="81" t="s">
        <v>57</v>
      </c>
      <c r="V8" s="3"/>
    </row>
    <row r="9" spans="2:22" ht="12.75" customHeight="1" x14ac:dyDescent="0.25">
      <c r="B9" s="204" t="s">
        <v>122</v>
      </c>
      <c r="C9" s="205"/>
      <c r="D9" s="84">
        <f>AVERAGE(D14:D43)</f>
        <v>698.39506261096119</v>
      </c>
      <c r="F9" s="215" t="s">
        <v>129</v>
      </c>
      <c r="G9" s="216"/>
      <c r="H9" s="118">
        <v>75.234999999999999</v>
      </c>
      <c r="I9" s="3"/>
      <c r="J9" s="215" t="s">
        <v>50</v>
      </c>
      <c r="K9" s="216"/>
      <c r="L9" s="122">
        <f>MAX(M14:M43)</f>
        <v>32181.177321244992</v>
      </c>
      <c r="M9" s="81" t="s">
        <v>113</v>
      </c>
    </row>
    <row r="10" spans="2:22" ht="12.75" customHeight="1" thickBot="1" x14ac:dyDescent="0.3">
      <c r="B10" s="132" t="s">
        <v>123</v>
      </c>
      <c r="C10" s="133"/>
      <c r="D10" s="85">
        <f>AVERAGE(I14:I43)</f>
        <v>0.25165922323104589</v>
      </c>
      <c r="F10" s="223" t="s">
        <v>130</v>
      </c>
      <c r="G10" s="224"/>
      <c r="H10" s="119">
        <v>6.4099999999999999E-3</v>
      </c>
      <c r="I10" s="3"/>
      <c r="J10" s="223" t="s">
        <v>127</v>
      </c>
      <c r="K10" s="224"/>
      <c r="L10" s="124">
        <f>L9/'Erosive Burning'!S9</f>
        <v>217.81643934534523</v>
      </c>
      <c r="M10" s="81" t="s">
        <v>57</v>
      </c>
      <c r="Q10" s="3"/>
      <c r="R10" s="3"/>
    </row>
    <row r="11" spans="2:22" ht="12.75" customHeight="1" x14ac:dyDescent="0.25">
      <c r="D11" s="3"/>
      <c r="I11" s="3"/>
      <c r="Q11" s="3"/>
      <c r="R11" s="3"/>
    </row>
    <row r="12" spans="2:22" ht="12.75" customHeight="1" thickBot="1" x14ac:dyDescent="0.3">
      <c r="D12" s="3"/>
      <c r="E12" s="3"/>
      <c r="F12" s="3"/>
      <c r="L12" s="3"/>
      <c r="M12" s="3"/>
    </row>
    <row r="13" spans="2:22" ht="72.75" customHeight="1" thickBot="1" x14ac:dyDescent="0.3">
      <c r="B13" s="59" t="s">
        <v>5</v>
      </c>
      <c r="C13" s="59" t="s">
        <v>115</v>
      </c>
      <c r="D13" s="59" t="s">
        <v>134</v>
      </c>
      <c r="E13" s="59" t="s">
        <v>15</v>
      </c>
      <c r="F13" s="59" t="s">
        <v>16</v>
      </c>
      <c r="G13" s="59" t="s">
        <v>114</v>
      </c>
      <c r="H13" s="60" t="s">
        <v>116</v>
      </c>
      <c r="I13" s="60" t="s">
        <v>135</v>
      </c>
      <c r="J13" s="59" t="s">
        <v>112</v>
      </c>
      <c r="K13" s="59" t="s">
        <v>111</v>
      </c>
      <c r="L13" s="59" t="s">
        <v>109</v>
      </c>
      <c r="M13" s="59" t="s">
        <v>110</v>
      </c>
    </row>
    <row r="14" spans="2:22" ht="15" customHeight="1" x14ac:dyDescent="0.25">
      <c r="B14" s="129">
        <v>0</v>
      </c>
      <c r="C14" s="102">
        <f>'Bates Grain Kn Calculator'!Q16</f>
        <v>317.30939153909469</v>
      </c>
      <c r="D14" s="114">
        <f t="shared" ref="D14:D43" si="0">($H$9*EXP(C14*$H$10))</f>
        <v>575.1148430950891</v>
      </c>
      <c r="E14" s="103">
        <f>'Bates Grain Kn Calculator'!P16</f>
        <v>3.9760782021995817</v>
      </c>
      <c r="F14" s="89">
        <f t="shared" ref="F14:F43" si="1">SQRT((((2*$H$2^2)/($H$2-1))*((2/($H$2+1))^(($H$2+1)/($H$2-1))*(1-(($D$4/D14)^(($H$2-1)/$H$2)))))+($D$6*(($D$4-$D$5)/D14)))</f>
        <v>1.5190706976187018</v>
      </c>
      <c r="G14" s="89">
        <f t="shared" ref="G14:G43" si="2">(D14*E14)*F14</f>
        <v>3473.6613816813619</v>
      </c>
      <c r="H14" s="104">
        <f>'Bates Grain Kn Calculator'!N16-'Bates Grain Kn Calculator'!N17</f>
        <v>6.285057471264377E-2</v>
      </c>
      <c r="I14" s="114">
        <f t="shared" ref="I14:I43" si="3">$H$5*(D14^$H$6)</f>
        <v>0.23119387990529261</v>
      </c>
      <c r="J14" s="89">
        <f t="shared" ref="J14:J43" si="4">H14/I14</f>
        <v>0.27185224253509732</v>
      </c>
      <c r="K14" s="89">
        <f>J14</f>
        <v>0.27185224253509732</v>
      </c>
      <c r="L14" s="89">
        <f t="shared" ref="L14:L43" si="5">G14</f>
        <v>3473.6613816813619</v>
      </c>
      <c r="M14" s="105">
        <f>G14*J14</f>
        <v>944.32263641764291</v>
      </c>
      <c r="Q14" s="3"/>
    </row>
    <row r="15" spans="2:22" ht="15" customHeight="1" x14ac:dyDescent="0.25">
      <c r="B15" s="130">
        <v>1</v>
      </c>
      <c r="C15" s="106">
        <f>'Bates Grain Kn Calculator'!Q17</f>
        <v>321.46776579259461</v>
      </c>
      <c r="D15" s="115">
        <f t="shared" si="0"/>
        <v>590.65076875914372</v>
      </c>
      <c r="E15" s="107">
        <f>'Bates Grain Kn Calculator'!P17</f>
        <v>3.9760782021995817</v>
      </c>
      <c r="F15" s="93">
        <f t="shared" si="1"/>
        <v>1.523337563141598</v>
      </c>
      <c r="G15" s="93">
        <f t="shared" si="2"/>
        <v>3577.5181221814914</v>
      </c>
      <c r="H15" s="108">
        <f>'Bates Grain Kn Calculator'!N17-'Bates Grain Kn Calculator'!N18</f>
        <v>6.2850574712643548E-2</v>
      </c>
      <c r="I15" s="115">
        <f t="shared" si="3"/>
        <v>0.23392170457618591</v>
      </c>
      <c r="J15" s="93">
        <f t="shared" si="4"/>
        <v>0.26868209953631628</v>
      </c>
      <c r="K15" s="93">
        <f t="shared" ref="K15:K43" si="6">J15+K14</f>
        <v>0.5405343420714136</v>
      </c>
      <c r="L15" s="93">
        <f t="shared" si="5"/>
        <v>3577.5181221814914</v>
      </c>
      <c r="M15" s="109">
        <f t="shared" ref="M15:M43" si="7">(G15*J15)+M14</f>
        <v>1905.5377166145856</v>
      </c>
      <c r="Q15" s="3"/>
    </row>
    <row r="16" spans="2:22" ht="15" customHeight="1" x14ac:dyDescent="0.25">
      <c r="B16" s="130">
        <v>2</v>
      </c>
      <c r="C16" s="106">
        <f>'Bates Grain Kn Calculator'!Q18</f>
        <v>325.40141785634387</v>
      </c>
      <c r="D16" s="115">
        <f t="shared" si="0"/>
        <v>605.73320700939644</v>
      </c>
      <c r="E16" s="107">
        <f>'Bates Grain Kn Calculator'!P18</f>
        <v>3.9760782021995817</v>
      </c>
      <c r="F16" s="93">
        <f t="shared" si="1"/>
        <v>1.5273217045572653</v>
      </c>
      <c r="G16" s="93">
        <f t="shared" si="2"/>
        <v>3678.4666582882714</v>
      </c>
      <c r="H16" s="108">
        <f>'Bates Grain Kn Calculator'!N18-'Bates Grain Kn Calculator'!N19</f>
        <v>6.285057471264377E-2</v>
      </c>
      <c r="I16" s="115">
        <f t="shared" si="3"/>
        <v>0.23653173218112311</v>
      </c>
      <c r="J16" s="93">
        <f t="shared" si="4"/>
        <v>0.26571730622813949</v>
      </c>
      <c r="K16" s="93">
        <f t="shared" si="6"/>
        <v>0.80625164829955309</v>
      </c>
      <c r="L16" s="93">
        <f t="shared" si="5"/>
        <v>3678.4666582882714</v>
      </c>
      <c r="M16" s="109">
        <f t="shared" si="7"/>
        <v>2882.9699681049715</v>
      </c>
      <c r="Q16" s="3"/>
    </row>
    <row r="17" spans="2:17" ht="15" customHeight="1" x14ac:dyDescent="0.25">
      <c r="B17" s="130">
        <v>3</v>
      </c>
      <c r="C17" s="106">
        <f>'Bates Grain Kn Calculator'!Q19</f>
        <v>329.11034773034254</v>
      </c>
      <c r="D17" s="115">
        <f t="shared" si="0"/>
        <v>620.30660324232576</v>
      </c>
      <c r="E17" s="107">
        <f>'Bates Grain Kn Calculator'!P19</f>
        <v>3.9760782021995817</v>
      </c>
      <c r="F17" s="93">
        <f t="shared" si="1"/>
        <v>1.5310327980556258</v>
      </c>
      <c r="G17" s="93">
        <f t="shared" si="2"/>
        <v>3776.1202529437273</v>
      </c>
      <c r="H17" s="108">
        <f>'Bates Grain Kn Calculator'!N19-'Bates Grain Kn Calculator'!N20</f>
        <v>6.285057471264377E-2</v>
      </c>
      <c r="I17" s="115">
        <f t="shared" si="3"/>
        <v>0.23901932203708376</v>
      </c>
      <c r="J17" s="93">
        <f t="shared" si="4"/>
        <v>0.26295185751925332</v>
      </c>
      <c r="K17" s="93">
        <f t="shared" si="6"/>
        <v>1.0692035058188063</v>
      </c>
      <c r="L17" s="93">
        <f t="shared" si="5"/>
        <v>3776.1202529437273</v>
      </c>
      <c r="M17" s="109">
        <f t="shared" si="7"/>
        <v>3875.9078028325976</v>
      </c>
      <c r="Q17" s="3"/>
    </row>
    <row r="18" spans="2:17" ht="15" customHeight="1" x14ac:dyDescent="0.25">
      <c r="B18" s="130">
        <v>4</v>
      </c>
      <c r="C18" s="106">
        <f>'Bates Grain Kn Calculator'!Q20</f>
        <v>332.59455541459073</v>
      </c>
      <c r="D18" s="115">
        <f t="shared" si="0"/>
        <v>634.3162508336834</v>
      </c>
      <c r="E18" s="107">
        <f>'Bates Grain Kn Calculator'!P20</f>
        <v>3.9760782021995817</v>
      </c>
      <c r="F18" s="93">
        <f t="shared" si="1"/>
        <v>1.5344796614247713</v>
      </c>
      <c r="G18" s="93">
        <f t="shared" si="2"/>
        <v>3870.0973717525544</v>
      </c>
      <c r="H18" s="108">
        <f>'Bates Grain Kn Calculator'!N20-'Bates Grain Kn Calculator'!N21</f>
        <v>6.285057471264377E-2</v>
      </c>
      <c r="I18" s="115">
        <f t="shared" si="3"/>
        <v>0.24138001718505264</v>
      </c>
      <c r="J18" s="93">
        <f t="shared" si="4"/>
        <v>0.26038018989972866</v>
      </c>
      <c r="K18" s="93">
        <f t="shared" si="6"/>
        <v>1.329583695718535</v>
      </c>
      <c r="L18" s="93">
        <f t="shared" si="5"/>
        <v>3870.0973717525544</v>
      </c>
      <c r="M18" s="109">
        <f t="shared" si="7"/>
        <v>4883.6044914199683</v>
      </c>
      <c r="Q18" s="3"/>
    </row>
    <row r="19" spans="2:17" ht="15" customHeight="1" x14ac:dyDescent="0.25">
      <c r="B19" s="130">
        <v>5</v>
      </c>
      <c r="C19" s="106">
        <f>'Bates Grain Kn Calculator'!Q21</f>
        <v>335.85404090908833</v>
      </c>
      <c r="D19" s="115">
        <f t="shared" si="0"/>
        <v>647.70863017371903</v>
      </c>
      <c r="E19" s="107">
        <f>'Bates Grain Kn Calculator'!P21</f>
        <v>3.9760782021995817</v>
      </c>
      <c r="F19" s="93">
        <f t="shared" si="1"/>
        <v>1.5376703181440567</v>
      </c>
      <c r="G19" s="93">
        <f t="shared" si="2"/>
        <v>3960.0241320906525</v>
      </c>
      <c r="H19" s="108">
        <f>'Bates Grain Kn Calculator'!N21-'Bates Grain Kn Calculator'!N22</f>
        <v>6.2850574712643326E-2</v>
      </c>
      <c r="I19" s="115">
        <f t="shared" si="3"/>
        <v>0.24360955767659515</v>
      </c>
      <c r="J19" s="93">
        <f t="shared" si="4"/>
        <v>0.25799716280459267</v>
      </c>
      <c r="K19" s="93">
        <f t="shared" si="6"/>
        <v>1.5875808585231277</v>
      </c>
      <c r="L19" s="93">
        <f t="shared" si="5"/>
        <v>3960.0241320906525</v>
      </c>
      <c r="M19" s="109">
        <f t="shared" si="7"/>
        <v>5905.2794821370762</v>
      </c>
      <c r="Q19" s="3"/>
    </row>
    <row r="20" spans="2:17" ht="15" customHeight="1" x14ac:dyDescent="0.25">
      <c r="B20" s="130">
        <v>6</v>
      </c>
      <c r="C20" s="106">
        <f>'Bates Grain Kn Calculator'!Q22</f>
        <v>338.88880421383521</v>
      </c>
      <c r="D20" s="115">
        <f t="shared" si="0"/>
        <v>660.43174696738538</v>
      </c>
      <c r="E20" s="107">
        <f>'Bates Grain Kn Calculator'!P22</f>
        <v>3.9760782021995817</v>
      </c>
      <c r="F20" s="93">
        <f t="shared" si="1"/>
        <v>1.540612054165736</v>
      </c>
      <c r="G20" s="93">
        <f t="shared" si="2"/>
        <v>4045.5367510012306</v>
      </c>
      <c r="H20" s="108">
        <f>'Bates Grain Kn Calculator'!N22-'Bates Grain Kn Calculator'!N23</f>
        <v>6.285057471264377E-2</v>
      </c>
      <c r="I20" s="115">
        <f t="shared" si="3"/>
        <v>0.24570389336864973</v>
      </c>
      <c r="J20" s="93">
        <f t="shared" si="4"/>
        <v>0.25579804150007462</v>
      </c>
      <c r="K20" s="93">
        <f t="shared" si="6"/>
        <v>1.8433789000232024</v>
      </c>
      <c r="L20" s="93">
        <f t="shared" si="5"/>
        <v>4045.5367510012306</v>
      </c>
      <c r="M20" s="109">
        <f t="shared" si="7"/>
        <v>6940.1198598597657</v>
      </c>
      <c r="Q20" s="3"/>
    </row>
    <row r="21" spans="2:17" ht="15" customHeight="1" x14ac:dyDescent="0.25">
      <c r="B21" s="130">
        <v>7</v>
      </c>
      <c r="C21" s="106">
        <f>'Bates Grain Kn Calculator'!Q23</f>
        <v>341.69884532883157</v>
      </c>
      <c r="D21" s="115">
        <f t="shared" si="0"/>
        <v>672.43546683081513</v>
      </c>
      <c r="E21" s="107">
        <f>'Bates Grain Kn Calculator'!P23</f>
        <v>3.9760782021995817</v>
      </c>
      <c r="F21" s="93">
        <f t="shared" si="1"/>
        <v>1.5433114681910689</v>
      </c>
      <c r="G21" s="93">
        <f t="shared" si="2"/>
        <v>4126.2839699645874</v>
      </c>
      <c r="H21" s="108">
        <f>'Bates Grain Kn Calculator'!N23-'Bates Grain Kn Calculator'!N24</f>
        <v>6.285057471264377E-2</v>
      </c>
      <c r="I21" s="115">
        <f t="shared" si="3"/>
        <v>0.24765919617281326</v>
      </c>
      <c r="J21" s="93">
        <f t="shared" si="4"/>
        <v>0.25377848141276965</v>
      </c>
      <c r="K21" s="93">
        <f t="shared" si="6"/>
        <v>2.0971573814359719</v>
      </c>
      <c r="L21" s="93">
        <f t="shared" si="5"/>
        <v>4126.2839699645874</v>
      </c>
      <c r="M21" s="109">
        <f t="shared" si="7"/>
        <v>7987.2819396352334</v>
      </c>
      <c r="Q21" s="3"/>
    </row>
    <row r="22" spans="2:17" ht="15" customHeight="1" x14ac:dyDescent="0.25">
      <c r="B22" s="130">
        <v>8</v>
      </c>
      <c r="C22" s="106">
        <f>'Bates Grain Kn Calculator'!Q24</f>
        <v>344.28416425407738</v>
      </c>
      <c r="D22" s="115">
        <f t="shared" si="0"/>
        <v>683.67184318821376</v>
      </c>
      <c r="E22" s="107">
        <f>'Bates Grain Kn Calculator'!P24</f>
        <v>3.9760782021995817</v>
      </c>
      <c r="F22" s="93">
        <f t="shared" si="1"/>
        <v>1.545774516134687</v>
      </c>
      <c r="G22" s="93">
        <f t="shared" si="2"/>
        <v>4201.9294343753118</v>
      </c>
      <c r="H22" s="108">
        <f>'Bates Grain Kn Calculator'!N24-'Bates Grain Kn Calculator'!N25</f>
        <v>6.285057471264377E-2</v>
      </c>
      <c r="I22" s="115">
        <f t="shared" si="3"/>
        <v>0.24947187170730903</v>
      </c>
      <c r="J22" s="93">
        <f t="shared" si="4"/>
        <v>0.25193451382920928</v>
      </c>
      <c r="K22" s="93">
        <f t="shared" si="6"/>
        <v>2.3490918952651811</v>
      </c>
      <c r="L22" s="93">
        <f t="shared" si="5"/>
        <v>4201.9294343753118</v>
      </c>
      <c r="M22" s="109">
        <f t="shared" si="7"/>
        <v>9045.8929888292223</v>
      </c>
      <c r="Q22" s="3"/>
    </row>
    <row r="23" spans="2:17" ht="15" customHeight="1" x14ac:dyDescent="0.25">
      <c r="B23" s="130">
        <v>9</v>
      </c>
      <c r="C23" s="106">
        <f>'Bates Grain Kn Calculator'!Q25</f>
        <v>346.64476098957255</v>
      </c>
      <c r="D23" s="115">
        <f t="shared" si="0"/>
        <v>694.09543548046304</v>
      </c>
      <c r="E23" s="107">
        <f>'Bates Grain Kn Calculator'!P25</f>
        <v>3.9760782021995817</v>
      </c>
      <c r="F23" s="93">
        <f t="shared" si="1"/>
        <v>1.5480065503747182</v>
      </c>
      <c r="G23" s="93">
        <f t="shared" si="2"/>
        <v>4272.1540055689065</v>
      </c>
      <c r="H23" s="108">
        <f>'Bates Grain Kn Calculator'!N25-'Bates Grain Kn Calculator'!N26</f>
        <v>6.2850574712643326E-2</v>
      </c>
      <c r="I23" s="115">
        <f t="shared" si="3"/>
        <v>0.25113857030203091</v>
      </c>
      <c r="J23" s="93">
        <f t="shared" si="4"/>
        <v>0.25026253289988992</v>
      </c>
      <c r="K23" s="93">
        <f t="shared" si="6"/>
        <v>2.5993544281650709</v>
      </c>
      <c r="L23" s="93">
        <f t="shared" si="5"/>
        <v>4272.1540055689065</v>
      </c>
      <c r="M23" s="109">
        <f t="shared" si="7"/>
        <v>10115.053071201308</v>
      </c>
      <c r="Q23" s="3"/>
    </row>
    <row r="24" spans="2:17" ht="15" customHeight="1" x14ac:dyDescent="0.25">
      <c r="B24" s="130">
        <v>10</v>
      </c>
      <c r="C24" s="106">
        <f>'Bates Grain Kn Calculator'!Q26</f>
        <v>348.78063553531712</v>
      </c>
      <c r="D24" s="115">
        <f t="shared" si="0"/>
        <v>703.66361473867153</v>
      </c>
      <c r="E24" s="107">
        <f>'Bates Grain Kn Calculator'!P26</f>
        <v>3.9760782021995817</v>
      </c>
      <c r="F24" s="93">
        <f t="shared" si="1"/>
        <v>1.5500123543031232</v>
      </c>
      <c r="G24" s="93">
        <f t="shared" si="2"/>
        <v>4336.6579835129041</v>
      </c>
      <c r="H24" s="108">
        <f>'Bates Grain Kn Calculator'!N26-'Bates Grain Kn Calculator'!N27</f>
        <v>6.285057471264377E-2</v>
      </c>
      <c r="I24" s="115">
        <f t="shared" si="3"/>
        <v>0.25265619730952327</v>
      </c>
      <c r="J24" s="93">
        <f t="shared" si="4"/>
        <v>0.24875928388824353</v>
      </c>
      <c r="K24" s="93">
        <f t="shared" si="6"/>
        <v>2.8481137120533147</v>
      </c>
      <c r="L24" s="93">
        <f t="shared" si="5"/>
        <v>4336.6579835129041</v>
      </c>
      <c r="M24" s="109">
        <f t="shared" si="7"/>
        <v>11193.837005648213</v>
      </c>
      <c r="Q24" s="3"/>
    </row>
    <row r="25" spans="2:17" ht="15" customHeight="1" x14ac:dyDescent="0.25">
      <c r="B25" s="130">
        <v>11</v>
      </c>
      <c r="C25" s="106">
        <f>'Bates Grain Kn Calculator'!Q27</f>
        <v>350.69178789131109</v>
      </c>
      <c r="D25" s="115">
        <f t="shared" si="0"/>
        <v>712.33685365283884</v>
      </c>
      <c r="E25" s="107">
        <f>'Bates Grain Kn Calculator'!P27</f>
        <v>3.9760782021995817</v>
      </c>
      <c r="F25" s="93">
        <f t="shared" si="1"/>
        <v>1.5517961726186635</v>
      </c>
      <c r="G25" s="93">
        <f t="shared" si="2"/>
        <v>4395.1632188168414</v>
      </c>
      <c r="H25" s="108">
        <f>'Bates Grain Kn Calculator'!N27-'Bates Grain Kn Calculator'!N28</f>
        <v>6.285057471264377E-2</v>
      </c>
      <c r="I25" s="115">
        <f t="shared" si="3"/>
        <v>0.25402192267748364</v>
      </c>
      <c r="J25" s="93">
        <f t="shared" si="4"/>
        <v>0.24742185261089203</v>
      </c>
      <c r="K25" s="93">
        <f t="shared" si="6"/>
        <v>3.0955355646642069</v>
      </c>
      <c r="L25" s="93">
        <f t="shared" si="5"/>
        <v>4395.1632188168414</v>
      </c>
      <c r="M25" s="109">
        <f t="shared" si="7"/>
        <v>12281.296431775127</v>
      </c>
      <c r="Q25" s="3"/>
    </row>
    <row r="26" spans="2:17" ht="15" customHeight="1" x14ac:dyDescent="0.25">
      <c r="B26" s="130">
        <v>12</v>
      </c>
      <c r="C26" s="106">
        <f>'Bates Grain Kn Calculator'!Q28</f>
        <v>352.37821805755448</v>
      </c>
      <c r="D26" s="115">
        <f t="shared" si="0"/>
        <v>720.07899837729121</v>
      </c>
      <c r="E26" s="107">
        <f>'Bates Grain Kn Calculator'!P28</f>
        <v>3.9760782021995817</v>
      </c>
      <c r="F26" s="93">
        <f t="shared" si="1"/>
        <v>1.5533617377421216</v>
      </c>
      <c r="G26" s="93">
        <f t="shared" si="2"/>
        <v>4447.4150935180487</v>
      </c>
      <c r="H26" s="108">
        <f>'Bates Grain Kn Calculator'!N28-'Bates Grain Kn Calculator'!N29</f>
        <v>6.285057471264377E-2</v>
      </c>
      <c r="I26" s="115">
        <f t="shared" si="3"/>
        <v>0.25523318974135434</v>
      </c>
      <c r="J26" s="93">
        <f t="shared" si="4"/>
        <v>0.24624765602128257</v>
      </c>
      <c r="K26" s="93">
        <f t="shared" si="6"/>
        <v>3.3417832206854894</v>
      </c>
      <c r="L26" s="93">
        <f t="shared" si="5"/>
        <v>4447.4150935180487</v>
      </c>
      <c r="M26" s="109">
        <f t="shared" si="7"/>
        <v>13376.461973907619</v>
      </c>
      <c r="Q26" s="3"/>
    </row>
    <row r="27" spans="2:17" ht="15" customHeight="1" x14ac:dyDescent="0.25">
      <c r="B27" s="130">
        <v>13</v>
      </c>
      <c r="C27" s="106">
        <f>'Bates Grain Kn Calculator'!Q29</f>
        <v>353.83992603404727</v>
      </c>
      <c r="D27" s="115">
        <f t="shared" si="0"/>
        <v>726.85751945969025</v>
      </c>
      <c r="E27" s="107">
        <f>'Bates Grain Kn Calculator'!P29</f>
        <v>3.9760782021995817</v>
      </c>
      <c r="F27" s="93">
        <f t="shared" si="1"/>
        <v>1.5547122926782908</v>
      </c>
      <c r="G27" s="93">
        <f t="shared" si="2"/>
        <v>4493.1843511593233</v>
      </c>
      <c r="H27" s="108">
        <f>'Bates Grain Kn Calculator'!N29-'Bates Grain Kn Calculator'!N30</f>
        <v>6.285057471264377E-2</v>
      </c>
      <c r="I27" s="115">
        <f t="shared" si="3"/>
        <v>0.25628772319877358</v>
      </c>
      <c r="J27" s="93">
        <f t="shared" si="4"/>
        <v>0.24523443389404043</v>
      </c>
      <c r="K27" s="93">
        <f t="shared" si="6"/>
        <v>3.5870176545795296</v>
      </c>
      <c r="L27" s="93">
        <f t="shared" si="5"/>
        <v>4493.1843511593233</v>
      </c>
      <c r="M27" s="109">
        <f t="shared" si="7"/>
        <v>14478.345494645737</v>
      </c>
      <c r="Q27" s="3"/>
    </row>
    <row r="28" spans="2:17" ht="15" customHeight="1" x14ac:dyDescent="0.25">
      <c r="B28" s="130">
        <v>14</v>
      </c>
      <c r="C28" s="106">
        <f>'Bates Grain Kn Calculator'!Q30</f>
        <v>355.07691182078952</v>
      </c>
      <c r="D28" s="115">
        <f t="shared" si="0"/>
        <v>732.64373945781813</v>
      </c>
      <c r="E28" s="107">
        <f>'Bates Grain Kn Calculator'!P30</f>
        <v>3.9760782021995817</v>
      </c>
      <c r="F28" s="93">
        <f t="shared" si="1"/>
        <v>1.555850610600569</v>
      </c>
      <c r="G28" s="93">
        <f t="shared" si="2"/>
        <v>4532.2687579796493</v>
      </c>
      <c r="H28" s="108">
        <f>'Bates Grain Kn Calculator'!N30-'Bates Grain Kn Calculator'!N31</f>
        <v>6.285057471264377E-2</v>
      </c>
      <c r="I28" s="115">
        <f t="shared" si="3"/>
        <v>0.25718353623107082</v>
      </c>
      <c r="J28" s="93">
        <f t="shared" si="4"/>
        <v>0.24438024157259672</v>
      </c>
      <c r="K28" s="93">
        <f t="shared" si="6"/>
        <v>3.8313978961521262</v>
      </c>
      <c r="L28" s="93">
        <f t="shared" si="5"/>
        <v>4532.2687579796493</v>
      </c>
      <c r="M28" s="109">
        <f t="shared" si="7"/>
        <v>15585.942428592736</v>
      </c>
      <c r="Q28" s="3"/>
    </row>
    <row r="29" spans="2:17" ht="15" customHeight="1" x14ac:dyDescent="0.25">
      <c r="B29" s="130">
        <v>15</v>
      </c>
      <c r="C29" s="106">
        <f>'Bates Grain Kn Calculator'!Q31</f>
        <v>356.08917541778112</v>
      </c>
      <c r="D29" s="115">
        <f t="shared" si="0"/>
        <v>737.41303501612072</v>
      </c>
      <c r="E29" s="107">
        <f>'Bates Grain Kn Calculator'!P31</f>
        <v>3.9760782021995817</v>
      </c>
      <c r="F29" s="93">
        <f t="shared" si="1"/>
        <v>1.5567790113906383</v>
      </c>
      <c r="G29" s="93">
        <f t="shared" si="2"/>
        <v>4564.4945785760347</v>
      </c>
      <c r="H29" s="108">
        <f>'Bates Grain Kn Calculator'!N31-'Bates Grain Kn Calculator'!N32</f>
        <v>6.285057471264377E-2</v>
      </c>
      <c r="I29" s="115">
        <f t="shared" si="3"/>
        <v>0.25791893674061223</v>
      </c>
      <c r="J29" s="93">
        <f t="shared" si="4"/>
        <v>0.2436834437474914</v>
      </c>
      <c r="K29" s="93">
        <f t="shared" si="6"/>
        <v>4.0750813398996177</v>
      </c>
      <c r="L29" s="93">
        <f t="shared" si="5"/>
        <v>4564.4945785760347</v>
      </c>
      <c r="M29" s="109">
        <f t="shared" si="7"/>
        <v>16698.2341864669</v>
      </c>
      <c r="Q29" s="3"/>
    </row>
    <row r="30" spans="2:17" ht="15" customHeight="1" x14ac:dyDescent="0.25">
      <c r="B30" s="130">
        <v>16</v>
      </c>
      <c r="C30" s="106">
        <f>'Bates Grain Kn Calculator'!Q32</f>
        <v>356.87671682502224</v>
      </c>
      <c r="D30" s="115">
        <f t="shared" si="0"/>
        <v>741.14501140978359</v>
      </c>
      <c r="E30" s="107">
        <f>'Bates Grain Kn Calculator'!P32</f>
        <v>3.9760782021995817</v>
      </c>
      <c r="F30" s="93">
        <f t="shared" si="1"/>
        <v>1.5574993753267825</v>
      </c>
      <c r="G30" s="93">
        <f t="shared" si="2"/>
        <v>4589.7178511452885</v>
      </c>
      <c r="H30" s="108">
        <f>'Bates Grain Kn Calculator'!N32-'Bates Grain Kn Calculator'!N33</f>
        <v>6.285057471264377E-2</v>
      </c>
      <c r="I30" s="115">
        <f t="shared" si="3"/>
        <v>0.25849253267658923</v>
      </c>
      <c r="J30" s="93">
        <f t="shared" si="4"/>
        <v>0.24314270923748016</v>
      </c>
      <c r="K30" s="93">
        <f t="shared" si="6"/>
        <v>4.3182240491370978</v>
      </c>
      <c r="L30" s="93">
        <f t="shared" si="5"/>
        <v>4589.7178511452885</v>
      </c>
      <c r="M30" s="109">
        <f t="shared" si="7"/>
        <v>17814.190619429992</v>
      </c>
      <c r="Q30" s="3"/>
    </row>
    <row r="31" spans="2:17" ht="15" customHeight="1" x14ac:dyDescent="0.25">
      <c r="B31" s="130">
        <v>17</v>
      </c>
      <c r="C31" s="106">
        <f>'Bates Grain Kn Calculator'!Q33</f>
        <v>357.4395360425126</v>
      </c>
      <c r="D31" s="115">
        <f t="shared" si="0"/>
        <v>743.82364782513105</v>
      </c>
      <c r="E31" s="107">
        <f>'Bates Grain Kn Calculator'!P33</f>
        <v>3.9760782021995817</v>
      </c>
      <c r="F31" s="93">
        <f t="shared" si="1"/>
        <v>1.5580131540790343</v>
      </c>
      <c r="G31" s="93">
        <f t="shared" si="2"/>
        <v>4607.8254493580098</v>
      </c>
      <c r="H31" s="108">
        <f>'Bates Grain Kn Calculator'!N33-'Bates Grain Kn Calculator'!N34</f>
        <v>6.2850574712643326E-2</v>
      </c>
      <c r="I31" s="115">
        <f t="shared" si="3"/>
        <v>0.25890323642578478</v>
      </c>
      <c r="J31" s="93">
        <f t="shared" si="4"/>
        <v>0.24275700675012454</v>
      </c>
      <c r="K31" s="93">
        <f t="shared" si="6"/>
        <v>4.5609810558872219</v>
      </c>
      <c r="L31" s="93">
        <f t="shared" si="5"/>
        <v>4607.8254493580098</v>
      </c>
      <c r="M31" s="109">
        <f t="shared" si="7"/>
        <v>18932.77253314319</v>
      </c>
      <c r="Q31" s="3"/>
    </row>
    <row r="32" spans="2:17" ht="15" customHeight="1" x14ac:dyDescent="0.25">
      <c r="B32" s="130">
        <v>18</v>
      </c>
      <c r="C32" s="106">
        <f>'Bates Grain Kn Calculator'!Q34</f>
        <v>357.77763307025248</v>
      </c>
      <c r="D32" s="115">
        <f t="shared" si="0"/>
        <v>745.43741192825814</v>
      </c>
      <c r="E32" s="107">
        <f>'Bates Grain Kn Calculator'!P34</f>
        <v>3.9760782021995817</v>
      </c>
      <c r="F32" s="93">
        <f t="shared" si="1"/>
        <v>1.5583213791369208</v>
      </c>
      <c r="G32" s="93">
        <f t="shared" si="2"/>
        <v>4618.7359200292767</v>
      </c>
      <c r="H32" s="108">
        <f>'Bates Grain Kn Calculator'!N34-'Bates Grain Kn Calculator'!N35</f>
        <v>6.285057471264377E-2</v>
      </c>
      <c r="I32" s="115">
        <f t="shared" si="3"/>
        <v>0.25915026824893683</v>
      </c>
      <c r="J32" s="93">
        <f t="shared" si="4"/>
        <v>0.24252560160296732</v>
      </c>
      <c r="K32" s="93">
        <f t="shared" si="6"/>
        <v>4.803506657490189</v>
      </c>
      <c r="L32" s="93">
        <f t="shared" si="5"/>
        <v>4618.7359200292767</v>
      </c>
      <c r="M32" s="109">
        <f t="shared" si="7"/>
        <v>20052.934240793526</v>
      </c>
      <c r="Q32" s="3"/>
    </row>
    <row r="33" spans="2:17" ht="15" customHeight="1" x14ac:dyDescent="0.25">
      <c r="B33" s="130">
        <v>19</v>
      </c>
      <c r="C33" s="106">
        <f>'Bates Grain Kn Calculator'!Q35</f>
        <v>357.8910079082417</v>
      </c>
      <c r="D33" s="115">
        <f t="shared" si="0"/>
        <v>745.97934257540339</v>
      </c>
      <c r="E33" s="107">
        <f>'Bates Grain Kn Calculator'!P35</f>
        <v>3.9760782021995817</v>
      </c>
      <c r="F33" s="93">
        <f t="shared" si="1"/>
        <v>1.5584246677653868</v>
      </c>
      <c r="G33" s="93">
        <f t="shared" si="2"/>
        <v>4622.4000880041103</v>
      </c>
      <c r="H33" s="108">
        <f>'Bates Grain Kn Calculator'!N35-'Bates Grain Kn Calculator'!N36</f>
        <v>6.2850574712643326E-2</v>
      </c>
      <c r="I33" s="115">
        <f t="shared" si="3"/>
        <v>0.25923315874749753</v>
      </c>
      <c r="J33" s="93">
        <f t="shared" si="4"/>
        <v>0.24244805339066233</v>
      </c>
      <c r="K33" s="93">
        <f t="shared" si="6"/>
        <v>5.0459547108808511</v>
      </c>
      <c r="L33" s="93">
        <f t="shared" si="5"/>
        <v>4622.4000880041103</v>
      </c>
      <c r="M33" s="109">
        <f t="shared" si="7"/>
        <v>21173.626144122947</v>
      </c>
      <c r="Q33" s="3"/>
    </row>
    <row r="34" spans="2:17" ht="15" customHeight="1" x14ac:dyDescent="0.25">
      <c r="B34" s="130">
        <v>20</v>
      </c>
      <c r="C34" s="106">
        <f>'Bates Grain Kn Calculator'!Q36</f>
        <v>357.77966055648034</v>
      </c>
      <c r="D34" s="115">
        <f t="shared" si="0"/>
        <v>745.44709983500479</v>
      </c>
      <c r="E34" s="107">
        <f>'Bates Grain Kn Calculator'!P36</f>
        <v>3.9760782021995817</v>
      </c>
      <c r="F34" s="93">
        <f t="shared" si="1"/>
        <v>1.5583232265560274</v>
      </c>
      <c r="G34" s="93">
        <f t="shared" si="2"/>
        <v>4618.8014220426421</v>
      </c>
      <c r="H34" s="108">
        <f>'Bates Grain Kn Calculator'!N36-'Bates Grain Kn Calculator'!N37</f>
        <v>6.285057471264377E-2</v>
      </c>
      <c r="I34" s="115">
        <f t="shared" si="3"/>
        <v>0.25915175034986992</v>
      </c>
      <c r="J34" s="93">
        <f t="shared" si="4"/>
        <v>0.24252421458775347</v>
      </c>
      <c r="K34" s="93">
        <f t="shared" si="6"/>
        <v>5.2884789254686044</v>
      </c>
      <c r="L34" s="93">
        <f t="shared" si="5"/>
        <v>4618.8014220426421</v>
      </c>
      <c r="M34" s="109">
        <f t="shared" si="7"/>
        <v>22293.797331340636</v>
      </c>
      <c r="Q34" s="3"/>
    </row>
    <row r="35" spans="2:17" ht="15" customHeight="1" x14ac:dyDescent="0.25">
      <c r="B35" s="130">
        <v>21</v>
      </c>
      <c r="C35" s="106">
        <f>'Bates Grain Kn Calculator'!Q37</f>
        <v>357.44359101496843</v>
      </c>
      <c r="D35" s="115">
        <f t="shared" si="0"/>
        <v>743.84298181842735</v>
      </c>
      <c r="E35" s="107">
        <f>'Bates Grain Kn Calculator'!P37</f>
        <v>3.9760782021995817</v>
      </c>
      <c r="F35" s="93">
        <f t="shared" si="1"/>
        <v>1.5580168526134832</v>
      </c>
      <c r="G35" s="93">
        <f t="shared" si="2"/>
        <v>4607.9561579380115</v>
      </c>
      <c r="H35" s="108">
        <f>'Bates Grain Kn Calculator'!N37-'Bates Grain Kn Calculator'!N38</f>
        <v>6.285057471264377E-2</v>
      </c>
      <c r="I35" s="115">
        <f t="shared" si="3"/>
        <v>0.25890619781052993</v>
      </c>
      <c r="J35" s="93">
        <f t="shared" si="4"/>
        <v>0.24275423008080491</v>
      </c>
      <c r="K35" s="93">
        <f t="shared" si="6"/>
        <v>5.5312331555494092</v>
      </c>
      <c r="L35" s="93">
        <f t="shared" si="5"/>
        <v>4607.9561579380115</v>
      </c>
      <c r="M35" s="109">
        <f t="shared" si="7"/>
        <v>23412.398180706983</v>
      </c>
      <c r="Q35" s="3"/>
    </row>
    <row r="36" spans="2:17" ht="15" customHeight="1" x14ac:dyDescent="0.25">
      <c r="B36" s="130">
        <v>22</v>
      </c>
      <c r="C36" s="106">
        <f>'Bates Grain Kn Calculator'!Q38</f>
        <v>356.88279928370594</v>
      </c>
      <c r="D36" s="115">
        <f t="shared" si="0"/>
        <v>741.17390814996736</v>
      </c>
      <c r="E36" s="107">
        <f>'Bates Grain Kn Calculator'!P38</f>
        <v>3.9760782021995817</v>
      </c>
      <c r="F36" s="93">
        <f t="shared" si="1"/>
        <v>1.5575049323902785</v>
      </c>
      <c r="G36" s="93">
        <f t="shared" si="2"/>
        <v>4589.9131775982951</v>
      </c>
      <c r="H36" s="108">
        <f>'Bates Grain Kn Calculator'!N38-'Bates Grain Kn Calculator'!N39</f>
        <v>6.285057471264377E-2</v>
      </c>
      <c r="I36" s="115">
        <f t="shared" si="3"/>
        <v>0.25849696771982705</v>
      </c>
      <c r="J36" s="93">
        <f t="shared" si="4"/>
        <v>0.24313853762789439</v>
      </c>
      <c r="K36" s="93">
        <f t="shared" si="6"/>
        <v>5.7743716931773035</v>
      </c>
      <c r="L36" s="93">
        <f t="shared" si="5"/>
        <v>4589.9131775982951</v>
      </c>
      <c r="M36" s="109">
        <f t="shared" si="7"/>
        <v>24528.382958547234</v>
      </c>
      <c r="Q36" s="3"/>
    </row>
    <row r="37" spans="2:17" ht="15" customHeight="1" x14ac:dyDescent="0.25">
      <c r="B37" s="130">
        <v>23</v>
      </c>
      <c r="C37" s="106">
        <f>'Bates Grain Kn Calculator'!Q39</f>
        <v>356.0972853626929</v>
      </c>
      <c r="D37" s="115">
        <f t="shared" si="0"/>
        <v>737.45137024251028</v>
      </c>
      <c r="E37" s="107">
        <f>'Bates Grain Kn Calculator'!P39</f>
        <v>3.9760782021995817</v>
      </c>
      <c r="F37" s="93">
        <f t="shared" si="1"/>
        <v>1.5567864381570686</v>
      </c>
      <c r="G37" s="93">
        <f t="shared" si="2"/>
        <v>4564.7536453385692</v>
      </c>
      <c r="H37" s="108">
        <f>'Bates Grain Kn Calculator'!N39-'Bates Grain Kn Calculator'!N40</f>
        <v>6.285057471264377E-2</v>
      </c>
      <c r="I37" s="115">
        <f t="shared" si="3"/>
        <v>0.25792483702663072</v>
      </c>
      <c r="J37" s="93">
        <f t="shared" si="4"/>
        <v>0.24367786924744458</v>
      </c>
      <c r="K37" s="93">
        <f t="shared" si="6"/>
        <v>6.0180495624247481</v>
      </c>
      <c r="L37" s="93">
        <f t="shared" si="5"/>
        <v>4564.7536453385692</v>
      </c>
      <c r="M37" s="109">
        <f t="shared" si="7"/>
        <v>25640.712400482844</v>
      </c>
      <c r="Q37" s="3"/>
    </row>
    <row r="38" spans="2:17" ht="15" customHeight="1" x14ac:dyDescent="0.25">
      <c r="B38" s="130">
        <v>24</v>
      </c>
      <c r="C38" s="106">
        <f>'Bates Grain Kn Calculator'!Q40</f>
        <v>355.08704925192916</v>
      </c>
      <c r="D38" s="115">
        <f t="shared" si="0"/>
        <v>732.69134887884354</v>
      </c>
      <c r="E38" s="107">
        <f>'Bates Grain Kn Calculator'!P40</f>
        <v>3.9760782021995817</v>
      </c>
      <c r="F38" s="93">
        <f t="shared" si="1"/>
        <v>1.5558599220686633</v>
      </c>
      <c r="G38" s="93">
        <f t="shared" si="2"/>
        <v>4532.5904051275311</v>
      </c>
      <c r="H38" s="108">
        <f>'Bates Grain Kn Calculator'!N40-'Bates Grain Kn Calculator'!N41</f>
        <v>6.285057471264377E-2</v>
      </c>
      <c r="I38" s="115">
        <f t="shared" si="3"/>
        <v>0.25719089058037431</v>
      </c>
      <c r="J38" s="93">
        <f t="shared" si="4"/>
        <v>0.24437325354259559</v>
      </c>
      <c r="K38" s="93">
        <f t="shared" si="6"/>
        <v>6.2624228159673434</v>
      </c>
      <c r="L38" s="93">
        <f t="shared" si="5"/>
        <v>4532.5904051275311</v>
      </c>
      <c r="M38" s="109">
        <f t="shared" si="7"/>
        <v>26748.356264759808</v>
      </c>
      <c r="Q38" s="3"/>
    </row>
    <row r="39" spans="2:17" ht="15" customHeight="1" x14ac:dyDescent="0.25">
      <c r="B39" s="130">
        <v>25</v>
      </c>
      <c r="C39" s="106">
        <f>'Bates Grain Kn Calculator'!Q41</f>
        <v>353.85209095141494</v>
      </c>
      <c r="D39" s="115">
        <f t="shared" si="0"/>
        <v>726.91419992580643</v>
      </c>
      <c r="E39" s="107">
        <f>'Bates Grain Kn Calculator'!P41</f>
        <v>3.9760782021995817</v>
      </c>
      <c r="F39" s="93">
        <f t="shared" si="1"/>
        <v>1.5547235077589729</v>
      </c>
      <c r="G39" s="93">
        <f t="shared" si="2"/>
        <v>4493.5671449822339</v>
      </c>
      <c r="H39" s="108">
        <f>'Bates Grain Kn Calculator'!N41-'Bates Grain Kn Calculator'!N42</f>
        <v>6.285057471264377E-2</v>
      </c>
      <c r="I39" s="115">
        <f t="shared" si="3"/>
        <v>0.25629651770337986</v>
      </c>
      <c r="J39" s="93">
        <f t="shared" si="4"/>
        <v>0.24522601897144286</v>
      </c>
      <c r="K39" s="93">
        <f t="shared" si="6"/>
        <v>6.5076488349387862</v>
      </c>
      <c r="L39" s="93">
        <f t="shared" si="5"/>
        <v>4493.5671449822339</v>
      </c>
      <c r="M39" s="109">
        <f t="shared" si="7"/>
        <v>27850.295846704674</v>
      </c>
      <c r="Q39" s="3"/>
    </row>
    <row r="40" spans="2:17" ht="15" customHeight="1" x14ac:dyDescent="0.25">
      <c r="B40" s="130">
        <v>26</v>
      </c>
      <c r="C40" s="106">
        <f>'Bates Grain Kn Calculator'!Q42</f>
        <v>352.39241046115001</v>
      </c>
      <c r="D40" s="115">
        <f t="shared" si="0"/>
        <v>720.14450932493742</v>
      </c>
      <c r="E40" s="107">
        <f>'Bates Grain Kn Calculator'!P42</f>
        <v>3.9760782021995817</v>
      </c>
      <c r="F40" s="93">
        <f t="shared" si="1"/>
        <v>1.5533748793695339</v>
      </c>
      <c r="G40" s="93">
        <f t="shared" si="2"/>
        <v>4447.8573370716904</v>
      </c>
      <c r="H40" s="108">
        <f>'Bates Grain Kn Calculator'!N42-'Bates Grain Kn Calculator'!N43</f>
        <v>6.285057471264377E-2</v>
      </c>
      <c r="I40" s="115">
        <f t="shared" si="3"/>
        <v>0.25524340780862048</v>
      </c>
      <c r="J40" s="93">
        <f t="shared" si="4"/>
        <v>0.24623779807770252</v>
      </c>
      <c r="K40" s="93">
        <f t="shared" si="6"/>
        <v>6.7538866330164886</v>
      </c>
      <c r="L40" s="93">
        <f t="shared" si="5"/>
        <v>4447.8573370716904</v>
      </c>
      <c r="M40" s="109">
        <f t="shared" si="7"/>
        <v>28945.526443548959</v>
      </c>
      <c r="Q40" s="3"/>
    </row>
    <row r="41" spans="2:17" ht="15" customHeight="1" x14ac:dyDescent="0.25">
      <c r="B41" s="130">
        <v>27</v>
      </c>
      <c r="C41" s="106">
        <f>'Bates Grain Kn Calculator'!Q43</f>
        <v>350.7080077811346</v>
      </c>
      <c r="D41" s="115">
        <f t="shared" si="0"/>
        <v>712.41091880509725</v>
      </c>
      <c r="E41" s="107">
        <f>'Bates Grain Kn Calculator'!P43</f>
        <v>3.9760782021995817</v>
      </c>
      <c r="F41" s="93">
        <f t="shared" si="1"/>
        <v>1.5518112678861506</v>
      </c>
      <c r="G41" s="93">
        <f t="shared" si="2"/>
        <v>4395.6629643453643</v>
      </c>
      <c r="H41" s="108">
        <f>'Bates Grain Kn Calculator'!N43-'Bates Grain Kn Calculator'!N44</f>
        <v>6.285057471264377E-2</v>
      </c>
      <c r="I41" s="115">
        <f t="shared" si="3"/>
        <v>0.25403354508226988</v>
      </c>
      <c r="J41" s="93">
        <f t="shared" si="4"/>
        <v>0.24741053270066884</v>
      </c>
      <c r="K41" s="93">
        <f t="shared" si="6"/>
        <v>7.0012971657171574</v>
      </c>
      <c r="L41" s="93">
        <f t="shared" si="5"/>
        <v>4395.6629643453643</v>
      </c>
      <c r="M41" s="109">
        <f t="shared" si="7"/>
        <v>30033.059759130247</v>
      </c>
      <c r="Q41" s="3"/>
    </row>
    <row r="42" spans="2:17" ht="15" customHeight="1" x14ac:dyDescent="0.25">
      <c r="B42" s="130">
        <v>28</v>
      </c>
      <c r="C42" s="106">
        <f>'Bates Grain Kn Calculator'!Q44</f>
        <v>348.79888291136848</v>
      </c>
      <c r="D42" s="115">
        <f t="shared" si="0"/>
        <v>703.74592404579312</v>
      </c>
      <c r="E42" s="107">
        <f>'Bates Grain Kn Calculator'!P44</f>
        <v>3.9760782021995817</v>
      </c>
      <c r="F42" s="93">
        <f t="shared" si="1"/>
        <v>1.5500294346257488</v>
      </c>
      <c r="G42" s="93">
        <f t="shared" si="2"/>
        <v>4337.2130466157405</v>
      </c>
      <c r="H42" s="108">
        <f>'Bates Grain Kn Calculator'!N44-'Bates Grain Kn Calculator'!N45</f>
        <v>6.2850574712643326E-2</v>
      </c>
      <c r="I42" s="115">
        <f t="shared" si="3"/>
        <v>0.25266920225446404</v>
      </c>
      <c r="J42" s="93">
        <f t="shared" si="4"/>
        <v>0.24874648018774481</v>
      </c>
      <c r="K42" s="93">
        <f t="shared" si="6"/>
        <v>7.2500436459049027</v>
      </c>
      <c r="L42" s="93">
        <f t="shared" si="5"/>
        <v>4337.2130466157405</v>
      </c>
      <c r="M42" s="109">
        <f t="shared" si="7"/>
        <v>31111.926238300279</v>
      </c>
      <c r="Q42" s="3"/>
    </row>
    <row r="43" spans="2:17" ht="15" customHeight="1" thickBot="1" x14ac:dyDescent="0.3">
      <c r="B43" s="131">
        <v>29</v>
      </c>
      <c r="C43" s="110">
        <f>'Bates Grain Kn Calculator'!Q45</f>
        <v>346.66503585185194</v>
      </c>
      <c r="D43" s="116">
        <f t="shared" si="0"/>
        <v>694.18564728120077</v>
      </c>
      <c r="E43" s="111">
        <f>'Bates Grain Kn Calculator'!P45</f>
        <v>3.9760782021995817</v>
      </c>
      <c r="F43" s="97">
        <f t="shared" si="1"/>
        <v>1.5480256516802318</v>
      </c>
      <c r="G43" s="97">
        <f t="shared" si="2"/>
        <v>4272.761980969598</v>
      </c>
      <c r="H43" s="112">
        <f>H42</f>
        <v>6.2850574712643326E-2</v>
      </c>
      <c r="I43" s="116">
        <f t="shared" si="3"/>
        <v>0.25115293348564882</v>
      </c>
      <c r="J43" s="97">
        <f t="shared" si="4"/>
        <v>0.25024822063738578</v>
      </c>
      <c r="K43" s="97">
        <f t="shared" si="6"/>
        <v>7.5002918665422884</v>
      </c>
      <c r="L43" s="97">
        <f t="shared" si="5"/>
        <v>4272.761980969598</v>
      </c>
      <c r="M43" s="113">
        <f t="shared" si="7"/>
        <v>32181.177321244992</v>
      </c>
      <c r="Q43" s="3"/>
    </row>
    <row r="44" spans="2:17" ht="12.75" customHeight="1" x14ac:dyDescent="0.25">
      <c r="C44" s="82"/>
      <c r="D44" s="80"/>
      <c r="E44" s="80"/>
      <c r="F44" s="80"/>
      <c r="G44" s="80"/>
      <c r="H44" s="80"/>
      <c r="I44" s="80"/>
      <c r="L44" s="3"/>
      <c r="M44" s="3"/>
      <c r="Q44" s="3"/>
    </row>
    <row r="45" spans="2:17" ht="12.75" customHeight="1" x14ac:dyDescent="0.25">
      <c r="F45" s="3"/>
      <c r="L45" s="3"/>
      <c r="M45" s="3"/>
      <c r="Q45" s="3"/>
    </row>
    <row r="46" spans="2:17" ht="12.75" customHeight="1" x14ac:dyDescent="0.25">
      <c r="F46" s="3"/>
      <c r="L46" s="3"/>
      <c r="M46" s="3"/>
    </row>
    <row r="47" spans="2:17" ht="12.75" customHeight="1" x14ac:dyDescent="0.25">
      <c r="D47" s="3"/>
      <c r="E47" s="3"/>
      <c r="L47" s="3"/>
      <c r="M47" s="3"/>
    </row>
    <row r="48" spans="2:17" ht="12.75" customHeight="1" x14ac:dyDescent="0.25">
      <c r="D48" s="3"/>
      <c r="E48" s="3"/>
      <c r="L48" s="3"/>
      <c r="M48" s="3"/>
    </row>
    <row r="49" spans="4:17" ht="12.75" customHeight="1" x14ac:dyDescent="0.25">
      <c r="D49" s="3"/>
      <c r="E49" s="3"/>
      <c r="L49" s="3"/>
      <c r="M49" s="3"/>
    </row>
    <row r="50" spans="4:17" ht="12.75" customHeight="1" x14ac:dyDescent="0.25">
      <c r="D50" s="3"/>
      <c r="E50" s="3"/>
      <c r="F50" s="3"/>
      <c r="L50" s="3"/>
      <c r="M50" s="3"/>
      <c r="Q50" s="3"/>
    </row>
    <row r="51" spans="4:17" ht="12.75" customHeight="1" x14ac:dyDescent="0.25">
      <c r="D51" s="3"/>
      <c r="E51" s="3"/>
      <c r="F51" s="3"/>
      <c r="L51" s="3"/>
      <c r="M51" s="3"/>
      <c r="Q51" s="3"/>
    </row>
    <row r="52" spans="4:17" ht="12.75" customHeight="1" x14ac:dyDescent="0.25">
      <c r="D52" s="3"/>
      <c r="E52" s="3"/>
      <c r="F52" s="3"/>
      <c r="L52" s="3"/>
      <c r="M52" s="3"/>
      <c r="Q52" s="3"/>
    </row>
    <row r="53" spans="4:17" ht="12.75" customHeight="1" x14ac:dyDescent="0.25">
      <c r="D53" s="3"/>
      <c r="E53" s="3"/>
      <c r="F53" s="3"/>
      <c r="L53" s="3"/>
      <c r="M53" s="3"/>
      <c r="Q53" s="3"/>
    </row>
    <row r="54" spans="4:17" ht="12.75" customHeight="1" x14ac:dyDescent="0.25">
      <c r="D54" s="3"/>
      <c r="E54" s="3"/>
      <c r="F54" s="3"/>
      <c r="L54" s="3"/>
      <c r="M54" s="3"/>
      <c r="Q54" s="3"/>
    </row>
    <row r="55" spans="4:17" ht="12.75" customHeight="1" x14ac:dyDescent="0.25">
      <c r="D55" s="3"/>
      <c r="E55" s="3"/>
      <c r="F55" s="3"/>
      <c r="L55" s="3"/>
      <c r="M55" s="3"/>
      <c r="Q55" s="3"/>
    </row>
    <row r="56" spans="4:17" ht="12.75" customHeight="1" x14ac:dyDescent="0.25">
      <c r="D56" s="3"/>
      <c r="E56" s="3"/>
      <c r="F56" s="3"/>
      <c r="L56" s="3"/>
      <c r="M56" s="3"/>
      <c r="Q56" s="3"/>
    </row>
    <row r="57" spans="4:17" ht="12.75" customHeight="1" x14ac:dyDescent="0.25"/>
    <row r="58" spans="4:17" ht="12.75" customHeight="1" x14ac:dyDescent="0.25">
      <c r="D58" s="3"/>
      <c r="E58" s="3"/>
      <c r="F58" s="3"/>
      <c r="L58" s="3"/>
      <c r="M58" s="3"/>
      <c r="Q58" s="3"/>
    </row>
    <row r="59" spans="4:17" ht="12.75" customHeight="1" x14ac:dyDescent="0.25">
      <c r="D59" s="3"/>
      <c r="E59" s="3"/>
      <c r="F59" s="3"/>
      <c r="L59" s="3"/>
      <c r="M59" s="3"/>
      <c r="Q59" s="3"/>
    </row>
    <row r="60" spans="4:17" ht="12.75" customHeight="1" x14ac:dyDescent="0.25">
      <c r="D60" s="3"/>
      <c r="E60" s="3"/>
      <c r="F60" s="3"/>
      <c r="L60" s="3"/>
      <c r="M60" s="3"/>
      <c r="Q60" s="3"/>
    </row>
    <row r="61" spans="4:17" ht="12.75" customHeight="1" x14ac:dyDescent="0.25">
      <c r="D61" s="3"/>
      <c r="E61" s="3"/>
      <c r="F61" s="3"/>
      <c r="L61" s="3"/>
      <c r="M61" s="3"/>
      <c r="Q61" s="3"/>
    </row>
    <row r="62" spans="4:17" ht="12.75" customHeight="1" x14ac:dyDescent="0.25">
      <c r="D62" s="3"/>
      <c r="E62" s="3"/>
      <c r="F62" s="3"/>
      <c r="L62" s="3"/>
      <c r="M62" s="3"/>
      <c r="Q62" s="3"/>
    </row>
    <row r="63" spans="4:17" ht="12.75" customHeight="1" x14ac:dyDescent="0.25">
      <c r="D63" s="3"/>
      <c r="E63" s="3"/>
      <c r="F63" s="3"/>
      <c r="L63" s="3"/>
      <c r="M63" s="3"/>
      <c r="Q63" s="3"/>
    </row>
    <row r="64" spans="4:17" ht="12.75" customHeight="1" x14ac:dyDescent="0.25">
      <c r="D64" s="3"/>
      <c r="E64" s="3"/>
      <c r="F64" s="3"/>
      <c r="L64" s="3"/>
      <c r="M64" s="3"/>
      <c r="Q64" s="3"/>
    </row>
    <row r="65" spans="4:17" ht="12.75" customHeight="1" x14ac:dyDescent="0.25">
      <c r="D65" s="3"/>
      <c r="E65" s="3"/>
      <c r="F65" s="3"/>
      <c r="L65" s="3"/>
      <c r="M65" s="3"/>
      <c r="Q65" s="3"/>
    </row>
    <row r="66" spans="4:17" ht="12.75" customHeight="1" x14ac:dyDescent="0.25">
      <c r="D66" s="3"/>
      <c r="E66" s="3"/>
      <c r="F66" s="3"/>
      <c r="L66" s="3"/>
      <c r="M66" s="3"/>
      <c r="Q66" s="3"/>
    </row>
    <row r="67" spans="4:17" ht="12.75" customHeight="1" x14ac:dyDescent="0.25">
      <c r="D67" s="3"/>
      <c r="E67" s="3"/>
      <c r="F67" s="3"/>
      <c r="L67" s="3"/>
      <c r="M67" s="3"/>
      <c r="Q67" s="3"/>
    </row>
    <row r="68" spans="4:17" ht="12.75" customHeight="1" x14ac:dyDescent="0.25">
      <c r="D68" s="3"/>
      <c r="E68" s="3"/>
      <c r="F68" s="3"/>
      <c r="L68" s="3"/>
      <c r="M68" s="3"/>
      <c r="Q68" s="3"/>
    </row>
    <row r="69" spans="4:17" ht="12.75" customHeight="1" x14ac:dyDescent="0.25">
      <c r="D69" s="3"/>
      <c r="E69" s="3"/>
      <c r="F69" s="3"/>
      <c r="L69" s="3"/>
      <c r="M69" s="3"/>
      <c r="Q69" s="3"/>
    </row>
    <row r="70" spans="4:17" ht="12.75" customHeight="1" x14ac:dyDescent="0.25">
      <c r="D70" s="3"/>
      <c r="E70" s="3"/>
      <c r="F70" s="3"/>
      <c r="L70" s="3"/>
      <c r="M70" s="3"/>
      <c r="Q70" s="3"/>
    </row>
    <row r="71" spans="4:17" ht="12.75" customHeight="1" x14ac:dyDescent="0.25">
      <c r="D71" s="3"/>
      <c r="E71" s="3"/>
      <c r="F71" s="3"/>
      <c r="L71" s="3"/>
      <c r="M71" s="3"/>
      <c r="Q71" s="3"/>
    </row>
    <row r="72" spans="4:17" ht="12.75" customHeight="1" x14ac:dyDescent="0.25">
      <c r="D72" s="3"/>
      <c r="E72" s="3"/>
      <c r="F72" s="3"/>
      <c r="L72" s="3"/>
      <c r="M72" s="3"/>
      <c r="Q72" s="3"/>
    </row>
    <row r="73" spans="4:17" ht="12.75" customHeight="1" x14ac:dyDescent="0.25">
      <c r="D73" s="3"/>
      <c r="E73" s="3"/>
      <c r="F73" s="3"/>
      <c r="L73" s="3"/>
      <c r="M73" s="3"/>
      <c r="Q73" s="3"/>
    </row>
    <row r="74" spans="4:17" ht="12.75" customHeight="1" x14ac:dyDescent="0.25">
      <c r="D74" s="3"/>
      <c r="E74" s="3"/>
      <c r="F74" s="3"/>
      <c r="L74" s="3"/>
      <c r="M74" s="3"/>
      <c r="Q74" s="3"/>
    </row>
    <row r="75" spans="4:17" ht="12.75" customHeight="1" x14ac:dyDescent="0.25">
      <c r="D75" s="3"/>
      <c r="E75" s="3"/>
      <c r="F75" s="3"/>
      <c r="L75" s="3"/>
      <c r="M75" s="3"/>
      <c r="Q75" s="3"/>
    </row>
    <row r="76" spans="4:17" ht="12.75" customHeight="1" x14ac:dyDescent="0.25">
      <c r="D76" s="3"/>
      <c r="E76" s="3"/>
      <c r="F76" s="3"/>
      <c r="L76" s="3"/>
      <c r="M76" s="3"/>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B9:C9"/>
    <mergeCell ref="B10:C10"/>
    <mergeCell ref="F2:G2"/>
    <mergeCell ref="F5:G5"/>
    <mergeCell ref="F6:G6"/>
    <mergeCell ref="F7:G7"/>
    <mergeCell ref="F9:G9"/>
    <mergeCell ref="F10:G10"/>
    <mergeCell ref="B2:C2"/>
    <mergeCell ref="B4:C4"/>
    <mergeCell ref="B5:C5"/>
    <mergeCell ref="B6:C6"/>
    <mergeCell ref="B7:C7"/>
    <mergeCell ref="B8:C8"/>
    <mergeCell ref="J10:K10"/>
    <mergeCell ref="F4:H4"/>
    <mergeCell ref="F8:H8"/>
    <mergeCell ref="J4:K4"/>
    <mergeCell ref="J5:K5"/>
    <mergeCell ref="J6:K6"/>
    <mergeCell ref="J7:K7"/>
    <mergeCell ref="J8:K8"/>
    <mergeCell ref="J9:K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2016-08-31T05:37:14Z</dcterms:modified>
</cp:coreProperties>
</file>