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roguextech\longhorn-rocketry-propulsion-calculators\bolt-calculator\"/>
    </mc:Choice>
  </mc:AlternateContent>
  <xr:revisionPtr revIDLastSave="0" documentId="13_ncr:1_{D5CB9DAF-0059-45E2-89E2-51F0BB39C4B4}" xr6:coauthVersionLast="45" xr6:coauthVersionMax="45" xr10:uidLastSave="{00000000-0000-0000-0000-000000000000}"/>
  <bookViews>
    <workbookView xWindow="-108" yWindow="-108" windowWidth="23256" windowHeight="13176" xr2:uid="{8EDC6085-B8D1-4D9D-AE11-373E560318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O22" i="1"/>
  <c r="G21" i="1"/>
  <c r="G17" i="1"/>
  <c r="G7" i="1"/>
  <c r="G11" i="1" s="1"/>
  <c r="O7" i="1" s="1"/>
  <c r="O14" i="1" s="1"/>
  <c r="G6" i="1"/>
  <c r="K2" i="1" s="1"/>
  <c r="G5" i="1"/>
  <c r="G4" i="1"/>
  <c r="G3" i="1"/>
  <c r="G2" i="1"/>
  <c r="G8" i="1" s="1"/>
  <c r="C2" i="1"/>
  <c r="O23" i="1" l="1"/>
  <c r="O26" i="1"/>
  <c r="O16" i="1"/>
  <c r="K3" i="1"/>
  <c r="K6" i="1"/>
  <c r="O2" i="1" s="1"/>
  <c r="G16" i="1"/>
  <c r="G20" i="1" s="1"/>
  <c r="O3" i="1" l="1"/>
  <c r="O4" i="1" s="1"/>
  <c r="O8" i="1"/>
  <c r="G15" i="1"/>
  <c r="G14" i="1" s="1"/>
  <c r="O10" i="1" l="1"/>
  <c r="O15" i="1"/>
  <c r="O18" i="1" s="1"/>
  <c r="O27" i="1"/>
  <c r="O28" i="1" s="1"/>
  <c r="O24" i="1"/>
  <c r="O25" i="1" s="1"/>
</calcChain>
</file>

<file path=xl/sharedStrings.xml><?xml version="1.0" encoding="utf-8"?>
<sst xmlns="http://schemas.openxmlformats.org/spreadsheetml/2006/main" count="111" uniqueCount="107">
  <si>
    <t>Dmint</t>
  </si>
  <si>
    <t>Dnom</t>
  </si>
  <si>
    <t>Dpint</t>
  </si>
  <si>
    <t>Dmext</t>
  </si>
  <si>
    <t>Dpext</t>
  </si>
  <si>
    <t>Anom</t>
  </si>
  <si>
    <t>At</t>
  </si>
  <si>
    <t>Am</t>
  </si>
  <si>
    <t>Fpl</t>
  </si>
  <si>
    <t>Sty</t>
  </si>
  <si>
    <t>T</t>
  </si>
  <si>
    <t>Kt</t>
  </si>
  <si>
    <t>rt</t>
  </si>
  <si>
    <t>ft</t>
  </si>
  <si>
    <t>fc</t>
  </si>
  <si>
    <t>tan</t>
  </si>
  <si>
    <t>sec</t>
  </si>
  <si>
    <t>L</t>
  </si>
  <si>
    <t>Lg</t>
  </si>
  <si>
    <t>Bolt Geometry</t>
  </si>
  <si>
    <t>Pitch</t>
  </si>
  <si>
    <t>TPI</t>
  </si>
  <si>
    <t>Bolt Characteristics</t>
  </si>
  <si>
    <t>Nominal Diameter</t>
  </si>
  <si>
    <t>P</t>
  </si>
  <si>
    <t>External Thread, Minor Diameter</t>
  </si>
  <si>
    <t>External Thread, Pitch Diameter</t>
  </si>
  <si>
    <t>Internal Thread, Minor Diameter</t>
  </si>
  <si>
    <t>Internall Thread, Pitch Diameter</t>
  </si>
  <si>
    <t>External Thread Nominal Area</t>
  </si>
  <si>
    <t xml:space="preserve">External Thread Tensile Stress Area </t>
  </si>
  <si>
    <t>External Thread Minor Area</t>
  </si>
  <si>
    <t>Preload</t>
  </si>
  <si>
    <t>Preload Value</t>
  </si>
  <si>
    <t>Tensile Yield Strength</t>
  </si>
  <si>
    <t>Torque</t>
  </si>
  <si>
    <t xml:space="preserve">Torque Coefficient </t>
  </si>
  <si>
    <t xml:space="preserve">Mean Thread Radius </t>
  </si>
  <si>
    <t xml:space="preserve">Mean Collar Radius </t>
  </si>
  <si>
    <t xml:space="preserve">rc </t>
  </si>
  <si>
    <t>Friction Coefficient (surfaces)</t>
  </si>
  <si>
    <t xml:space="preserve"> </t>
  </si>
  <si>
    <t>secalpha</t>
  </si>
  <si>
    <t>Bolt Stiffness</t>
  </si>
  <si>
    <t>ks</t>
  </si>
  <si>
    <t>K of threaded portion</t>
  </si>
  <si>
    <t>K of shank portion</t>
  </si>
  <si>
    <t>kt</t>
  </si>
  <si>
    <t>Elastic Modulus of Bolt</t>
  </si>
  <si>
    <t>Length of shank portion</t>
  </si>
  <si>
    <t>K of entire bolt</t>
  </si>
  <si>
    <t>kb</t>
  </si>
  <si>
    <t>E</t>
  </si>
  <si>
    <t>Ls</t>
  </si>
  <si>
    <t>Length of Grip</t>
  </si>
  <si>
    <t>Length of threaded portion within grip</t>
  </si>
  <si>
    <t>Ltg</t>
  </si>
  <si>
    <t>Length of Bolt</t>
  </si>
  <si>
    <t xml:space="preserve">Grip Stiffness </t>
  </si>
  <si>
    <t>Kfr</t>
  </si>
  <si>
    <t>Joint Constant</t>
  </si>
  <si>
    <t>C</t>
  </si>
  <si>
    <t>Force required to separate</t>
  </si>
  <si>
    <t>Fs</t>
  </si>
  <si>
    <t xml:space="preserve">Factor of Safety on separation </t>
  </si>
  <si>
    <t>Joint</t>
  </si>
  <si>
    <t>Forces</t>
  </si>
  <si>
    <t>Bolt tension due to preload</t>
  </si>
  <si>
    <t>FbPL</t>
  </si>
  <si>
    <t xml:space="preserve">Bolt tension due to applied load </t>
  </si>
  <si>
    <t>FbAL</t>
  </si>
  <si>
    <t>Fal</t>
  </si>
  <si>
    <t xml:space="preserve">Total tensile force on bolt </t>
  </si>
  <si>
    <t>Fbt</t>
  </si>
  <si>
    <t>Fsp</t>
  </si>
  <si>
    <t>FSsp</t>
  </si>
  <si>
    <t xml:space="preserve">Bolt Stresses </t>
  </si>
  <si>
    <t>Preload Stress</t>
  </si>
  <si>
    <t xml:space="preserve">Tensile Stress </t>
  </si>
  <si>
    <t>Shear Stress</t>
  </si>
  <si>
    <t>Bending Stress</t>
  </si>
  <si>
    <t>Opl</t>
  </si>
  <si>
    <t>Ot</t>
  </si>
  <si>
    <t>Tsh</t>
  </si>
  <si>
    <t>Obnd</t>
  </si>
  <si>
    <t>Von Mises</t>
  </si>
  <si>
    <t>Ovm</t>
  </si>
  <si>
    <t>Factor of Safety</t>
  </si>
  <si>
    <t>FS</t>
  </si>
  <si>
    <t>Thread Shear</t>
  </si>
  <si>
    <t>Length of Thread Engagement</t>
  </si>
  <si>
    <t>Le</t>
  </si>
  <si>
    <t>External Thread Shear Area</t>
  </si>
  <si>
    <t>AtsE</t>
  </si>
  <si>
    <t>Shear Stress in External Threads</t>
  </si>
  <si>
    <t>External Thread Factor of Safety</t>
  </si>
  <si>
    <t>Internal Thread Shear Area</t>
  </si>
  <si>
    <t>AtsI</t>
  </si>
  <si>
    <t>Shear Stress in Internal Threads</t>
  </si>
  <si>
    <t>TsE</t>
  </si>
  <si>
    <t>TsI</t>
  </si>
  <si>
    <t xml:space="preserve">Internal Thread Factor of Safety </t>
  </si>
  <si>
    <t>FSe</t>
  </si>
  <si>
    <t>FSi</t>
  </si>
  <si>
    <t>K of entire grip</t>
  </si>
  <si>
    <t>Applied Tensile Load</t>
  </si>
  <si>
    <t>Applied Shear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</si>
</sst>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Ubuntu Mono"/>
      <family val="3"/>
    </font>
    <font>
      <b/>
      <sz val="12"/>
      <color theme="1"/>
      <name val="Ubuntu Mono"/>
      <family val="3"/>
    </font>
    <font>
      <b/>
      <sz val="14"/>
      <color theme="1"/>
      <name val="Ubuntu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6CBE-051C-4283-8F6A-905A3DD0C94A}">
  <dimension ref="A1:O28"/>
  <sheetViews>
    <sheetView tabSelected="1" zoomScale="70" zoomScaleNormal="70" workbookViewId="0">
      <selection activeCell="K5" sqref="K5"/>
    </sheetView>
  </sheetViews>
  <sheetFormatPr defaultRowHeight="15" x14ac:dyDescent="0.3"/>
  <cols>
    <col min="1" max="1" width="40" style="1" bestFit="1" customWidth="1"/>
    <col min="2" max="2" width="5.5546875" style="1" bestFit="1" customWidth="1"/>
    <col min="3" max="3" width="18.5546875" style="1" bestFit="1" customWidth="1"/>
    <col min="4" max="4" width="8.88671875" style="1"/>
    <col min="5" max="5" width="42.21875" style="1" bestFit="1" customWidth="1"/>
    <col min="6" max="6" width="6.6640625" style="1" bestFit="1" customWidth="1"/>
    <col min="7" max="7" width="16.33203125" style="1" bestFit="1" customWidth="1"/>
    <col min="8" max="8" width="2.21875" style="1" bestFit="1" customWidth="1"/>
    <col min="9" max="9" width="44.44140625" style="1" bestFit="1" customWidth="1"/>
    <col min="10" max="10" width="4.44140625" style="1" bestFit="1" customWidth="1"/>
    <col min="11" max="11" width="20.6640625" style="1" bestFit="1" customWidth="1"/>
    <col min="12" max="12" width="8.88671875" style="1"/>
    <col min="13" max="13" width="38.6640625" style="1" customWidth="1"/>
    <col min="14" max="14" width="5.5546875" style="1" bestFit="1" customWidth="1"/>
    <col min="15" max="15" width="18.5546875" style="1" bestFit="1" customWidth="1"/>
    <col min="16" max="16384" width="8.88671875" style="1"/>
  </cols>
  <sheetData>
    <row r="1" spans="1:15" ht="16.8" x14ac:dyDescent="0.3">
      <c r="A1" s="3" t="s">
        <v>22</v>
      </c>
      <c r="E1" s="3" t="s">
        <v>19</v>
      </c>
      <c r="I1" s="2" t="s">
        <v>43</v>
      </c>
      <c r="M1" s="3" t="s">
        <v>65</v>
      </c>
    </row>
    <row r="2" spans="1:15" x14ac:dyDescent="0.3">
      <c r="A2" s="1" t="s">
        <v>20</v>
      </c>
      <c r="B2" s="2" t="s">
        <v>24</v>
      </c>
      <c r="C2" s="1">
        <f>1/C3</f>
        <v>4.1666666666666664E-2</v>
      </c>
      <c r="E2" s="1" t="s">
        <v>25</v>
      </c>
      <c r="F2" s="2" t="s">
        <v>3</v>
      </c>
      <c r="G2" s="1">
        <f>C4-(1.299038/C3)</f>
        <v>0.13587341666666666</v>
      </c>
      <c r="I2" s="1" t="s">
        <v>46</v>
      </c>
      <c r="J2" s="2" t="s">
        <v>44</v>
      </c>
      <c r="K2" s="1">
        <f>G6*C7/K4</f>
        <v>3402344.843837746</v>
      </c>
      <c r="M2" s="1" t="s">
        <v>60</v>
      </c>
      <c r="N2" s="2" t="s">
        <v>61</v>
      </c>
      <c r="O2" s="1">
        <f>K6/(K6+K11)</f>
        <v>0.10251154439782752</v>
      </c>
    </row>
    <row r="3" spans="1:15" x14ac:dyDescent="0.3">
      <c r="A3" s="1" t="s">
        <v>21</v>
      </c>
      <c r="B3" s="2" t="s">
        <v>21</v>
      </c>
      <c r="C3" s="1">
        <v>24</v>
      </c>
      <c r="E3" s="1" t="s">
        <v>26</v>
      </c>
      <c r="F3" s="2" t="s">
        <v>4</v>
      </c>
      <c r="G3" s="1">
        <f>C4-(0.64951905/C3)</f>
        <v>0.16293670625000001</v>
      </c>
      <c r="I3" s="1" t="s">
        <v>45</v>
      </c>
      <c r="J3" s="2" t="s">
        <v>47</v>
      </c>
      <c r="K3" s="1">
        <f>G7*C7/K5</f>
        <v>1051880.8550831212</v>
      </c>
      <c r="M3" s="1" t="s">
        <v>62</v>
      </c>
      <c r="N3" s="2" t="s">
        <v>74</v>
      </c>
      <c r="O3" s="1">
        <f>G11/(1-O2)</f>
        <v>1875.2434726347246</v>
      </c>
    </row>
    <row r="4" spans="1:15" x14ac:dyDescent="0.3">
      <c r="A4" s="1" t="s">
        <v>23</v>
      </c>
      <c r="B4" s="2" t="s">
        <v>1</v>
      </c>
      <c r="C4" s="1">
        <v>0.19</v>
      </c>
      <c r="E4" s="1" t="s">
        <v>27</v>
      </c>
      <c r="F4" s="2" t="s">
        <v>0</v>
      </c>
      <c r="G4" s="1">
        <f>C4-(1.08253175/C3)</f>
        <v>0.14489451041666668</v>
      </c>
      <c r="I4" s="1" t="s">
        <v>49</v>
      </c>
      <c r="J4" s="2" t="s">
        <v>53</v>
      </c>
      <c r="K4" s="1">
        <v>0.25</v>
      </c>
      <c r="M4" s="1" t="s">
        <v>64</v>
      </c>
      <c r="N4" s="2" t="s">
        <v>75</v>
      </c>
      <c r="O4" s="1">
        <f>O3/O9</f>
        <v>6.1685640547194893</v>
      </c>
    </row>
    <row r="5" spans="1:15" x14ac:dyDescent="0.3">
      <c r="A5" s="1" t="s">
        <v>57</v>
      </c>
      <c r="B5" s="2" t="s">
        <v>17</v>
      </c>
      <c r="C5" s="1">
        <v>0.5</v>
      </c>
      <c r="E5" s="1" t="s">
        <v>28</v>
      </c>
      <c r="F5" s="2" t="s">
        <v>2</v>
      </c>
      <c r="G5" s="1">
        <f>C4-(0.64951905/C3)</f>
        <v>0.16293670625000001</v>
      </c>
      <c r="I5" s="1" t="s">
        <v>55</v>
      </c>
      <c r="J5" s="2" t="s">
        <v>56</v>
      </c>
      <c r="K5" s="1">
        <v>0.5</v>
      </c>
      <c r="N5" s="2"/>
    </row>
    <row r="6" spans="1:15" ht="16.8" x14ac:dyDescent="0.3">
      <c r="A6" s="1" t="s">
        <v>34</v>
      </c>
      <c r="B6" s="2" t="s">
        <v>9</v>
      </c>
      <c r="C6" s="1">
        <v>150000</v>
      </c>
      <c r="E6" s="1" t="s">
        <v>29</v>
      </c>
      <c r="F6" s="2" t="s">
        <v>5</v>
      </c>
      <c r="G6" s="1">
        <f>(PI()/4)*(C4)^2</f>
        <v>2.8352873698647883E-2</v>
      </c>
      <c r="I6" s="1" t="s">
        <v>50</v>
      </c>
      <c r="J6" s="2" t="s">
        <v>51</v>
      </c>
      <c r="K6" s="1">
        <f>(G6*G7*C7)/(G7*K4+G6*K5)</f>
        <v>803475.54110038793</v>
      </c>
      <c r="M6" s="3" t="s">
        <v>66</v>
      </c>
      <c r="N6" s="2"/>
    </row>
    <row r="7" spans="1:15" x14ac:dyDescent="0.3">
      <c r="A7" s="1" t="s">
        <v>48</v>
      </c>
      <c r="B7" s="2" t="s">
        <v>52</v>
      </c>
      <c r="C7" s="1">
        <v>30000000</v>
      </c>
      <c r="E7" s="1" t="s">
        <v>30</v>
      </c>
      <c r="F7" s="2" t="s">
        <v>6</v>
      </c>
      <c r="G7" s="1">
        <f>(PI()/4)*(C4-0.9743/C3)^2</f>
        <v>1.7531347584718686E-2</v>
      </c>
      <c r="I7" s="1" t="s">
        <v>54</v>
      </c>
      <c r="J7" s="2" t="s">
        <v>18</v>
      </c>
      <c r="K7" s="1">
        <v>0.5</v>
      </c>
      <c r="M7" s="1" t="s">
        <v>67</v>
      </c>
      <c r="N7" s="2" t="s">
        <v>68</v>
      </c>
      <c r="O7" s="1">
        <f>G11</f>
        <v>1683.0093681329938</v>
      </c>
    </row>
    <row r="8" spans="1:15" x14ac:dyDescent="0.3">
      <c r="E8" s="1" t="s">
        <v>31</v>
      </c>
      <c r="F8" s="2" t="s">
        <v>7</v>
      </c>
      <c r="G8" s="1">
        <f>(PI()/4)*G2^2</f>
        <v>1.4499695232536679E-2</v>
      </c>
      <c r="J8" s="2"/>
      <c r="M8" s="1" t="s">
        <v>69</v>
      </c>
      <c r="N8" s="2" t="s">
        <v>70</v>
      </c>
      <c r="O8" s="1">
        <f>O2*O9</f>
        <v>31.163509496939565</v>
      </c>
    </row>
    <row r="9" spans="1:15" x14ac:dyDescent="0.3">
      <c r="F9" s="2"/>
      <c r="J9" s="2"/>
      <c r="M9" s="1" t="s">
        <v>105</v>
      </c>
      <c r="N9" s="2" t="s">
        <v>71</v>
      </c>
      <c r="O9" s="1">
        <v>304</v>
      </c>
    </row>
    <row r="10" spans="1:15" ht="16.8" x14ac:dyDescent="0.3">
      <c r="E10" s="3" t="s">
        <v>32</v>
      </c>
      <c r="F10" s="2"/>
      <c r="I10" s="3" t="s">
        <v>58</v>
      </c>
      <c r="J10" s="2"/>
      <c r="M10" s="1" t="s">
        <v>72</v>
      </c>
      <c r="N10" s="2" t="s">
        <v>73</v>
      </c>
      <c r="O10" s="1">
        <f>O7+O8</f>
        <v>1714.1728776299333</v>
      </c>
    </row>
    <row r="11" spans="1:15" x14ac:dyDescent="0.3">
      <c r="E11" s="1" t="s">
        <v>33</v>
      </c>
      <c r="F11" s="2" t="s">
        <v>8</v>
      </c>
      <c r="G11" s="1">
        <f>0.64*C6*G7</f>
        <v>1683.0093681329938</v>
      </c>
      <c r="I11" s="1" t="s">
        <v>104</v>
      </c>
      <c r="J11" s="2" t="s">
        <v>59</v>
      </c>
      <c r="K11" s="1">
        <f>(PI()*C7*C4*TAN(0.523599))/(2*LN(5*K7*TAN(0.523599)+0.5*C4)/K7*TAN(0.523599)+2.5*C4)</f>
        <v>7034427.4562659813</v>
      </c>
      <c r="M11" s="1" t="s">
        <v>106</v>
      </c>
      <c r="N11" s="2" t="s">
        <v>63</v>
      </c>
      <c r="O11" s="1">
        <v>25</v>
      </c>
    </row>
    <row r="12" spans="1:15" x14ac:dyDescent="0.3">
      <c r="F12" s="2"/>
      <c r="N12" s="2"/>
    </row>
    <row r="13" spans="1:15" ht="16.8" x14ac:dyDescent="0.3">
      <c r="E13" s="3" t="s">
        <v>35</v>
      </c>
      <c r="F13" s="2"/>
      <c r="M13" s="3" t="s">
        <v>76</v>
      </c>
      <c r="N13" s="2"/>
    </row>
    <row r="14" spans="1:15" x14ac:dyDescent="0.3">
      <c r="E14" s="1" t="s">
        <v>35</v>
      </c>
      <c r="F14" s="2" t="s">
        <v>10</v>
      </c>
      <c r="G14" s="1">
        <f>G15*C4*G11</f>
        <v>65.387121408210305</v>
      </c>
      <c r="M14" s="1" t="s">
        <v>77</v>
      </c>
      <c r="N14" s="2" t="s">
        <v>81</v>
      </c>
      <c r="O14" s="1">
        <f>O7/G7</f>
        <v>96000</v>
      </c>
    </row>
    <row r="15" spans="1:15" x14ac:dyDescent="0.3">
      <c r="E15" s="1" t="s">
        <v>36</v>
      </c>
      <c r="F15" s="2" t="s">
        <v>11</v>
      </c>
      <c r="G15" s="1">
        <f>(G16/C4)*((G20+G18*G21)/(1-G18*G20*G21))+((G19*G17)/C4)</f>
        <v>0.20448058743458153</v>
      </c>
      <c r="M15" s="1" t="s">
        <v>78</v>
      </c>
      <c r="N15" s="2" t="s">
        <v>82</v>
      </c>
      <c r="O15" s="1">
        <f>O8/G7</f>
        <v>1777.5877950251493</v>
      </c>
    </row>
    <row r="16" spans="1:15" x14ac:dyDescent="0.3">
      <c r="E16" s="1" t="s">
        <v>37</v>
      </c>
      <c r="F16" s="2" t="s">
        <v>12</v>
      </c>
      <c r="G16" s="1">
        <f>(C4+G2)/4</f>
        <v>8.1468354166666673E-2</v>
      </c>
      <c r="M16" s="1" t="s">
        <v>79</v>
      </c>
      <c r="N16" s="2" t="s">
        <v>83</v>
      </c>
      <c r="O16" s="1">
        <f>O11/G2</f>
        <v>183.99478436117931</v>
      </c>
    </row>
    <row r="17" spans="5:15" x14ac:dyDescent="0.3">
      <c r="E17" s="1" t="s">
        <v>38</v>
      </c>
      <c r="F17" s="2" t="s">
        <v>39</v>
      </c>
      <c r="G17" s="1">
        <f>0.625*C4</f>
        <v>0.11874999999999999</v>
      </c>
      <c r="M17" s="1" t="s">
        <v>80</v>
      </c>
      <c r="N17" s="2" t="s">
        <v>84</v>
      </c>
      <c r="O17" s="1">
        <v>0</v>
      </c>
    </row>
    <row r="18" spans="5:15" x14ac:dyDescent="0.3">
      <c r="E18" s="1" t="s">
        <v>40</v>
      </c>
      <c r="F18" s="2" t="s">
        <v>13</v>
      </c>
      <c r="G18" s="1">
        <v>0.15</v>
      </c>
      <c r="M18" s="1" t="s">
        <v>85</v>
      </c>
      <c r="N18" s="2" t="s">
        <v>86</v>
      </c>
      <c r="O18" s="1">
        <f>SQRT((O14+O19*(O15))^2+3*(O19*O16)^2)</f>
        <v>99557.215889827974</v>
      </c>
    </row>
    <row r="19" spans="5:15" x14ac:dyDescent="0.3">
      <c r="E19" s="1" t="s">
        <v>40</v>
      </c>
      <c r="F19" s="2" t="s">
        <v>14</v>
      </c>
      <c r="G19" s="1">
        <v>0.15</v>
      </c>
      <c r="M19" s="1" t="s">
        <v>87</v>
      </c>
      <c r="N19" s="2" t="s">
        <v>88</v>
      </c>
      <c r="O19" s="1">
        <v>2</v>
      </c>
    </row>
    <row r="20" spans="5:15" x14ac:dyDescent="0.3">
      <c r="E20" s="1" t="s">
        <v>15</v>
      </c>
      <c r="F20" s="2" t="s">
        <v>15</v>
      </c>
      <c r="G20" s="1">
        <f>1/(2*PI()*G16*C3)</f>
        <v>8.1399164497613127E-2</v>
      </c>
      <c r="H20" s="1" t="s">
        <v>41</v>
      </c>
      <c r="N20" s="2"/>
    </row>
    <row r="21" spans="5:15" ht="16.8" x14ac:dyDescent="0.3">
      <c r="E21" s="1" t="s">
        <v>42</v>
      </c>
      <c r="F21" s="2" t="s">
        <v>16</v>
      </c>
      <c r="G21" s="1">
        <f>_xlfn.SEC(0.523599)</f>
        <v>1.1547006879804342</v>
      </c>
      <c r="M21" s="3" t="s">
        <v>89</v>
      </c>
      <c r="N21" s="2"/>
    </row>
    <row r="22" spans="5:15" x14ac:dyDescent="0.3">
      <c r="M22" s="1" t="s">
        <v>90</v>
      </c>
      <c r="N22" s="2" t="s">
        <v>91</v>
      </c>
      <c r="O22" s="1">
        <f>MIN(C4,K7)</f>
        <v>0.19</v>
      </c>
    </row>
    <row r="23" spans="5:15" x14ac:dyDescent="0.3">
      <c r="M23" s="1" t="s">
        <v>92</v>
      </c>
      <c r="N23" s="2" t="s">
        <v>93</v>
      </c>
      <c r="O23" s="1">
        <f>(5/8)*PI()*G3*O22</f>
        <v>6.0785840173420286E-2</v>
      </c>
    </row>
    <row r="24" spans="5:15" x14ac:dyDescent="0.3">
      <c r="M24" s="1" t="s">
        <v>94</v>
      </c>
      <c r="N24" s="2" t="s">
        <v>99</v>
      </c>
      <c r="O24" s="1">
        <f>O10/O23</f>
        <v>28200.200453583377</v>
      </c>
    </row>
    <row r="25" spans="5:15" x14ac:dyDescent="0.3">
      <c r="M25" s="1" t="s">
        <v>95</v>
      </c>
      <c r="N25" s="2" t="s">
        <v>102</v>
      </c>
      <c r="O25" s="1">
        <f>0.577*C6/O24</f>
        <v>3.069127119945779</v>
      </c>
    </row>
    <row r="26" spans="5:15" x14ac:dyDescent="0.3">
      <c r="M26" s="1" t="s">
        <v>96</v>
      </c>
      <c r="N26" s="2" t="s">
        <v>97</v>
      </c>
      <c r="O26" s="1">
        <f>(3/4)*PI()*G5*O22</f>
        <v>7.2943008208104343E-2</v>
      </c>
    </row>
    <row r="27" spans="5:15" x14ac:dyDescent="0.3">
      <c r="M27" s="1" t="s">
        <v>98</v>
      </c>
      <c r="N27" s="2" t="s">
        <v>100</v>
      </c>
      <c r="O27" s="1">
        <f>O10/O26</f>
        <v>23500.167044652811</v>
      </c>
    </row>
    <row r="28" spans="5:15" x14ac:dyDescent="0.3">
      <c r="M28" s="1" t="s">
        <v>101</v>
      </c>
      <c r="N28" s="2" t="s">
        <v>103</v>
      </c>
      <c r="O28" s="1">
        <f>0.577*C6/O27</f>
        <v>3.6829525439349351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Mathew</dc:creator>
  <cp:lastModifiedBy>JP Johnston</cp:lastModifiedBy>
  <dcterms:created xsi:type="dcterms:W3CDTF">2019-03-25T22:08:29Z</dcterms:created>
  <dcterms:modified xsi:type="dcterms:W3CDTF">2020-11-28T17:02:28Z</dcterms:modified>
</cp:coreProperties>
</file>