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nyder\Documents\cet86\"/>
    </mc:Choice>
  </mc:AlternateContent>
  <bookViews>
    <workbookView xWindow="360" yWindow="252" windowWidth="14892" windowHeight="8832" tabRatio="416"/>
  </bookViews>
  <sheets>
    <sheet name="HV-Hcomb" sheetId="2" r:id="rId1"/>
    <sheet name="stoich" sheetId="1" r:id="rId2"/>
  </sheets>
  <definedNames>
    <definedName name="solver_adj" localSheetId="0" hidden="1">'HV-Hcomb'!$G$20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'HV-Hcomb'!$J$20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-5430</definedName>
  </definedNames>
  <calcPr calcId="152511"/>
</workbook>
</file>

<file path=xl/calcChain.xml><?xml version="1.0" encoding="utf-8"?>
<calcChain xmlns="http://schemas.openxmlformats.org/spreadsheetml/2006/main">
  <c r="U74" i="2" l="1"/>
  <c r="S74" i="2"/>
  <c r="J74" i="2"/>
  <c r="N74" i="2" s="1"/>
  <c r="O74" i="2" s="1"/>
  <c r="P74" i="2" s="1"/>
  <c r="H74" i="2"/>
  <c r="E74" i="2"/>
  <c r="T74" i="2" s="1"/>
  <c r="S73" i="2"/>
  <c r="H73" i="2"/>
  <c r="E73" i="2"/>
  <c r="K73" i="2" s="1"/>
  <c r="S72" i="2"/>
  <c r="H72" i="2"/>
  <c r="E72" i="2"/>
  <c r="K72" i="2" s="1"/>
  <c r="S71" i="2"/>
  <c r="H71" i="2"/>
  <c r="E71" i="2"/>
  <c r="U71" i="2" s="1"/>
  <c r="S70" i="2"/>
  <c r="H70" i="2"/>
  <c r="E70" i="2"/>
  <c r="U70" i="2" s="1"/>
  <c r="S69" i="2"/>
  <c r="H69" i="2"/>
  <c r="E69" i="2"/>
  <c r="K69" i="2" s="1"/>
  <c r="J73" i="2" l="1"/>
  <c r="L73" i="2" s="1"/>
  <c r="U73" i="2"/>
  <c r="K74" i="2"/>
  <c r="T73" i="2"/>
  <c r="N73" i="2"/>
  <c r="O73" i="2" s="1"/>
  <c r="P73" i="2" s="1"/>
  <c r="T72" i="2"/>
  <c r="J72" i="2"/>
  <c r="U72" i="2"/>
  <c r="L74" i="2"/>
  <c r="J71" i="2"/>
  <c r="T71" i="2"/>
  <c r="K71" i="2"/>
  <c r="J70" i="2"/>
  <c r="T70" i="2"/>
  <c r="K70" i="2"/>
  <c r="T69" i="2"/>
  <c r="J69" i="2"/>
  <c r="U69" i="2"/>
  <c r="R23" i="1"/>
  <c r="R22" i="1"/>
  <c r="R21" i="1"/>
  <c r="R20" i="1"/>
  <c r="E13" i="1"/>
  <c r="K13" i="1"/>
  <c r="L13" i="1" s="1"/>
  <c r="H13" i="1"/>
  <c r="F13" i="1"/>
  <c r="G13" i="1"/>
  <c r="C13" i="1"/>
  <c r="R12" i="1"/>
  <c r="R11" i="1"/>
  <c r="R10" i="1"/>
  <c r="R9" i="1"/>
  <c r="R8" i="1"/>
  <c r="R7" i="1"/>
  <c r="R6" i="1"/>
  <c r="N31" i="1"/>
  <c r="N72" i="2" l="1"/>
  <c r="O72" i="2" s="1"/>
  <c r="P72" i="2" s="1"/>
  <c r="L72" i="2"/>
  <c r="L71" i="2"/>
  <c r="N71" i="2"/>
  <c r="O71" i="2" s="1"/>
  <c r="P71" i="2" s="1"/>
  <c r="L70" i="2"/>
  <c r="N70" i="2"/>
  <c r="O70" i="2" s="1"/>
  <c r="P70" i="2" s="1"/>
  <c r="N69" i="2"/>
  <c r="O69" i="2" s="1"/>
  <c r="P69" i="2" s="1"/>
  <c r="L69" i="2"/>
  <c r="R13" i="1"/>
  <c r="I13" i="1"/>
  <c r="J13" i="1"/>
  <c r="M13" i="1" s="1"/>
  <c r="N13" i="1" s="1"/>
  <c r="S23" i="2"/>
  <c r="H23" i="2"/>
  <c r="E23" i="2"/>
  <c r="T23" i="2" s="1"/>
  <c r="S24" i="2"/>
  <c r="H24" i="2"/>
  <c r="E24" i="2"/>
  <c r="U24" i="2" s="1"/>
  <c r="U23" i="2" l="1"/>
  <c r="K24" i="2"/>
  <c r="J23" i="2"/>
  <c r="N23" i="2" s="1"/>
  <c r="O23" i="2" s="1"/>
  <c r="P23" i="2" s="1"/>
  <c r="K23" i="2"/>
  <c r="L23" i="2"/>
  <c r="T24" i="2"/>
  <c r="J24" i="2"/>
  <c r="S68" i="2"/>
  <c r="T67" i="2"/>
  <c r="S67" i="2"/>
  <c r="K68" i="2"/>
  <c r="J68" i="2"/>
  <c r="N68" i="2" s="1"/>
  <c r="O68" i="2" s="1"/>
  <c r="P68" i="2" s="1"/>
  <c r="H68" i="2"/>
  <c r="E68" i="2"/>
  <c r="T68" i="2" s="1"/>
  <c r="H67" i="2"/>
  <c r="E67" i="2"/>
  <c r="K67" i="2" s="1"/>
  <c r="U68" i="2" l="1"/>
  <c r="J67" i="2"/>
  <c r="U67" i="2"/>
  <c r="N24" i="2"/>
  <c r="O24" i="2" s="1"/>
  <c r="P24" i="2" s="1"/>
  <c r="L24" i="2"/>
  <c r="L68" i="2"/>
  <c r="H65" i="2"/>
  <c r="E65" i="2"/>
  <c r="K65" i="2" s="1"/>
  <c r="U66" i="2"/>
  <c r="S66" i="2"/>
  <c r="J66" i="2"/>
  <c r="N66" i="2" s="1"/>
  <c r="O66" i="2" s="1"/>
  <c r="P66" i="2" s="1"/>
  <c r="H66" i="2"/>
  <c r="E66" i="2"/>
  <c r="T66" i="2" s="1"/>
  <c r="S65" i="2"/>
  <c r="U65" i="2"/>
  <c r="H64" i="2"/>
  <c r="E64" i="2"/>
  <c r="T64" i="2" s="1"/>
  <c r="S64" i="2"/>
  <c r="K66" i="2" l="1"/>
  <c r="K64" i="2"/>
  <c r="J64" i="2"/>
  <c r="L64" i="2" s="1"/>
  <c r="N67" i="2"/>
  <c r="O67" i="2" s="1"/>
  <c r="P67" i="2" s="1"/>
  <c r="L67" i="2"/>
  <c r="L66" i="2"/>
  <c r="T65" i="2"/>
  <c r="J65" i="2"/>
  <c r="N64" i="2"/>
  <c r="O64" i="2" s="1"/>
  <c r="P64" i="2" s="1"/>
  <c r="U64" i="2"/>
  <c r="S36" i="2"/>
  <c r="H36" i="2"/>
  <c r="E36" i="2"/>
  <c r="U36" i="2" s="1"/>
  <c r="N65" i="2" l="1"/>
  <c r="O65" i="2" s="1"/>
  <c r="P65" i="2" s="1"/>
  <c r="L65" i="2"/>
  <c r="T36" i="2"/>
  <c r="K36" i="2"/>
  <c r="J36" i="2"/>
  <c r="U63" i="2"/>
  <c r="S63" i="2"/>
  <c r="K63" i="2"/>
  <c r="J63" i="2"/>
  <c r="L63" i="2" s="1"/>
  <c r="H63" i="2"/>
  <c r="E63" i="2"/>
  <c r="T63" i="2" s="1"/>
  <c r="S62" i="2"/>
  <c r="H62" i="2"/>
  <c r="E62" i="2"/>
  <c r="U62" i="2" s="1"/>
  <c r="N63" i="2" l="1"/>
  <c r="O63" i="2" s="1"/>
  <c r="P63" i="2" s="1"/>
  <c r="N36" i="2"/>
  <c r="O36" i="2" s="1"/>
  <c r="P36" i="2" s="1"/>
  <c r="L36" i="2"/>
  <c r="K62" i="2"/>
  <c r="T62" i="2"/>
  <c r="J62" i="2"/>
  <c r="S61" i="2"/>
  <c r="H61" i="2"/>
  <c r="E61" i="2"/>
  <c r="K61" i="2" s="1"/>
  <c r="U60" i="2"/>
  <c r="S60" i="2"/>
  <c r="K60" i="2"/>
  <c r="J60" i="2"/>
  <c r="L60" i="2" s="1"/>
  <c r="H60" i="2"/>
  <c r="E60" i="2"/>
  <c r="T60" i="2" s="1"/>
  <c r="H59" i="2"/>
  <c r="J59" i="2"/>
  <c r="L59" i="2" s="1"/>
  <c r="E59" i="2"/>
  <c r="U59" i="2" s="1"/>
  <c r="S59" i="2"/>
  <c r="T61" i="2" l="1"/>
  <c r="K59" i="2"/>
  <c r="J61" i="2"/>
  <c r="L61" i="2" s="1"/>
  <c r="U61" i="2"/>
  <c r="N61" i="2"/>
  <c r="O61" i="2" s="1"/>
  <c r="P61" i="2" s="1"/>
  <c r="N62" i="2"/>
  <c r="O62" i="2" s="1"/>
  <c r="P62" i="2" s="1"/>
  <c r="L62" i="2"/>
  <c r="N60" i="2"/>
  <c r="O60" i="2" s="1"/>
  <c r="P60" i="2" s="1"/>
  <c r="N59" i="2"/>
  <c r="O59" i="2" s="1"/>
  <c r="P59" i="2" s="1"/>
  <c r="T59" i="2"/>
  <c r="T58" i="2"/>
  <c r="S58" i="2"/>
  <c r="H58" i="2"/>
  <c r="E58" i="2"/>
  <c r="K58" i="2" s="1"/>
  <c r="S57" i="2"/>
  <c r="K57" i="2"/>
  <c r="H57" i="2"/>
  <c r="E57" i="2"/>
  <c r="U57" i="2" s="1"/>
  <c r="U58" i="2" l="1"/>
  <c r="T57" i="2"/>
  <c r="J57" i="2"/>
  <c r="J58" i="2"/>
  <c r="L57" i="2" l="1"/>
  <c r="N57" i="2"/>
  <c r="O57" i="2" s="1"/>
  <c r="P57" i="2" s="1"/>
  <c r="N58" i="2"/>
  <c r="O58" i="2" s="1"/>
  <c r="P58" i="2" s="1"/>
  <c r="L58" i="2"/>
  <c r="S56" i="2" l="1"/>
  <c r="K56" i="2"/>
  <c r="H56" i="2"/>
  <c r="E56" i="2"/>
  <c r="T56" i="2" s="1"/>
  <c r="S55" i="2"/>
  <c r="H55" i="2"/>
  <c r="E55" i="2"/>
  <c r="T55" i="2" s="1"/>
  <c r="H54" i="2"/>
  <c r="J56" i="2" l="1"/>
  <c r="N56" i="2" s="1"/>
  <c r="O56" i="2" s="1"/>
  <c r="P56" i="2" s="1"/>
  <c r="U55" i="2"/>
  <c r="J55" i="2"/>
  <c r="N55" i="2" s="1"/>
  <c r="O55" i="2" s="1"/>
  <c r="P55" i="2" s="1"/>
  <c r="K55" i="2"/>
  <c r="U56" i="2"/>
  <c r="L55" i="2"/>
  <c r="E54" i="2"/>
  <c r="T54" i="2" s="1"/>
  <c r="S54" i="2"/>
  <c r="S32" i="2"/>
  <c r="H32" i="2"/>
  <c r="E32" i="2"/>
  <c r="U32" i="2" s="1"/>
  <c r="L56" i="2" l="1"/>
  <c r="K32" i="2"/>
  <c r="K54" i="2"/>
  <c r="J54" i="2"/>
  <c r="U54" i="2"/>
  <c r="T32" i="2"/>
  <c r="J32" i="2"/>
  <c r="S44" i="2"/>
  <c r="H44" i="2"/>
  <c r="E44" i="2"/>
  <c r="T44" i="2" s="1"/>
  <c r="S45" i="2"/>
  <c r="H45" i="2"/>
  <c r="E45" i="2"/>
  <c r="K45" i="2" s="1"/>
  <c r="U44" i="2" l="1"/>
  <c r="J44" i="2"/>
  <c r="L44" i="2" s="1"/>
  <c r="K44" i="2"/>
  <c r="N54" i="2"/>
  <c r="O54" i="2" s="1"/>
  <c r="P54" i="2" s="1"/>
  <c r="L54" i="2"/>
  <c r="N32" i="2"/>
  <c r="O32" i="2" s="1"/>
  <c r="P32" i="2" s="1"/>
  <c r="L32" i="2"/>
  <c r="T45" i="2"/>
  <c r="J45" i="2"/>
  <c r="U45" i="2"/>
  <c r="S28" i="2"/>
  <c r="K28" i="2"/>
  <c r="H28" i="2"/>
  <c r="E28" i="2"/>
  <c r="T28" i="2" s="1"/>
  <c r="S29" i="2"/>
  <c r="K29" i="2"/>
  <c r="H29" i="2"/>
  <c r="E29" i="2"/>
  <c r="T29" i="2" s="1"/>
  <c r="S27" i="2"/>
  <c r="H27" i="2"/>
  <c r="E27" i="2"/>
  <c r="U27" i="2" s="1"/>
  <c r="S30" i="2"/>
  <c r="H30" i="2"/>
  <c r="E30" i="2"/>
  <c r="U30" i="2" s="1"/>
  <c r="S26" i="2"/>
  <c r="H26" i="2"/>
  <c r="E26" i="2"/>
  <c r="U26" i="2" s="1"/>
  <c r="S25" i="2"/>
  <c r="H25" i="2"/>
  <c r="E25" i="2"/>
  <c r="T25" i="2" s="1"/>
  <c r="S22" i="2"/>
  <c r="H22" i="2"/>
  <c r="E22" i="2"/>
  <c r="K22" i="2" s="1"/>
  <c r="S31" i="2"/>
  <c r="H31" i="2"/>
  <c r="E31" i="2"/>
  <c r="K31" i="2" s="1"/>
  <c r="N44" i="2" l="1"/>
  <c r="O44" i="2" s="1"/>
  <c r="P44" i="2" s="1"/>
  <c r="U29" i="2"/>
  <c r="U28" i="2"/>
  <c r="J29" i="2"/>
  <c r="J28" i="2"/>
  <c r="N45" i="2"/>
  <c r="O45" i="2" s="1"/>
  <c r="P45" i="2" s="1"/>
  <c r="L45" i="2"/>
  <c r="J26" i="2"/>
  <c r="L26" i="2" s="1"/>
  <c r="J30" i="2"/>
  <c r="T30" i="2"/>
  <c r="J27" i="2"/>
  <c r="T27" i="2"/>
  <c r="U31" i="2"/>
  <c r="T26" i="2"/>
  <c r="J31" i="2"/>
  <c r="L31" i="2" s="1"/>
  <c r="K26" i="2"/>
  <c r="K30" i="2"/>
  <c r="K27" i="2"/>
  <c r="J25" i="2"/>
  <c r="L25" i="2" s="1"/>
  <c r="U25" i="2"/>
  <c r="T31" i="2"/>
  <c r="K25" i="2"/>
  <c r="N25" i="2"/>
  <c r="O25" i="2" s="1"/>
  <c r="P25" i="2" s="1"/>
  <c r="T22" i="2"/>
  <c r="J22" i="2"/>
  <c r="U22" i="2"/>
  <c r="L28" i="2" l="1"/>
  <c r="N28" i="2"/>
  <c r="O28" i="2" s="1"/>
  <c r="P28" i="2" s="1"/>
  <c r="L29" i="2"/>
  <c r="N29" i="2"/>
  <c r="O29" i="2" s="1"/>
  <c r="P29" i="2" s="1"/>
  <c r="N26" i="2"/>
  <c r="O26" i="2" s="1"/>
  <c r="P26" i="2" s="1"/>
  <c r="L30" i="2"/>
  <c r="N30" i="2"/>
  <c r="O30" i="2" s="1"/>
  <c r="P30" i="2" s="1"/>
  <c r="L27" i="2"/>
  <c r="N27" i="2"/>
  <c r="O27" i="2" s="1"/>
  <c r="P27" i="2" s="1"/>
  <c r="N31" i="2"/>
  <c r="O31" i="2" s="1"/>
  <c r="P31" i="2" s="1"/>
  <c r="N22" i="2"/>
  <c r="O22" i="2" s="1"/>
  <c r="P22" i="2" s="1"/>
  <c r="L22" i="2"/>
  <c r="S53" i="2"/>
  <c r="S52" i="2"/>
  <c r="S51" i="2"/>
  <c r="S50" i="2"/>
  <c r="S49" i="2"/>
  <c r="S48" i="2"/>
  <c r="S47" i="2"/>
  <c r="S46" i="2"/>
  <c r="S43" i="2"/>
  <c r="S42" i="2"/>
  <c r="S41" i="2"/>
  <c r="S40" i="2"/>
  <c r="S39" i="2"/>
  <c r="S38" i="2"/>
  <c r="S37" i="2"/>
  <c r="S34" i="2"/>
  <c r="S33" i="2"/>
  <c r="S21" i="2"/>
  <c r="S20" i="2"/>
  <c r="S19" i="2"/>
  <c r="S18" i="2"/>
  <c r="S17" i="2"/>
  <c r="H53" i="2" l="1"/>
  <c r="H52" i="2"/>
  <c r="H51" i="2"/>
  <c r="H50" i="2"/>
  <c r="H49" i="2"/>
  <c r="H48" i="2"/>
  <c r="H47" i="2"/>
  <c r="H46" i="2"/>
  <c r="H43" i="2"/>
  <c r="H42" i="2"/>
  <c r="H41" i="2"/>
  <c r="H40" i="2"/>
  <c r="H39" i="2"/>
  <c r="H38" i="2"/>
  <c r="H37" i="2"/>
  <c r="H35" i="2"/>
  <c r="H34" i="2"/>
  <c r="H33" i="2"/>
  <c r="H21" i="2"/>
  <c r="H20" i="2"/>
  <c r="H19" i="2"/>
  <c r="H18" i="2"/>
  <c r="H17" i="2"/>
  <c r="E38" i="2" l="1"/>
  <c r="E33" i="2"/>
  <c r="E34" i="2"/>
  <c r="J34" i="2" l="1"/>
  <c r="N34" i="2" s="1"/>
  <c r="O34" i="2" s="1"/>
  <c r="P34" i="2" s="1"/>
  <c r="T34" i="2"/>
  <c r="U34" i="2"/>
  <c r="J38" i="2"/>
  <c r="L38" i="2" s="1"/>
  <c r="T38" i="2"/>
  <c r="U38" i="2"/>
  <c r="K33" i="2"/>
  <c r="U33" i="2"/>
  <c r="T33" i="2"/>
  <c r="K38" i="2"/>
  <c r="J33" i="2"/>
  <c r="N33" i="2" s="1"/>
  <c r="O33" i="2" s="1"/>
  <c r="P33" i="2" s="1"/>
  <c r="K34" i="2"/>
  <c r="L34" i="2" l="1"/>
  <c r="N38" i="2"/>
  <c r="O38" i="2" s="1"/>
  <c r="P38" i="2" s="1"/>
  <c r="L33" i="2"/>
  <c r="N29" i="1"/>
  <c r="N28" i="1"/>
  <c r="N27" i="1"/>
  <c r="M30" i="1"/>
  <c r="N30" i="1" s="1"/>
  <c r="O28" i="1" l="1"/>
  <c r="E53" i="2"/>
  <c r="O30" i="1" l="1"/>
  <c r="J53" i="2"/>
  <c r="L53" i="2" s="1"/>
  <c r="T53" i="2"/>
  <c r="U53" i="2"/>
  <c r="O27" i="1"/>
  <c r="O29" i="1"/>
  <c r="K53" i="2"/>
  <c r="E48" i="2"/>
  <c r="E47" i="2"/>
  <c r="K47" i="2" s="1"/>
  <c r="N53" i="2" l="1"/>
  <c r="O53" i="2" s="1"/>
  <c r="P53" i="2" s="1"/>
  <c r="K48" i="2"/>
  <c r="T48" i="2"/>
  <c r="U48" i="2"/>
  <c r="J47" i="2"/>
  <c r="N47" i="2" s="1"/>
  <c r="O47" i="2" s="1"/>
  <c r="P47" i="2" s="1"/>
  <c r="U47" i="2"/>
  <c r="T47" i="2"/>
  <c r="J48" i="2"/>
  <c r="E52" i="2"/>
  <c r="E51" i="2"/>
  <c r="E50" i="2"/>
  <c r="J51" i="2" l="1"/>
  <c r="N51" i="2" s="1"/>
  <c r="O51" i="2" s="1"/>
  <c r="P51" i="2" s="1"/>
  <c r="U51" i="2"/>
  <c r="T51" i="2"/>
  <c r="K51" i="2"/>
  <c r="K52" i="2"/>
  <c r="T52" i="2"/>
  <c r="U52" i="2"/>
  <c r="K50" i="2"/>
  <c r="T50" i="2"/>
  <c r="U50" i="2"/>
  <c r="L47" i="2"/>
  <c r="N48" i="2"/>
  <c r="O48" i="2" s="1"/>
  <c r="P48" i="2" s="1"/>
  <c r="L48" i="2"/>
  <c r="J52" i="2"/>
  <c r="J50" i="2"/>
  <c r="E49" i="2"/>
  <c r="E46" i="2"/>
  <c r="E43" i="2"/>
  <c r="E42" i="2"/>
  <c r="E41" i="2"/>
  <c r="E40" i="2"/>
  <c r="J40" i="2" s="1"/>
  <c r="N40" i="2" s="1"/>
  <c r="O40" i="2" s="1"/>
  <c r="P40" i="2" s="1"/>
  <c r="E39" i="2"/>
  <c r="M23" i="1"/>
  <c r="N23" i="1" s="1"/>
  <c r="J23" i="1"/>
  <c r="H23" i="1"/>
  <c r="G23" i="1"/>
  <c r="M22" i="1"/>
  <c r="N22" i="1" s="1"/>
  <c r="J22" i="1"/>
  <c r="H22" i="1"/>
  <c r="G22" i="1"/>
  <c r="E23" i="1"/>
  <c r="K23" i="1" s="1"/>
  <c r="E22" i="1"/>
  <c r="C23" i="1"/>
  <c r="C22" i="1"/>
  <c r="K22" i="1" s="1"/>
  <c r="M21" i="1"/>
  <c r="N21" i="1" s="1"/>
  <c r="J21" i="1"/>
  <c r="H21" i="1"/>
  <c r="G21" i="1"/>
  <c r="E21" i="1"/>
  <c r="I21" i="1" s="1"/>
  <c r="C21" i="1"/>
  <c r="M20" i="1"/>
  <c r="N20" i="1" s="1"/>
  <c r="J20" i="1"/>
  <c r="H20" i="1"/>
  <c r="G20" i="1"/>
  <c r="E20" i="1"/>
  <c r="C20" i="1"/>
  <c r="L20" i="1" s="1"/>
  <c r="E37" i="2"/>
  <c r="E8" i="2"/>
  <c r="J8" i="2" s="1"/>
  <c r="E9" i="2"/>
  <c r="J9" i="2" s="1"/>
  <c r="E10" i="2"/>
  <c r="J10" i="2" s="1"/>
  <c r="E17" i="2"/>
  <c r="E18" i="2"/>
  <c r="E19" i="2"/>
  <c r="K19" i="2" s="1"/>
  <c r="E20" i="2"/>
  <c r="E21" i="2"/>
  <c r="E35" i="2"/>
  <c r="J35" i="2" s="1"/>
  <c r="C6" i="1"/>
  <c r="G6" i="1" s="1"/>
  <c r="E6" i="1"/>
  <c r="F6" i="1"/>
  <c r="H6" i="1"/>
  <c r="J6" i="1"/>
  <c r="K6" i="1"/>
  <c r="L6" i="1" s="1"/>
  <c r="C7" i="1"/>
  <c r="E7" i="1"/>
  <c r="I7" i="1" s="1"/>
  <c r="F7" i="1"/>
  <c r="H7" i="1"/>
  <c r="K7" i="1"/>
  <c r="L7" i="1" s="1"/>
  <c r="C8" i="1"/>
  <c r="G8" i="1" s="1"/>
  <c r="E8" i="1"/>
  <c r="F8" i="1"/>
  <c r="H8" i="1"/>
  <c r="K8" i="1"/>
  <c r="L8" i="1"/>
  <c r="C9" i="1"/>
  <c r="E9" i="1"/>
  <c r="G9" i="1" s="1"/>
  <c r="F9" i="1"/>
  <c r="H9" i="1"/>
  <c r="K9" i="1"/>
  <c r="L9" i="1" s="1"/>
  <c r="C10" i="1"/>
  <c r="E10" i="1"/>
  <c r="J10" i="1" s="1"/>
  <c r="F10" i="1"/>
  <c r="H10" i="1"/>
  <c r="K10" i="1"/>
  <c r="L10" i="1" s="1"/>
  <c r="C11" i="1"/>
  <c r="E11" i="1"/>
  <c r="J11" i="1" s="1"/>
  <c r="F11" i="1"/>
  <c r="H11" i="1"/>
  <c r="K11" i="1"/>
  <c r="L11" i="1" s="1"/>
  <c r="C12" i="1"/>
  <c r="E12" i="1"/>
  <c r="J12" i="1" s="1"/>
  <c r="F12" i="1"/>
  <c r="H12" i="1"/>
  <c r="K12" i="1"/>
  <c r="L12" i="1"/>
  <c r="L51" i="2" l="1"/>
  <c r="K10" i="2"/>
  <c r="K35" i="2"/>
  <c r="K8" i="2"/>
  <c r="M11" i="1"/>
  <c r="N11" i="1" s="1"/>
  <c r="I9" i="1"/>
  <c r="I20" i="1"/>
  <c r="J39" i="2"/>
  <c r="L39" i="2" s="1"/>
  <c r="U39" i="2"/>
  <c r="T39" i="2"/>
  <c r="T49" i="2"/>
  <c r="U49" i="2"/>
  <c r="J19" i="2"/>
  <c r="L19" i="2" s="1"/>
  <c r="T19" i="2"/>
  <c r="U19" i="2"/>
  <c r="K40" i="2"/>
  <c r="T40" i="2"/>
  <c r="U40" i="2"/>
  <c r="K42" i="2"/>
  <c r="T42" i="2"/>
  <c r="U42" i="2"/>
  <c r="J49" i="2"/>
  <c r="N49" i="2" s="1"/>
  <c r="O49" i="2" s="1"/>
  <c r="P49" i="2" s="1"/>
  <c r="J8" i="1"/>
  <c r="J20" i="2"/>
  <c r="N20" i="2" s="1"/>
  <c r="O20" i="2" s="1"/>
  <c r="P20" i="2" s="1"/>
  <c r="T20" i="2"/>
  <c r="U20" i="2"/>
  <c r="J17" i="2"/>
  <c r="L17" i="2" s="1"/>
  <c r="T17" i="2"/>
  <c r="U17" i="2"/>
  <c r="O20" i="1"/>
  <c r="P20" i="1" s="1"/>
  <c r="K46" i="2"/>
  <c r="T46" i="2"/>
  <c r="U46" i="2"/>
  <c r="I11" i="1"/>
  <c r="J41" i="2"/>
  <c r="N41" i="2" s="1"/>
  <c r="O41" i="2" s="1"/>
  <c r="P41" i="2" s="1"/>
  <c r="T41" i="2"/>
  <c r="U41" i="2"/>
  <c r="G12" i="1"/>
  <c r="G10" i="1"/>
  <c r="J21" i="2"/>
  <c r="L21" i="2" s="1"/>
  <c r="U21" i="2"/>
  <c r="T21" i="2"/>
  <c r="J18" i="2"/>
  <c r="N18" i="2" s="1"/>
  <c r="O18" i="2" s="1"/>
  <c r="P18" i="2" s="1"/>
  <c r="U18" i="2"/>
  <c r="T18" i="2"/>
  <c r="J37" i="2"/>
  <c r="L37" i="2" s="1"/>
  <c r="U37" i="2"/>
  <c r="T37" i="2"/>
  <c r="I22" i="1"/>
  <c r="K39" i="2"/>
  <c r="J43" i="2"/>
  <c r="N43" i="2" s="1"/>
  <c r="O43" i="2" s="1"/>
  <c r="P43" i="2" s="1"/>
  <c r="U43" i="2"/>
  <c r="T43" i="2"/>
  <c r="K49" i="2"/>
  <c r="K41" i="2"/>
  <c r="L52" i="2"/>
  <c r="N52" i="2"/>
  <c r="O52" i="2" s="1"/>
  <c r="P52" i="2" s="1"/>
  <c r="N50" i="2"/>
  <c r="O50" i="2" s="1"/>
  <c r="P50" i="2" s="1"/>
  <c r="L50" i="2"/>
  <c r="J46" i="2"/>
  <c r="L35" i="2"/>
  <c r="N35" i="2"/>
  <c r="O35" i="2" s="1"/>
  <c r="P35" i="2" s="1"/>
  <c r="L18" i="2"/>
  <c r="K20" i="2"/>
  <c r="K17" i="2"/>
  <c r="K20" i="1"/>
  <c r="L22" i="1"/>
  <c r="O22" i="1" s="1"/>
  <c r="P22" i="1" s="1"/>
  <c r="I23" i="1"/>
  <c r="M10" i="1"/>
  <c r="N10" i="1" s="1"/>
  <c r="M12" i="1"/>
  <c r="N12" i="1" s="1"/>
  <c r="G11" i="1"/>
  <c r="J9" i="1"/>
  <c r="M9" i="1" s="1"/>
  <c r="N9" i="1" s="1"/>
  <c r="M8" i="1"/>
  <c r="N8" i="1" s="1"/>
  <c r="K18" i="2"/>
  <c r="K9" i="2"/>
  <c r="L40" i="2"/>
  <c r="J7" i="1"/>
  <c r="M7" i="1" s="1"/>
  <c r="N7" i="1" s="1"/>
  <c r="M6" i="1"/>
  <c r="N6" i="1" s="1"/>
  <c r="K21" i="2"/>
  <c r="K21" i="1"/>
  <c r="L23" i="1"/>
  <c r="O23" i="1" s="1"/>
  <c r="P23" i="1" s="1"/>
  <c r="K43" i="2"/>
  <c r="L41" i="2"/>
  <c r="J42" i="2"/>
  <c r="L21" i="1"/>
  <c r="O21" i="1" s="1"/>
  <c r="P21" i="1" s="1"/>
  <c r="G7" i="1"/>
  <c r="I12" i="1"/>
  <c r="I10" i="1"/>
  <c r="I8" i="1"/>
  <c r="I6" i="1"/>
  <c r="K37" i="2"/>
  <c r="L43" i="2" l="1"/>
  <c r="N19" i="2"/>
  <c r="O19" i="2" s="1"/>
  <c r="P19" i="2" s="1"/>
  <c r="L49" i="2"/>
  <c r="L20" i="2"/>
  <c r="N37" i="2"/>
  <c r="O37" i="2" s="1"/>
  <c r="P37" i="2" s="1"/>
  <c r="N17" i="2"/>
  <c r="O17" i="2" s="1"/>
  <c r="P17" i="2" s="1"/>
  <c r="N39" i="2"/>
  <c r="O39" i="2" s="1"/>
  <c r="P39" i="2" s="1"/>
  <c r="N21" i="2"/>
  <c r="O21" i="2" s="1"/>
  <c r="P21" i="2" s="1"/>
  <c r="N46" i="2"/>
  <c r="O46" i="2" s="1"/>
  <c r="P46" i="2" s="1"/>
  <c r="L46" i="2"/>
  <c r="N42" i="2"/>
  <c r="O42" i="2" s="1"/>
  <c r="P42" i="2" s="1"/>
  <c r="L42" i="2"/>
</calcChain>
</file>

<file path=xl/comments1.xml><?xml version="1.0" encoding="utf-8"?>
<comments xmlns="http://schemas.openxmlformats.org/spreadsheetml/2006/main">
  <authors>
    <author>Snyder, Christopher A. (GRC-LTA0)</author>
    <author>Snyder, Christopher A. (GRC-RTM0)</author>
  </authors>
  <commentList>
    <comment ref="L16" authorId="0" shapeId="0">
      <text>
        <r>
          <rPr>
            <b/>
            <sz val="9"/>
            <color indexed="81"/>
            <rFont val="Tahoma"/>
            <charset val="1"/>
          </rPr>
          <t>Snyder, Christopher A. (GRC-LTA0):</t>
        </r>
        <r>
          <rPr>
            <sz val="9"/>
            <color indexed="81"/>
            <rFont val="Tahoma"/>
            <charset val="1"/>
          </rPr>
          <t xml:space="preserve">
Value one tends to use on CEA "reactant" card</t>
        </r>
      </text>
    </comment>
    <comment ref="A54" authorId="1" shapeId="0">
      <text>
        <r>
          <rPr>
            <b/>
            <sz val="9"/>
            <color indexed="81"/>
            <rFont val="Tahoma"/>
            <charset val="1"/>
          </rPr>
          <t>Snyder, Christopher A. (GRC-RTM0):</t>
        </r>
        <r>
          <rPr>
            <sz val="9"/>
            <color indexed="81"/>
            <rFont val="Tahoma"/>
            <charset val="1"/>
          </rPr>
          <t xml:space="preserve">
guess on LHV, delHf=-530.87 kcal/mol (NIST)</t>
        </r>
      </text>
    </comment>
    <comment ref="A56" authorId="1" shapeId="0">
      <text>
        <r>
          <rPr>
            <b/>
            <sz val="9"/>
            <color indexed="81"/>
            <rFont val="Tahoma"/>
            <charset val="1"/>
          </rPr>
          <t>Snyder, Christopher A. (GRC-RTM0):</t>
        </r>
        <r>
          <rPr>
            <sz val="9"/>
            <color indexed="81"/>
            <rFont val="Tahoma"/>
            <charset val="1"/>
          </rPr>
          <t xml:space="preserve">
guess on LHV, delHf=-2221200 kJ/mol (NIST)</t>
        </r>
      </text>
    </comment>
    <comment ref="L57" authorId="0" shapeId="0">
      <text>
        <r>
          <rPr>
            <b/>
            <sz val="9"/>
            <color indexed="81"/>
            <rFont val="Tahoma"/>
            <charset val="1"/>
          </rPr>
          <t>Snyder, Christopher A. (GRC-LTA0):</t>
        </r>
        <r>
          <rPr>
            <sz val="9"/>
            <color indexed="81"/>
            <rFont val="Tahoma"/>
            <charset val="1"/>
          </rPr>
          <t xml:space="preserve">
Value from thermo.inp</t>
        </r>
      </text>
    </comment>
    <comment ref="L58" authorId="0" shapeId="0">
      <text>
        <r>
          <rPr>
            <b/>
            <sz val="9"/>
            <color indexed="81"/>
            <rFont val="Tahoma"/>
            <charset val="1"/>
          </rPr>
          <t>Snyder, Christopher A. (GRC-LTA0):</t>
        </r>
        <r>
          <rPr>
            <sz val="9"/>
            <color indexed="81"/>
            <rFont val="Tahoma"/>
            <charset val="1"/>
          </rPr>
          <t xml:space="preserve">
Value from thermo.inp</t>
        </r>
      </text>
    </comment>
    <comment ref="D72" authorId="0" shapeId="0">
      <text>
        <r>
          <rPr>
            <b/>
            <sz val="9"/>
            <color indexed="81"/>
            <rFont val="Tahoma"/>
            <charset val="1"/>
          </rPr>
          <t>Snyder, Christopher A. (GRC-LTA0):</t>
        </r>
        <r>
          <rPr>
            <sz val="9"/>
            <color indexed="81"/>
            <rFont val="Tahoma"/>
            <charset val="1"/>
          </rPr>
          <t xml:space="preserve">
Would actually be 1 atom N)</t>
        </r>
      </text>
    </comment>
  </commentList>
</comments>
</file>

<file path=xl/sharedStrings.xml><?xml version="1.0" encoding="utf-8"?>
<sst xmlns="http://schemas.openxmlformats.org/spreadsheetml/2006/main" count="182" uniqueCount="104">
  <si>
    <t>Stoichiometric fuel to air ratio for HC fuels</t>
  </si>
  <si>
    <t xml:space="preserve">Air is </t>
  </si>
  <si>
    <t>O2 (by mass)</t>
  </si>
  <si>
    <t>CxHy + (x+y/4)O2  -&gt; xCO2 + (y/2)H2O</t>
  </si>
  <si>
    <t>C=</t>
  </si>
  <si>
    <t>H=</t>
  </si>
  <si>
    <t>O2=</t>
  </si>
  <si>
    <t>by atoms</t>
  </si>
  <si>
    <t>by mass</t>
  </si>
  <si>
    <t>mass</t>
  </si>
  <si>
    <t>atoms</t>
  </si>
  <si>
    <t>name</t>
  </si>
  <si>
    <t>x (C)</t>
  </si>
  <si>
    <t>m (C)</t>
  </si>
  <si>
    <t>y (H)</t>
  </si>
  <si>
    <t>m (H)</t>
  </si>
  <si>
    <t>H / C</t>
  </si>
  <si>
    <t>C/H</t>
  </si>
  <si>
    <t>"fuel"</t>
  </si>
  <si>
    <t>O2</t>
  </si>
  <si>
    <t>F/O</t>
  </si>
  <si>
    <t>F/Air</t>
  </si>
  <si>
    <t>H2</t>
  </si>
  <si>
    <t>Methane</t>
  </si>
  <si>
    <t>Octane</t>
  </si>
  <si>
    <t>ethylene</t>
  </si>
  <si>
    <t>JP5</t>
  </si>
  <si>
    <t>JP4</t>
  </si>
  <si>
    <t>acetylene</t>
  </si>
  <si>
    <t>Spreadsheet of HF298 program (get heat of formation at 298k for CEC)</t>
  </si>
  <si>
    <t>Get heating value from heat of formation</t>
  </si>
  <si>
    <t>HV = heating value (L for lower  [H2O as gas],  H for Higher [H2O as liquid]</t>
  </si>
  <si>
    <t>Atoms</t>
  </si>
  <si>
    <t>Mol.</t>
  </si>
  <si>
    <t>Comb.</t>
  </si>
  <si>
    <t>Heat of</t>
  </si>
  <si>
    <t>C</t>
  </si>
  <si>
    <t>H</t>
  </si>
  <si>
    <t>O</t>
  </si>
  <si>
    <t>wt.</t>
  </si>
  <si>
    <t>efficiency</t>
  </si>
  <si>
    <t>formation</t>
  </si>
  <si>
    <t>LHV</t>
  </si>
  <si>
    <t>HHV</t>
  </si>
  <si>
    <t>g/g-mole</t>
  </si>
  <si>
    <t>cal/mole</t>
  </si>
  <si>
    <t>BTU/lbm</t>
  </si>
  <si>
    <t>(Assume</t>
  </si>
  <si>
    <t>Get heat of formation from heating value</t>
  </si>
  <si>
    <t>liq. H2O)</t>
  </si>
  <si>
    <t>gas H2O)</t>
  </si>
  <si>
    <t>Heating</t>
  </si>
  <si>
    <t>Value</t>
  </si>
  <si>
    <t>Ethyl Stearate (Biodiesel heating value from wikipedia 37.27 MJ/kg)</t>
  </si>
  <si>
    <t>KJ/mole</t>
  </si>
  <si>
    <t>fuel value</t>
  </si>
  <si>
    <t>liq. h2o</t>
  </si>
  <si>
    <t>btu/lbm</t>
  </si>
  <si>
    <t>CxHyOz + (x+y/4-z/2)O2  -&gt; xCO2 + (y/2)H2O</t>
  </si>
  <si>
    <t>z (O)</t>
  </si>
  <si>
    <t>m (O)</t>
  </si>
  <si>
    <t>ethyl stearate</t>
  </si>
  <si>
    <t>methanol</t>
  </si>
  <si>
    <t>ethanol</t>
  </si>
  <si>
    <t>liq.</t>
  </si>
  <si>
    <t>gas</t>
  </si>
  <si>
    <t>gas?</t>
  </si>
  <si>
    <t>Atom</t>
  </si>
  <si>
    <t>N</t>
  </si>
  <si>
    <t>Ar</t>
  </si>
  <si>
    <t>CO2</t>
  </si>
  <si>
    <t>#</t>
  </si>
  <si>
    <t>atom wt</t>
  </si>
  <si>
    <t>wt</t>
  </si>
  <si>
    <t>Frac</t>
  </si>
  <si>
    <t>cal/g</t>
  </si>
  <si>
    <t>J/kg</t>
  </si>
  <si>
    <t>JP-4</t>
  </si>
  <si>
    <t>JP-5</t>
  </si>
  <si>
    <t>JP-7</t>
  </si>
  <si>
    <t>JP-10(L)</t>
  </si>
  <si>
    <t>Jet-A(L)</t>
  </si>
  <si>
    <t>RP-1</t>
  </si>
  <si>
    <t>MJ/kg</t>
  </si>
  <si>
    <t>set C=1</t>
  </si>
  <si>
    <t>% C</t>
  </si>
  <si>
    <t>% H</t>
  </si>
  <si>
    <t>sucrose</t>
  </si>
  <si>
    <t>paraffin wax</t>
  </si>
  <si>
    <t>Methane(g)</t>
  </si>
  <si>
    <t>LNG</t>
  </si>
  <si>
    <t>↓</t>
  </si>
  <si>
    <t>or</t>
  </si>
  <si>
    <t>PMMA</t>
  </si>
  <si>
    <t>gas, sls</t>
  </si>
  <si>
    <t>liq (20.27K)</t>
  </si>
  <si>
    <t>Kerosene</t>
  </si>
  <si>
    <t>standard state</t>
  </si>
  <si>
    <t>check on energy level</t>
  </si>
  <si>
    <t>lb CO2/ lb fuel</t>
  </si>
  <si>
    <t>diesel</t>
  </si>
  <si>
    <t>B-ABS</t>
  </si>
  <si>
    <t>S-ABS</t>
  </si>
  <si>
    <t>A-ABS-ish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</si>
</sst>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000000"/>
    <numFmt numFmtId="166" formatCode="0.00000"/>
    <numFmt numFmtId="167" formatCode="0.000"/>
    <numFmt numFmtId="168" formatCode="0.0000"/>
  </numFmts>
  <fonts count="10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2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6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2" fontId="7" fillId="0" borderId="0" xfId="0" applyNumberFormat="1" applyFont="1"/>
    <xf numFmtId="1" fontId="7" fillId="0" borderId="0" xfId="0" applyNumberFormat="1" applyFont="1"/>
    <xf numFmtId="166" fontId="7" fillId="0" borderId="0" xfId="0" applyNumberFormat="1" applyFont="1"/>
    <xf numFmtId="167" fontId="7" fillId="0" borderId="0" xfId="0" applyNumberFormat="1" applyFont="1"/>
    <xf numFmtId="0" fontId="8" fillId="0" borderId="0" xfId="0" applyFont="1"/>
    <xf numFmtId="164" fontId="7" fillId="0" borderId="0" xfId="0" applyNumberFormat="1" applyFont="1"/>
    <xf numFmtId="0" fontId="9" fillId="0" borderId="0" xfId="0" applyFont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Stoichiometric ratios</a:t>
            </a:r>
          </a:p>
        </c:rich>
      </c:tx>
      <c:layout>
        <c:manualLayout>
          <c:xMode val="edge"/>
          <c:yMode val="edge"/>
          <c:x val="0.33943089430894346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7154471544725"/>
          <c:y val="0.22837370242214533"/>
          <c:w val="0.64837398373983735"/>
          <c:h val="0.5328719723183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stoich!$M$5</c:f>
              <c:strCache>
                <c:ptCount val="1"/>
                <c:pt idx="0">
                  <c:v>F/O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stoich!$H$6:$H$12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0.44444444444444442</c:v>
                </c:pt>
                <c:pt idx="3">
                  <c:v>0.5</c:v>
                </c:pt>
                <c:pt idx="4">
                  <c:v>0.52124055251498569</c:v>
                </c:pt>
                <c:pt idx="5">
                  <c:v>0.51485352417237296</c:v>
                </c:pt>
                <c:pt idx="6">
                  <c:v>1</c:v>
                </c:pt>
              </c:numCache>
            </c:numRef>
          </c:xVal>
          <c:yVal>
            <c:numRef>
              <c:f>stoich!$M$6:$M$12</c:f>
              <c:numCache>
                <c:formatCode>General</c:formatCode>
                <c:ptCount val="7"/>
                <c:pt idx="0">
                  <c:v>0.12600393762305073</c:v>
                </c:pt>
                <c:pt idx="1">
                  <c:v>0.25067970874089818</c:v>
                </c:pt>
                <c:pt idx="2">
                  <c:v>0.2855889246538954</c:v>
                </c:pt>
                <c:pt idx="3">
                  <c:v>0.29223829911351396</c:v>
                </c:pt>
                <c:pt idx="4">
                  <c:v>0.29452740960797585</c:v>
                </c:pt>
                <c:pt idx="5">
                  <c:v>0.29385244223284485</c:v>
                </c:pt>
                <c:pt idx="6">
                  <c:v>0.32548517141160654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stoich!$N$5</c:f>
              <c:strCache>
                <c:ptCount val="1"/>
                <c:pt idx="0">
                  <c:v>F/Air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stoich!$H$6:$H$12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0.44444444444444442</c:v>
                </c:pt>
                <c:pt idx="3">
                  <c:v>0.5</c:v>
                </c:pt>
                <c:pt idx="4">
                  <c:v>0.52124055251498569</c:v>
                </c:pt>
                <c:pt idx="5">
                  <c:v>0.51485352417237296</c:v>
                </c:pt>
                <c:pt idx="6">
                  <c:v>1</c:v>
                </c:pt>
              </c:numCache>
            </c:numRef>
          </c:xVal>
          <c:yVal>
            <c:numRef>
              <c:f>stoich!$N$6:$N$12</c:f>
              <c:numCache>
                <c:formatCode>General</c:formatCode>
                <c:ptCount val="7"/>
                <c:pt idx="0">
                  <c:v>2.9162855339229354E-2</c:v>
                </c:pt>
                <c:pt idx="1">
                  <c:v>5.8018314509828438E-2</c:v>
                </c:pt>
                <c:pt idx="2">
                  <c:v>6.6097843077596169E-2</c:v>
                </c:pt>
                <c:pt idx="3">
                  <c:v>6.7636800900028132E-2</c:v>
                </c:pt>
                <c:pt idx="4">
                  <c:v>6.8166601789308362E-2</c:v>
                </c:pt>
                <c:pt idx="5">
                  <c:v>6.8010384640138546E-2</c:v>
                </c:pt>
                <c:pt idx="6">
                  <c:v>7.5331590012187866E-2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7856"/>
        <c:axId val="290497136"/>
      </c:scatterChart>
      <c:valAx>
        <c:axId val="29462785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C/H atom ratio</a:t>
                </a:r>
              </a:p>
            </c:rich>
          </c:tx>
          <c:layout>
            <c:manualLayout>
              <c:xMode val="edge"/>
              <c:yMode val="edge"/>
              <c:x val="0.38617886178861832"/>
              <c:y val="0.86851211072664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497136"/>
        <c:crosses val="autoZero"/>
        <c:crossBetween val="midCat"/>
      </c:valAx>
      <c:valAx>
        <c:axId val="29049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F/O or F/A stoichiometric</a:t>
                </a:r>
              </a:p>
            </c:rich>
          </c:tx>
          <c:layout>
            <c:manualLayout>
              <c:xMode val="edge"/>
              <c:yMode val="edge"/>
              <c:x val="2.4390243902439025E-2"/>
              <c:y val="0.2283737024221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627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56097560975607"/>
          <c:y val="0.42214532871972316"/>
          <c:w val="0.13617886178861779"/>
          <c:h val="0.15224913494809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25</xdr:row>
      <xdr:rowOff>95250</xdr:rowOff>
    </xdr:from>
    <xdr:to>
      <xdr:col>9</xdr:col>
      <xdr:colOff>504825</xdr:colOff>
      <xdr:row>42</xdr:row>
      <xdr:rowOff>95250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W74"/>
  <sheetViews>
    <sheetView tabSelected="1" workbookViewId="0">
      <pane ySplit="3180" activePane="bottomLeft"/>
      <selection activeCell="M26" sqref="M26"/>
      <selection pane="bottomLeft" activeCell="A62" sqref="A62"/>
    </sheetView>
  </sheetViews>
  <sheetFormatPr defaultRowHeight="13.2" x14ac:dyDescent="0.25"/>
  <cols>
    <col min="1" max="1" width="10.6640625" bestFit="1" customWidth="1"/>
    <col min="2" max="2" width="9.44140625" bestFit="1" customWidth="1"/>
    <col min="3" max="3" width="9.5546875" bestFit="1" customWidth="1"/>
    <col min="4" max="8" width="9.44140625" bestFit="1" customWidth="1"/>
    <col min="9" max="9" width="9.109375" style="6"/>
    <col min="10" max="11" width="9.44140625" bestFit="1" customWidth="1"/>
    <col min="12" max="12" width="10.88671875" customWidth="1"/>
    <col min="13" max="13" width="1.88671875" customWidth="1"/>
    <col min="14" max="14" width="9.44140625" bestFit="1" customWidth="1"/>
    <col min="15" max="15" width="10.44140625" bestFit="1" customWidth="1"/>
    <col min="16" max="16" width="9.88671875" bestFit="1" customWidth="1"/>
    <col min="18" max="21" width="9.44140625" bestFit="1" customWidth="1"/>
  </cols>
  <sheetData>
    <row r="2" spans="2:21" ht="13.8" x14ac:dyDescent="0.3">
      <c r="B2" t="s">
        <v>29</v>
      </c>
      <c r="J2" s="18" t="s">
        <v>91</v>
      </c>
      <c r="K2" s="3" t="s">
        <v>92</v>
      </c>
      <c r="L2" s="18" t="s">
        <v>91</v>
      </c>
    </row>
    <row r="4" spans="2:21" x14ac:dyDescent="0.25">
      <c r="B4" t="s">
        <v>30</v>
      </c>
      <c r="G4" t="s">
        <v>31</v>
      </c>
    </row>
    <row r="5" spans="2:21" x14ac:dyDescent="0.25">
      <c r="B5" t="s">
        <v>32</v>
      </c>
      <c r="E5" t="s">
        <v>33</v>
      </c>
      <c r="F5" t="s">
        <v>34</v>
      </c>
      <c r="G5" t="s">
        <v>35</v>
      </c>
    </row>
    <row r="6" spans="2:21" x14ac:dyDescent="0.25"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J6" t="s">
        <v>42</v>
      </c>
      <c r="K6" t="s">
        <v>43</v>
      </c>
    </row>
    <row r="7" spans="2:21" x14ac:dyDescent="0.25">
      <c r="E7" t="s">
        <v>44</v>
      </c>
      <c r="G7" t="s">
        <v>45</v>
      </c>
      <c r="J7" t="s">
        <v>46</v>
      </c>
      <c r="K7" t="s">
        <v>46</v>
      </c>
    </row>
    <row r="8" spans="2:21" x14ac:dyDescent="0.25">
      <c r="B8">
        <v>1</v>
      </c>
      <c r="C8">
        <v>1.9422999999999999</v>
      </c>
      <c r="D8">
        <v>0</v>
      </c>
      <c r="E8">
        <f>B8*12.011+C8*1.0079+D8*15.9994</f>
        <v>13.968644169999999</v>
      </c>
      <c r="F8">
        <v>0.995</v>
      </c>
      <c r="G8">
        <v>-5430</v>
      </c>
      <c r="J8">
        <f>(G8-B8*(-94054) - C8*(-57795)/2)*1.7988/(E8*F8)</f>
        <v>18733.9328525907</v>
      </c>
      <c r="K8">
        <f>(G8-B8*(-94054) - C8*(-68315)/2)*1.7988/(E8*F8)</f>
        <v>20056.164652991003</v>
      </c>
    </row>
    <row r="9" spans="2:21" x14ac:dyDescent="0.25">
      <c r="B9">
        <v>1</v>
      </c>
      <c r="C9">
        <v>1.9422999999999999</v>
      </c>
      <c r="D9">
        <v>0</v>
      </c>
      <c r="E9">
        <f>B9*12.011+C9*1.0079+D9*15.9994</f>
        <v>13.968644169999999</v>
      </c>
      <c r="F9">
        <v>1</v>
      </c>
      <c r="G9">
        <v>-5430</v>
      </c>
      <c r="J9">
        <f>(G9-B9*(-94054) - C9*(-57795)/2)*1.7988/(E9*F9)</f>
        <v>18640.263188327746</v>
      </c>
      <c r="K9">
        <f>(G9-B9*(-94054) - C9*(-68315)/2)*1.7988/(E9*F9)</f>
        <v>19955.883829726048</v>
      </c>
    </row>
    <row r="10" spans="2:21" x14ac:dyDescent="0.25">
      <c r="B10">
        <v>1</v>
      </c>
      <c r="C10">
        <v>1.9422999999999999</v>
      </c>
      <c r="D10">
        <v>0</v>
      </c>
      <c r="E10">
        <f>B10*12.011+C10*1.0079+D10*15.9994</f>
        <v>13.968644169999999</v>
      </c>
      <c r="F10">
        <v>1.002164687557388</v>
      </c>
      <c r="G10">
        <v>-5430</v>
      </c>
      <c r="J10">
        <f>(G10-B10*(-94054) - C10*(-57795)/2)*1.7988/(E10*F10)</f>
        <v>18599.999999760847</v>
      </c>
      <c r="K10">
        <f>(G10-B10*(-94054) - C10*(-68315)/2)*1.7988/(E10*F10)</f>
        <v>19912.778885040585</v>
      </c>
    </row>
    <row r="12" spans="2:21" x14ac:dyDescent="0.25">
      <c r="J12" t="s">
        <v>47</v>
      </c>
      <c r="K12" t="s">
        <v>47</v>
      </c>
      <c r="L12" t="s">
        <v>47</v>
      </c>
    </row>
    <row r="13" spans="2:21" x14ac:dyDescent="0.25">
      <c r="B13" t="s">
        <v>48</v>
      </c>
      <c r="J13" t="s">
        <v>49</v>
      </c>
      <c r="K13" t="s">
        <v>50</v>
      </c>
      <c r="L13" t="s">
        <v>49</v>
      </c>
    </row>
    <row r="14" spans="2:21" x14ac:dyDescent="0.25">
      <c r="B14" t="s">
        <v>32</v>
      </c>
      <c r="E14" t="s">
        <v>33</v>
      </c>
      <c r="F14" t="s">
        <v>34</v>
      </c>
      <c r="G14" t="s">
        <v>51</v>
      </c>
      <c r="H14" t="s">
        <v>51</v>
      </c>
      <c r="J14" t="s">
        <v>35</v>
      </c>
      <c r="K14" t="s">
        <v>35</v>
      </c>
      <c r="L14" t="s">
        <v>35</v>
      </c>
      <c r="N14" s="3" t="s">
        <v>56</v>
      </c>
      <c r="R14" t="s">
        <v>84</v>
      </c>
    </row>
    <row r="15" spans="2:21" x14ac:dyDescent="0.25"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52</v>
      </c>
      <c r="H15" t="s">
        <v>52</v>
      </c>
      <c r="J15" t="s">
        <v>41</v>
      </c>
      <c r="K15" t="s">
        <v>41</v>
      </c>
      <c r="L15" t="s">
        <v>41</v>
      </c>
      <c r="N15" s="3" t="s">
        <v>55</v>
      </c>
      <c r="R15" t="s">
        <v>8</v>
      </c>
    </row>
    <row r="16" spans="2:21" x14ac:dyDescent="0.25">
      <c r="E16" t="s">
        <v>44</v>
      </c>
      <c r="G16" t="s">
        <v>46</v>
      </c>
      <c r="H16" s="3" t="s">
        <v>83</v>
      </c>
      <c r="J16" t="s">
        <v>45</v>
      </c>
      <c r="K16" t="s">
        <v>45</v>
      </c>
      <c r="L16" s="3" t="s">
        <v>54</v>
      </c>
      <c r="M16" s="3"/>
      <c r="N16" s="3" t="s">
        <v>57</v>
      </c>
      <c r="O16" s="3" t="s">
        <v>75</v>
      </c>
      <c r="P16" s="3" t="s">
        <v>76</v>
      </c>
      <c r="R16" s="6" t="s">
        <v>36</v>
      </c>
      <c r="S16" s="6" t="s">
        <v>37</v>
      </c>
      <c r="T16" t="s">
        <v>85</v>
      </c>
      <c r="U16" t="s">
        <v>86</v>
      </c>
    </row>
    <row r="17" spans="1:21" x14ac:dyDescent="0.25">
      <c r="A17" t="s">
        <v>77</v>
      </c>
      <c r="B17">
        <v>1</v>
      </c>
      <c r="C17">
        <v>1.9422999999999999</v>
      </c>
      <c r="D17">
        <v>0</v>
      </c>
      <c r="E17">
        <f t="shared" ref="E17:E36" si="0">B17*12.011+C17*1.0079+D17*15.9994</f>
        <v>13.968644169999999</v>
      </c>
      <c r="F17">
        <v>0.995</v>
      </c>
      <c r="G17">
        <v>20056.16</v>
      </c>
      <c r="H17">
        <f>G17*0.001055/0.4536</f>
        <v>46.647373897707233</v>
      </c>
      <c r="J17">
        <f t="shared" ref="J17:J36" si="1">B17*(-94054)+C17*(-57795)/2 + E17*F17*G17/1.7988</f>
        <v>4786.4620477008284</v>
      </c>
      <c r="K17">
        <f t="shared" ref="K17:K36" si="2">B17*(-94054)+C17*(-68315)/2 + E17*F17*G17/1.7988</f>
        <v>-5430.035952299193</v>
      </c>
      <c r="L17">
        <f t="shared" ref="L17:L25" si="3">J17*4.1858</f>
        <v>20035.172839266128</v>
      </c>
      <c r="N17" s="10">
        <f t="shared" ref="N17:N40" si="4">J17/E17*453.6/252</f>
        <v>616.78367499438502</v>
      </c>
      <c r="O17" s="10">
        <f>N17*252.6/453.6</f>
        <v>343.47344864105304</v>
      </c>
      <c r="P17" s="4">
        <f>O17*4184</f>
        <v>1437092.9091141659</v>
      </c>
      <c r="R17" s="10">
        <v>1</v>
      </c>
      <c r="S17" s="11">
        <f>(C17*1.00794)/(B17*12.011)</f>
        <v>0.16299407726250939</v>
      </c>
      <c r="T17" s="12">
        <f>(B17*12.011)/E17*100</f>
        <v>85.985438914648796</v>
      </c>
      <c r="U17" s="12">
        <f>(C17*1.00794)/E17*100</f>
        <v>14.015117273905044</v>
      </c>
    </row>
    <row r="18" spans="1:21" x14ac:dyDescent="0.25">
      <c r="B18">
        <v>1</v>
      </c>
      <c r="C18">
        <v>1.9422999999999999</v>
      </c>
      <c r="D18">
        <v>0</v>
      </c>
      <c r="E18">
        <f t="shared" si="0"/>
        <v>13.968644169999999</v>
      </c>
      <c r="F18">
        <v>0.995</v>
      </c>
      <c r="G18">
        <v>18733.93</v>
      </c>
      <c r="H18">
        <f t="shared" ref="H18:H53" si="5">G18*0.001055/0.4536</f>
        <v>43.572081459435623</v>
      </c>
      <c r="J18">
        <f t="shared" si="1"/>
        <v>-5430.0220411331393</v>
      </c>
      <c r="K18">
        <f t="shared" si="2"/>
        <v>-15646.520041133161</v>
      </c>
      <c r="L18">
        <f t="shared" si="3"/>
        <v>-22728.986259775098</v>
      </c>
      <c r="N18" s="10">
        <f t="shared" si="4"/>
        <v>-699.71283934850578</v>
      </c>
      <c r="O18" s="10">
        <f t="shared" ref="O18:O53" si="6">N18*252.6/453.6</f>
        <v>-389.65490127740861</v>
      </c>
      <c r="P18" s="4">
        <f t="shared" ref="P18:P53" si="7">O18*4184</f>
        <v>-1630316.1069446777</v>
      </c>
      <c r="R18" s="10">
        <v>1</v>
      </c>
      <c r="S18" s="11">
        <f t="shared" ref="S18:S34" si="8">(C18*1.00794)/(B18*12.011)</f>
        <v>0.16299407726250939</v>
      </c>
      <c r="T18" s="12">
        <f t="shared" ref="T18:T34" si="9">(B18*12.011)/E18*100</f>
        <v>85.985438914648796</v>
      </c>
      <c r="U18" s="12">
        <f t="shared" ref="U18:U34" si="10">(C18*1.00794)/E18*100</f>
        <v>14.015117273905044</v>
      </c>
    </row>
    <row r="19" spans="1:21" x14ac:dyDescent="0.25">
      <c r="B19">
        <v>1</v>
      </c>
      <c r="C19">
        <v>1.9422999999999999</v>
      </c>
      <c r="D19">
        <v>0</v>
      </c>
      <c r="E19">
        <f t="shared" si="0"/>
        <v>13.968644169999999</v>
      </c>
      <c r="F19">
        <v>1</v>
      </c>
      <c r="G19">
        <v>18640</v>
      </c>
      <c r="H19">
        <f t="shared" si="5"/>
        <v>43.353615520282183</v>
      </c>
      <c r="J19">
        <f t="shared" si="1"/>
        <v>-5432.0437981431896</v>
      </c>
      <c r="K19">
        <f t="shared" si="2"/>
        <v>-15648.541798143211</v>
      </c>
      <c r="L19">
        <f t="shared" si="3"/>
        <v>-22737.448930267765</v>
      </c>
      <c r="N19" s="10">
        <f t="shared" si="4"/>
        <v>-699.9733630309621</v>
      </c>
      <c r="O19" s="10">
        <f t="shared" si="6"/>
        <v>-389.79998126459662</v>
      </c>
      <c r="P19" s="4">
        <f t="shared" si="7"/>
        <v>-1630923.1216110722</v>
      </c>
      <c r="R19" s="10">
        <v>1</v>
      </c>
      <c r="S19" s="11">
        <f t="shared" si="8"/>
        <v>0.16299407726250939</v>
      </c>
      <c r="T19" s="12">
        <f t="shared" si="9"/>
        <v>85.985438914648796</v>
      </c>
      <c r="U19" s="12">
        <f t="shared" si="10"/>
        <v>14.015117273905044</v>
      </c>
    </row>
    <row r="20" spans="1:21" x14ac:dyDescent="0.25">
      <c r="B20">
        <v>1</v>
      </c>
      <c r="C20">
        <v>1.9422999999999999</v>
      </c>
      <c r="D20">
        <v>0</v>
      </c>
      <c r="E20">
        <f t="shared" si="0"/>
        <v>13.968644169999999</v>
      </c>
      <c r="F20">
        <v>0.95</v>
      </c>
      <c r="G20">
        <v>19621.329671923941</v>
      </c>
      <c r="H20">
        <f t="shared" si="5"/>
        <v>45.636029109082358</v>
      </c>
      <c r="I20"/>
      <c r="J20">
        <f t="shared" si="1"/>
        <v>-5430.0000000000291</v>
      </c>
      <c r="K20">
        <f t="shared" si="2"/>
        <v>-15646.498000000051</v>
      </c>
      <c r="L20">
        <f t="shared" si="3"/>
        <v>-22728.894000000124</v>
      </c>
      <c r="N20">
        <f t="shared" si="4"/>
        <v>-699.70999912728485</v>
      </c>
      <c r="O20">
        <f t="shared" si="6"/>
        <v>-389.65331961982395</v>
      </c>
      <c r="P20">
        <f t="shared" si="7"/>
        <v>-1630309.4892893434</v>
      </c>
      <c r="R20">
        <v>1</v>
      </c>
      <c r="S20">
        <f t="shared" si="8"/>
        <v>0.16299407726250939</v>
      </c>
      <c r="T20">
        <f t="shared" si="9"/>
        <v>85.985438914648796</v>
      </c>
      <c r="U20">
        <f t="shared" si="10"/>
        <v>14.015117273905044</v>
      </c>
    </row>
    <row r="21" spans="1:21" x14ac:dyDescent="0.25">
      <c r="B21">
        <v>1</v>
      </c>
      <c r="C21">
        <v>1.9422999999999999</v>
      </c>
      <c r="D21">
        <v>0</v>
      </c>
      <c r="E21">
        <f t="shared" si="0"/>
        <v>13.968644169999999</v>
      </c>
      <c r="F21">
        <v>1</v>
      </c>
      <c r="G21">
        <v>18640</v>
      </c>
      <c r="H21">
        <f t="shared" si="5"/>
        <v>43.353615520282183</v>
      </c>
      <c r="J21">
        <f t="shared" si="1"/>
        <v>-5432.0437981431896</v>
      </c>
      <c r="K21">
        <f t="shared" si="2"/>
        <v>-15648.541798143211</v>
      </c>
      <c r="L21">
        <f t="shared" si="3"/>
        <v>-22737.448930267765</v>
      </c>
      <c r="N21" s="10">
        <f t="shared" si="4"/>
        <v>-699.9733630309621</v>
      </c>
      <c r="O21" s="10">
        <f t="shared" si="6"/>
        <v>-389.79998126459662</v>
      </c>
      <c r="P21" s="4">
        <f t="shared" si="7"/>
        <v>-1630923.1216110722</v>
      </c>
      <c r="R21" s="10">
        <v>1</v>
      </c>
      <c r="S21" s="11">
        <f t="shared" si="8"/>
        <v>0.16299407726250939</v>
      </c>
      <c r="T21" s="12">
        <f t="shared" si="9"/>
        <v>85.985438914648796</v>
      </c>
      <c r="U21" s="12">
        <f t="shared" si="10"/>
        <v>14.015117273905044</v>
      </c>
    </row>
    <row r="22" spans="1:21" s="13" customFormat="1" ht="13.8" x14ac:dyDescent="0.25">
      <c r="B22">
        <v>1</v>
      </c>
      <c r="C22" s="3">
        <v>1.9422999999999999</v>
      </c>
      <c r="D22" s="3">
        <v>0</v>
      </c>
      <c r="E22" s="3">
        <f t="shared" si="0"/>
        <v>13.968644169999999</v>
      </c>
      <c r="F22" s="3">
        <v>1</v>
      </c>
      <c r="G22" s="3">
        <v>18640</v>
      </c>
      <c r="H22" s="3">
        <f t="shared" si="5"/>
        <v>43.353615520282183</v>
      </c>
      <c r="I22" s="7"/>
      <c r="J22" s="3">
        <f t="shared" si="1"/>
        <v>-5432.0437981431896</v>
      </c>
      <c r="K22" s="3">
        <f t="shared" si="2"/>
        <v>-15648.541798143211</v>
      </c>
      <c r="L22" s="3">
        <f t="shared" si="3"/>
        <v>-22737.448930267765</v>
      </c>
      <c r="M22" s="3"/>
      <c r="N22" s="14">
        <f t="shared" si="4"/>
        <v>-699.9733630309621</v>
      </c>
      <c r="O22" s="14">
        <f t="shared" si="6"/>
        <v>-389.79998126459662</v>
      </c>
      <c r="P22" s="15">
        <f t="shared" si="7"/>
        <v>-1630923.1216110722</v>
      </c>
      <c r="Q22" s="3"/>
      <c r="R22" s="14">
        <v>1</v>
      </c>
      <c r="S22" s="16">
        <f t="shared" si="8"/>
        <v>0.16299407726250939</v>
      </c>
      <c r="T22" s="17">
        <f t="shared" si="9"/>
        <v>85.985438914648796</v>
      </c>
      <c r="U22" s="17">
        <f t="shared" si="10"/>
        <v>14.015117273905044</v>
      </c>
    </row>
    <row r="23" spans="1:21" s="27" customFormat="1" ht="13.8" x14ac:dyDescent="0.25">
      <c r="B23" s="21">
        <v>1</v>
      </c>
      <c r="C23" s="21">
        <v>1.94</v>
      </c>
      <c r="D23" s="21">
        <v>0</v>
      </c>
      <c r="E23" s="21">
        <f t="shared" si="0"/>
        <v>13.966325999999999</v>
      </c>
      <c r="F23" s="21">
        <v>1</v>
      </c>
      <c r="G23" s="21">
        <v>18640</v>
      </c>
      <c r="H23" s="21">
        <f t="shared" si="5"/>
        <v>43.353615520282183</v>
      </c>
      <c r="I23" s="22"/>
      <c r="J23" s="21">
        <f t="shared" si="1"/>
        <v>-5389.6015010006668</v>
      </c>
      <c r="K23" s="21">
        <f t="shared" si="2"/>
        <v>-15594.001501000661</v>
      </c>
      <c r="L23" s="28">
        <f t="shared" si="3"/>
        <v>-22559.793962888594</v>
      </c>
      <c r="M23" s="21"/>
      <c r="N23" s="23">
        <f t="shared" si="4"/>
        <v>-694.61952282949733</v>
      </c>
      <c r="O23" s="23">
        <f t="shared" si="6"/>
        <v>-386.81854379790792</v>
      </c>
      <c r="P23" s="24">
        <f t="shared" si="7"/>
        <v>-1618448.7872504469</v>
      </c>
      <c r="Q23" s="21"/>
      <c r="R23" s="23">
        <v>1</v>
      </c>
      <c r="S23" s="25">
        <f t="shared" si="8"/>
        <v>0.16280106568978439</v>
      </c>
      <c r="T23" s="26">
        <f t="shared" si="9"/>
        <v>85.999711019204341</v>
      </c>
      <c r="U23" s="26">
        <f t="shared" si="10"/>
        <v>14.00084460293996</v>
      </c>
    </row>
    <row r="24" spans="1:21" s="27" customFormat="1" ht="13.8" x14ac:dyDescent="0.25">
      <c r="B24" s="21">
        <v>1</v>
      </c>
      <c r="C24" s="21">
        <v>1.94</v>
      </c>
      <c r="D24" s="21">
        <v>0</v>
      </c>
      <c r="E24" s="21">
        <f t="shared" ref="E24" si="11">B24*12.011+C24*1.0079+D24*15.9994</f>
        <v>13.966325999999999</v>
      </c>
      <c r="F24" s="21">
        <v>1</v>
      </c>
      <c r="G24" s="21">
        <v>18635.212716480943</v>
      </c>
      <c r="H24" s="21">
        <f t="shared" ref="H24" si="12">G24*0.001055/0.4536</f>
        <v>43.34248107558949</v>
      </c>
      <c r="I24" s="22"/>
      <c r="J24" s="21">
        <f t="shared" ref="J24" si="13">B24*(-94054)+C24*(-57795)/2 + E24*F24*G24/1.7988</f>
        <v>-5426.7711487000051</v>
      </c>
      <c r="K24" s="21">
        <f t="shared" ref="K24" si="14">B24*(-94054)+C24*(-68315)/2 + E24*F24*G24/1.7988</f>
        <v>-15631.171148699999</v>
      </c>
      <c r="L24" s="28">
        <f t="shared" ref="L24" si="15">J24*4.1858</f>
        <v>-22715.378674228483</v>
      </c>
      <c r="M24" s="21"/>
      <c r="N24" s="23">
        <f t="shared" ref="N24" si="16">J24/E24*453.6/252</f>
        <v>-699.41000000000088</v>
      </c>
      <c r="O24" s="23">
        <f t="shared" ref="O24" si="17">N24*252.6/453.6</f>
        <v>-389.48625661375706</v>
      </c>
      <c r="P24" s="24">
        <f t="shared" ref="P24" si="18">O24*4184</f>
        <v>-1629610.4976719595</v>
      </c>
      <c r="Q24" s="21"/>
      <c r="R24" s="23">
        <v>1</v>
      </c>
      <c r="S24" s="25">
        <f t="shared" ref="S24" si="19">(C24*1.00794)/(B24*12.011)</f>
        <v>0.16280106568978439</v>
      </c>
      <c r="T24" s="26">
        <f t="shared" ref="T24" si="20">(B24*12.011)/E24*100</f>
        <v>85.999711019204341</v>
      </c>
      <c r="U24" s="26">
        <f t="shared" ref="U24" si="21">(C24*1.00794)/E24*100</f>
        <v>14.00084460293996</v>
      </c>
    </row>
    <row r="25" spans="1:21" s="27" customFormat="1" ht="13.8" x14ac:dyDescent="0.25">
      <c r="B25" s="21">
        <v>1</v>
      </c>
      <c r="C25" s="21">
        <v>1.94</v>
      </c>
      <c r="D25" s="21">
        <v>0</v>
      </c>
      <c r="E25" s="21">
        <f t="shared" si="0"/>
        <v>13.966325999999999</v>
      </c>
      <c r="F25" s="21">
        <v>1</v>
      </c>
      <c r="G25" s="21">
        <v>18300</v>
      </c>
      <c r="H25" s="21">
        <f t="shared" si="5"/>
        <v>42.56283068783069</v>
      </c>
      <c r="I25" s="22"/>
      <c r="J25" s="21">
        <f t="shared" si="1"/>
        <v>-8029.4451967978675</v>
      </c>
      <c r="K25" s="21">
        <f t="shared" si="2"/>
        <v>-18233.845196797862</v>
      </c>
      <c r="L25" s="28">
        <f t="shared" si="3"/>
        <v>-33609.651704756514</v>
      </c>
      <c r="M25" s="21"/>
      <c r="N25" s="23">
        <f t="shared" si="4"/>
        <v>-1034.8463407080833</v>
      </c>
      <c r="O25" s="23">
        <f t="shared" si="6"/>
        <v>-576.28347809272884</v>
      </c>
      <c r="P25" s="24">
        <f t="shared" si="7"/>
        <v>-2411170.0723399776</v>
      </c>
      <c r="Q25" s="21"/>
      <c r="R25" s="23">
        <v>1</v>
      </c>
      <c r="S25" s="25">
        <f t="shared" si="8"/>
        <v>0.16280106568978439</v>
      </c>
      <c r="T25" s="26">
        <f t="shared" si="9"/>
        <v>85.999711019204341</v>
      </c>
      <c r="U25" s="26">
        <f t="shared" si="10"/>
        <v>14.00084460293996</v>
      </c>
    </row>
    <row r="26" spans="1:21" s="13" customFormat="1" ht="13.8" x14ac:dyDescent="0.25">
      <c r="B26">
        <v>1</v>
      </c>
      <c r="C26" s="3">
        <v>1.94</v>
      </c>
      <c r="D26" s="3">
        <v>0</v>
      </c>
      <c r="E26" s="3">
        <f t="shared" ref="E26:E30" si="22">B26*12.011+C26*1.0079+D26*15.9994</f>
        <v>13.966325999999999</v>
      </c>
      <c r="F26" s="3">
        <v>1</v>
      </c>
      <c r="G26" s="3">
        <v>18635</v>
      </c>
      <c r="H26" s="3">
        <f t="shared" ref="H26:H30" si="23">G26*0.001055/0.4536</f>
        <v>43.341986331569657</v>
      </c>
      <c r="I26" s="7"/>
      <c r="J26" s="3">
        <f t="shared" ref="J26:J30" si="24">B26*(-94054)+C26*(-57795)/2 + E26*F26*G26/1.7988</f>
        <v>-5428.4227318212215</v>
      </c>
      <c r="K26" s="3">
        <f t="shared" ref="K26:K30" si="25">B26*(-94054)+C26*(-68315)/2 + E26*F26*G26/1.7988</f>
        <v>-15632.822731821216</v>
      </c>
      <c r="L26" s="3">
        <f t="shared" ref="L26:L30" si="26">J26*4.1858</f>
        <v>-22722.291870857272</v>
      </c>
      <c r="M26" s="3"/>
      <c r="N26" s="14">
        <f t="shared" ref="N26:N30" si="27">J26/E26*453.6/252</f>
        <v>-699.62285838653634</v>
      </c>
      <c r="O26" s="14">
        <f t="shared" ref="O26:O30" si="28">N26*252.6/453.6</f>
        <v>-389.60479283165574</v>
      </c>
      <c r="P26" s="15">
        <f t="shared" ref="P26:P30" si="29">O26*4184</f>
        <v>-1630106.4532076477</v>
      </c>
      <c r="Q26" s="3"/>
      <c r="R26" s="14">
        <v>1</v>
      </c>
      <c r="S26" s="16">
        <f t="shared" ref="S26:S30" si="30">(C26*1.00794)/(B26*12.011)</f>
        <v>0.16280106568978439</v>
      </c>
      <c r="T26" s="17">
        <f t="shared" ref="T26:T30" si="31">(B26*12.011)/E26*100</f>
        <v>85.999711019204341</v>
      </c>
      <c r="U26" s="17">
        <f t="shared" ref="U26:U30" si="32">(C26*1.00794)/E26*100</f>
        <v>14.00084460293996</v>
      </c>
    </row>
    <row r="27" spans="1:21" s="13" customFormat="1" ht="13.8" x14ac:dyDescent="0.25">
      <c r="B27">
        <v>1</v>
      </c>
      <c r="C27" s="3">
        <v>1.94</v>
      </c>
      <c r="D27" s="3">
        <v>0</v>
      </c>
      <c r="E27" s="3">
        <f t="shared" ref="E27" si="33">B27*12.011+C27*1.0079+D27*15.9994</f>
        <v>13.966325999999999</v>
      </c>
      <c r="F27" s="3">
        <v>0.99973000000000001</v>
      </c>
      <c r="G27" s="3">
        <v>18640</v>
      </c>
      <c r="H27" s="3">
        <f t="shared" ref="H27" si="34">G27*0.001055/0.4536</f>
        <v>43.353615520282183</v>
      </c>
      <c r="I27" s="7"/>
      <c r="J27" s="3">
        <f t="shared" ref="J27" si="35">B27*(-94054)+C27*(-57795)/2 + E27*F27*G27/1.7988</f>
        <v>-5428.6773990954098</v>
      </c>
      <c r="K27" s="3">
        <f t="shared" ref="K27" si="36">B27*(-94054)+C27*(-68315)/2 + E27*F27*G27/1.7988</f>
        <v>-15633.077399095404</v>
      </c>
      <c r="L27" s="3">
        <f t="shared" ref="L27" si="37">J27*4.1858</f>
        <v>-22723.357857133567</v>
      </c>
      <c r="M27" s="3"/>
      <c r="N27" s="14">
        <f t="shared" ref="N27" si="38">J27/E27*453.6/252</f>
        <v>-699.65568026779113</v>
      </c>
      <c r="O27" s="14">
        <f t="shared" ref="O27" si="39">N27*252.6/453.6</f>
        <v>-389.6230706253175</v>
      </c>
      <c r="P27" s="15">
        <f t="shared" ref="P27" si="40">O27*4184</f>
        <v>-1630182.9274963285</v>
      </c>
      <c r="Q27" s="3"/>
      <c r="R27" s="14">
        <v>1</v>
      </c>
      <c r="S27" s="16">
        <f t="shared" ref="S27" si="41">(C27*1.00794)/(B27*12.011)</f>
        <v>0.16280106568978439</v>
      </c>
      <c r="T27" s="17">
        <f t="shared" ref="T27" si="42">(B27*12.011)/E27*100</f>
        <v>85.999711019204341</v>
      </c>
      <c r="U27" s="17">
        <f t="shared" ref="U27" si="43">(C27*1.00794)/E27*100</f>
        <v>14.00084460293996</v>
      </c>
    </row>
    <row r="28" spans="1:21" s="13" customFormat="1" ht="13.8" x14ac:dyDescent="0.25">
      <c r="B28">
        <v>1</v>
      </c>
      <c r="C28" s="3">
        <v>1.94</v>
      </c>
      <c r="D28" s="3">
        <v>0</v>
      </c>
      <c r="E28" s="3">
        <f t="shared" ref="E28" si="44">B28*12.011+C28*1.0079+D28*15.9994</f>
        <v>13.966325999999999</v>
      </c>
      <c r="F28" s="3">
        <v>0.99973000000000001</v>
      </c>
      <c r="G28" s="3">
        <v>18640</v>
      </c>
      <c r="H28" s="3">
        <f t="shared" ref="H28" si="45">G28*0.001055/0.4536</f>
        <v>43.353615520282183</v>
      </c>
      <c r="I28" s="7"/>
      <c r="J28" s="3">
        <f t="shared" ref="J28" si="46">B28*(-94054)+C28*(-57795)/2 + E28*F28*G28/1.7988</f>
        <v>-5428.6773990954098</v>
      </c>
      <c r="K28" s="3">
        <f t="shared" ref="K28" si="47">B28*(-94054)+C28*(-68315)/2 + E28*F28*G28/1.7988</f>
        <v>-15633.077399095404</v>
      </c>
      <c r="L28" s="3">
        <f t="shared" ref="L28" si="48">J28*4.1858</f>
        <v>-22723.357857133567</v>
      </c>
      <c r="M28" s="3"/>
      <c r="N28" s="14">
        <f t="shared" ref="N28" si="49">J28/E28*453.6/252</f>
        <v>-699.65568026779113</v>
      </c>
      <c r="O28" s="14">
        <f t="shared" ref="O28" si="50">N28*252.6/453.6</f>
        <v>-389.6230706253175</v>
      </c>
      <c r="P28" s="15">
        <f t="shared" ref="P28" si="51">O28*4184</f>
        <v>-1630182.9274963285</v>
      </c>
      <c r="Q28" s="3"/>
      <c r="R28" s="14">
        <v>1</v>
      </c>
      <c r="S28" s="16">
        <f t="shared" ref="S28" si="52">(C28*1.00794)/(B28*12.011)</f>
        <v>0.16280106568978439</v>
      </c>
      <c r="T28" s="17">
        <f t="shared" ref="T28" si="53">(B28*12.011)/E28*100</f>
        <v>85.999711019204341</v>
      </c>
      <c r="U28" s="17">
        <f t="shared" ref="U28" si="54">(C28*1.00794)/E28*100</f>
        <v>14.00084460293996</v>
      </c>
    </row>
    <row r="29" spans="1:21" s="13" customFormat="1" ht="13.8" x14ac:dyDescent="0.25">
      <c r="B29">
        <v>10</v>
      </c>
      <c r="C29" s="3">
        <v>19.399999999999999</v>
      </c>
      <c r="D29" s="3">
        <v>0</v>
      </c>
      <c r="E29" s="3">
        <f t="shared" ref="E29" si="55">B29*12.011+C29*1.0079+D29*15.9994</f>
        <v>139.66325999999998</v>
      </c>
      <c r="F29" s="3">
        <v>0.99973000000000001</v>
      </c>
      <c r="G29" s="3">
        <v>18640</v>
      </c>
      <c r="H29" s="3">
        <f t="shared" ref="H29" si="56">G29*0.001055/0.4536</f>
        <v>43.353615520282183</v>
      </c>
      <c r="I29" s="7"/>
      <c r="J29" s="3">
        <f t="shared" ref="J29" si="57">B29*(-94054)+C29*(-57795)/2 + E29*F29*G29/1.7988</f>
        <v>-54286.77399095404</v>
      </c>
      <c r="K29" s="3">
        <f t="shared" ref="K29" si="58">B29*(-94054)+C29*(-68315)/2 + E29*F29*G29/1.7988</f>
        <v>-156330.77399095404</v>
      </c>
      <c r="L29" s="3">
        <f t="shared" ref="L29" si="59">J29*4.1858</f>
        <v>-227233.57857133544</v>
      </c>
      <c r="M29" s="3"/>
      <c r="N29" s="14">
        <f t="shared" ref="N29" si="60">J29/E29*453.6/252</f>
        <v>-699.65568026779033</v>
      </c>
      <c r="O29" s="14">
        <f t="shared" ref="O29" si="61">N29*252.6/453.6</f>
        <v>-389.62307062531704</v>
      </c>
      <c r="P29" s="15">
        <f t="shared" ref="P29" si="62">O29*4184</f>
        <v>-1630182.9274963264</v>
      </c>
      <c r="Q29" s="3"/>
      <c r="R29" s="14">
        <v>1</v>
      </c>
      <c r="S29" s="16">
        <f t="shared" ref="S29" si="63">(C29*1.00794)/(B29*12.011)</f>
        <v>0.16280106568978439</v>
      </c>
      <c r="T29" s="17">
        <f t="shared" ref="T29" si="64">(B29*12.011)/E29*100</f>
        <v>85.999711019204341</v>
      </c>
      <c r="U29" s="17">
        <f t="shared" ref="U29" si="65">(C29*1.00794)/E29*100</f>
        <v>14.00084460293996</v>
      </c>
    </row>
    <row r="30" spans="1:21" s="13" customFormat="1" ht="13.8" x14ac:dyDescent="0.25">
      <c r="B30">
        <v>1</v>
      </c>
      <c r="C30" s="3">
        <v>1.94</v>
      </c>
      <c r="D30" s="3">
        <v>0</v>
      </c>
      <c r="E30" s="3">
        <f t="shared" si="22"/>
        <v>13.966325999999999</v>
      </c>
      <c r="F30" s="3">
        <v>1</v>
      </c>
      <c r="G30" s="3">
        <v>18400</v>
      </c>
      <c r="H30" s="3">
        <f t="shared" si="23"/>
        <v>42.795414462081126</v>
      </c>
      <c r="I30" s="7"/>
      <c r="J30" s="3">
        <f t="shared" si="24"/>
        <v>-7253.0205803869176</v>
      </c>
      <c r="K30" s="3">
        <f t="shared" si="25"/>
        <v>-17457.420580386912</v>
      </c>
      <c r="L30" s="3">
        <f t="shared" si="26"/>
        <v>-30359.693545383561</v>
      </c>
      <c r="M30" s="3"/>
      <c r="N30" s="14">
        <f t="shared" si="27"/>
        <v>-934.77962956732176</v>
      </c>
      <c r="O30" s="14">
        <f t="shared" si="28"/>
        <v>-520.55849741778104</v>
      </c>
      <c r="P30" s="15">
        <f t="shared" si="29"/>
        <v>-2178016.7531959959</v>
      </c>
      <c r="Q30" s="3"/>
      <c r="R30" s="14">
        <v>1</v>
      </c>
      <c r="S30" s="16">
        <f t="shared" si="30"/>
        <v>0.16280106568978439</v>
      </c>
      <c r="T30" s="17">
        <f t="shared" si="31"/>
        <v>85.999711019204341</v>
      </c>
      <c r="U30" s="17">
        <f t="shared" si="32"/>
        <v>14.00084460293996</v>
      </c>
    </row>
    <row r="31" spans="1:21" s="13" customFormat="1" ht="13.8" x14ac:dyDescent="0.25">
      <c r="B31">
        <v>1</v>
      </c>
      <c r="C31" s="3">
        <v>1.94</v>
      </c>
      <c r="D31" s="3">
        <v>0</v>
      </c>
      <c r="E31" s="3">
        <f t="shared" ref="E31:E32" si="66">B31*12.011+C31*1.0079+D31*15.9994</f>
        <v>13.966325999999999</v>
      </c>
      <c r="F31" s="3">
        <v>0.99973000000000001</v>
      </c>
      <c r="G31" s="3">
        <v>18640</v>
      </c>
      <c r="H31" s="3">
        <f t="shared" ref="H31:H32" si="67">G31*0.001055/0.4536</f>
        <v>43.353615520282183</v>
      </c>
      <c r="I31" s="7"/>
      <c r="J31" s="3">
        <f t="shared" ref="J31:J32" si="68">B31*(-94054)+C31*(-57795)/2 + E31*F31*G31/1.7988</f>
        <v>-5428.6773990954098</v>
      </c>
      <c r="K31" s="3">
        <f t="shared" ref="K31:K32" si="69">B31*(-94054)+C31*(-68315)/2 + E31*F31*G31/1.7988</f>
        <v>-15633.077399095404</v>
      </c>
      <c r="L31" s="3">
        <f t="shared" ref="L31:L32" si="70">J31*4.1858</f>
        <v>-22723.357857133567</v>
      </c>
      <c r="M31" s="3"/>
      <c r="N31" s="14">
        <f t="shared" ref="N31:N32" si="71">J31/E31*453.6/252</f>
        <v>-699.65568026779113</v>
      </c>
      <c r="O31" s="14">
        <f t="shared" ref="O31:O32" si="72">N31*252.6/453.6</f>
        <v>-389.6230706253175</v>
      </c>
      <c r="P31" s="15">
        <f t="shared" ref="P31:P32" si="73">O31*4184</f>
        <v>-1630182.9274963285</v>
      </c>
      <c r="Q31" s="3"/>
      <c r="R31" s="14">
        <v>1</v>
      </c>
      <c r="S31" s="16">
        <f t="shared" ref="S31:S32" si="74">(C31*1.00794)/(B31*12.011)</f>
        <v>0.16280106568978439</v>
      </c>
      <c r="T31" s="17">
        <f t="shared" ref="T31:T32" si="75">(B31*12.011)/E31*100</f>
        <v>85.999711019204341</v>
      </c>
      <c r="U31" s="17">
        <f t="shared" ref="U31:U32" si="76">(C31*1.00794)/E31*100</f>
        <v>14.00084460293996</v>
      </c>
    </row>
    <row r="32" spans="1:21" x14ac:dyDescent="0.25">
      <c r="A32" t="s">
        <v>80</v>
      </c>
      <c r="B32">
        <v>10</v>
      </c>
      <c r="C32">
        <v>16</v>
      </c>
      <c r="D32">
        <v>0</v>
      </c>
      <c r="E32">
        <f t="shared" si="66"/>
        <v>136.23639999999997</v>
      </c>
      <c r="F32">
        <v>0.995</v>
      </c>
      <c r="G32">
        <v>18600</v>
      </c>
      <c r="H32">
        <f t="shared" si="67"/>
        <v>43.260582010582006</v>
      </c>
      <c r="J32">
        <f t="shared" si="68"/>
        <v>-1228.299533022102</v>
      </c>
      <c r="K32">
        <f t="shared" si="69"/>
        <v>-85388.299533022102</v>
      </c>
      <c r="L32">
        <f t="shared" si="70"/>
        <v>-5141.4161853239148</v>
      </c>
      <c r="N32" s="10">
        <f t="shared" si="71"/>
        <v>-16.228696291444756</v>
      </c>
      <c r="O32" s="10">
        <f t="shared" si="72"/>
        <v>-9.0374089136220128</v>
      </c>
      <c r="P32" s="4">
        <f t="shared" si="73"/>
        <v>-37812.518894594505</v>
      </c>
      <c r="R32" s="10">
        <v>1</v>
      </c>
      <c r="S32" s="11">
        <f t="shared" si="74"/>
        <v>0.13426892015652322</v>
      </c>
      <c r="T32" s="12">
        <f t="shared" si="75"/>
        <v>88.162928556538489</v>
      </c>
      <c r="U32" s="12">
        <f t="shared" si="76"/>
        <v>11.837541215123128</v>
      </c>
    </row>
    <row r="33" spans="1:21" s="21" customFormat="1" x14ac:dyDescent="0.25">
      <c r="B33" s="21">
        <v>10</v>
      </c>
      <c r="C33" s="21">
        <v>16</v>
      </c>
      <c r="D33" s="21">
        <v>0</v>
      </c>
      <c r="E33" s="21">
        <f t="shared" ref="E33" si="77">B33*12.011+C33*1.0079+D33*15.9994</f>
        <v>136.23639999999997</v>
      </c>
      <c r="F33" s="21">
        <v>1</v>
      </c>
      <c r="G33" s="21">
        <v>18135.861216916772</v>
      </c>
      <c r="H33" s="21">
        <f t="shared" si="5"/>
        <v>42.181070511126968</v>
      </c>
      <c r="I33" s="22"/>
      <c r="J33" s="21">
        <f t="shared" ref="J33" si="78">B33*(-94054)+C33*(-57795)/2 + E33*F33*G33/1.7988</f>
        <v>-29337.378756748978</v>
      </c>
      <c r="K33" s="21">
        <f t="shared" ref="K33" si="79">B33*(-94054)+C33*(-68315)/2 + E33*F33*G33/1.7988</f>
        <v>-113497.37875674898</v>
      </c>
      <c r="L33" s="21">
        <f t="shared" ref="L33" si="80">J33*4.1858</f>
        <v>-122800.39999999988</v>
      </c>
      <c r="N33" s="23">
        <f t="shared" si="4"/>
        <v>-387.61507029067246</v>
      </c>
      <c r="O33" s="23">
        <f t="shared" ref="O33" si="81">N33*252.6/453.6</f>
        <v>-215.85442406398556</v>
      </c>
      <c r="P33" s="24">
        <f t="shared" ref="P33" si="82">O33*4184</f>
        <v>-903134.91028371558</v>
      </c>
      <c r="R33" s="23">
        <v>1</v>
      </c>
      <c r="S33" s="25">
        <f t="shared" si="8"/>
        <v>0.13426892015652322</v>
      </c>
      <c r="T33" s="26">
        <f t="shared" si="9"/>
        <v>88.162928556538489</v>
      </c>
      <c r="U33" s="26">
        <f t="shared" si="10"/>
        <v>11.837541215123128</v>
      </c>
    </row>
    <row r="34" spans="1:21" x14ac:dyDescent="0.25">
      <c r="A34" t="s">
        <v>79</v>
      </c>
      <c r="B34">
        <v>1</v>
      </c>
      <c r="C34">
        <v>2.0044</v>
      </c>
      <c r="D34">
        <v>0</v>
      </c>
      <c r="E34">
        <f t="shared" ref="E34" si="83">B34*12.011+C34*1.0079+D34*15.9994</f>
        <v>14.03123476</v>
      </c>
      <c r="F34">
        <v>1</v>
      </c>
      <c r="G34">
        <v>18875</v>
      </c>
      <c r="H34">
        <f t="shared" si="5"/>
        <v>43.900187389770714</v>
      </c>
      <c r="J34">
        <f t="shared" ref="J34" si="84">B34*(-94054)+C34*(-57795)/2 + E34*F34*G34/1.7988</f>
        <v>-4744.9081199688662</v>
      </c>
      <c r="K34">
        <f t="shared" ref="K34" si="85">B34*(-94054)+C34*(-68315)/2 + E34*F34*G34/1.7988</f>
        <v>-15288.052119968866</v>
      </c>
      <c r="L34">
        <f t="shared" ref="L34" si="86">J34*4.1858</f>
        <v>-19861.236408565681</v>
      </c>
      <c r="N34" s="10">
        <f t="shared" si="4"/>
        <v>-608.7015691799287</v>
      </c>
      <c r="O34" s="10">
        <f t="shared" ref="O34" si="87">N34*252.6/453.6</f>
        <v>-338.97269923908721</v>
      </c>
      <c r="P34" s="4">
        <f t="shared" ref="P34" si="88">O34*4184</f>
        <v>-1418261.7736163409</v>
      </c>
      <c r="R34" s="10">
        <v>1</v>
      </c>
      <c r="S34" s="11">
        <f t="shared" si="8"/>
        <v>0.16820538972608445</v>
      </c>
      <c r="T34" s="12">
        <f t="shared" si="9"/>
        <v>85.601874713412599</v>
      </c>
      <c r="U34" s="12">
        <f t="shared" si="10"/>
        <v>14.398696697453021</v>
      </c>
    </row>
    <row r="35" spans="1:21" x14ac:dyDescent="0.25">
      <c r="B35">
        <v>20</v>
      </c>
      <c r="C35">
        <v>40</v>
      </c>
      <c r="D35">
        <v>2</v>
      </c>
      <c r="E35">
        <f t="shared" si="0"/>
        <v>312.53479999999996</v>
      </c>
      <c r="F35">
        <v>0.995</v>
      </c>
      <c r="G35" s="8">
        <v>16058</v>
      </c>
      <c r="H35">
        <f t="shared" si="5"/>
        <v>37.348302469135803</v>
      </c>
      <c r="J35">
        <f t="shared" si="1"/>
        <v>-260912.39976206422</v>
      </c>
      <c r="K35">
        <f t="shared" si="2"/>
        <v>-471312.39976206422</v>
      </c>
      <c r="L35">
        <f>J35*4.1858</f>
        <v>-1092127.1229240485</v>
      </c>
      <c r="N35" s="10">
        <f t="shared" si="4"/>
        <v>-1502.6880832845354</v>
      </c>
      <c r="O35" s="10">
        <f t="shared" si="6"/>
        <v>-836.81439558570014</v>
      </c>
      <c r="P35" s="4">
        <f t="shared" si="7"/>
        <v>-3501231.4311305694</v>
      </c>
      <c r="Q35" s="8" t="s">
        <v>53</v>
      </c>
      <c r="R35" s="10"/>
      <c r="S35" s="11"/>
    </row>
    <row r="36" spans="1:21" x14ac:dyDescent="0.25">
      <c r="A36" t="s">
        <v>78</v>
      </c>
      <c r="B36">
        <v>1</v>
      </c>
      <c r="C36">
        <v>1.92</v>
      </c>
      <c r="D36">
        <v>0</v>
      </c>
      <c r="E36">
        <f t="shared" si="0"/>
        <v>13.946168</v>
      </c>
      <c r="F36">
        <v>1</v>
      </c>
      <c r="G36">
        <v>18600</v>
      </c>
      <c r="H36">
        <f t="shared" ref="H36" si="89">G36*0.001055/0.4536</f>
        <v>43.260582010582006</v>
      </c>
      <c r="J36">
        <f t="shared" si="1"/>
        <v>-5330.6596397598623</v>
      </c>
      <c r="K36">
        <f t="shared" si="2"/>
        <v>-15429.859639759845</v>
      </c>
      <c r="L36">
        <f>J36*4.1858</f>
        <v>-22313.075120106834</v>
      </c>
      <c r="N36" s="10">
        <f t="shared" ref="N36" si="90">J36/E36*453.6/252</f>
        <v>-688.01604509337278</v>
      </c>
      <c r="O36" s="10">
        <f t="shared" ref="O36" si="91">N36*252.6/453.6</f>
        <v>-383.14121029670622</v>
      </c>
      <c r="P36" s="4">
        <f t="shared" ref="P36" si="92">O36*4184</f>
        <v>-1603062.8238814189</v>
      </c>
      <c r="R36" s="10">
        <v>1</v>
      </c>
      <c r="S36" s="11">
        <f t="shared" ref="S36" si="93">(C36*1.00794)/(B36*12.011)</f>
        <v>0.16112270418782784</v>
      </c>
      <c r="T36" s="12">
        <f t="shared" ref="T36" si="94">(B36*12.011)/E36*100</f>
        <v>86.124016288918924</v>
      </c>
      <c r="U36" s="12">
        <f t="shared" ref="U36" si="95">(C36*1.00794)/E36*100</f>
        <v>13.87653439998715</v>
      </c>
    </row>
    <row r="37" spans="1:21" x14ac:dyDescent="0.25">
      <c r="B37">
        <v>1</v>
      </c>
      <c r="C37">
        <v>1.92</v>
      </c>
      <c r="D37">
        <v>0</v>
      </c>
      <c r="E37">
        <f t="shared" ref="E37:E41" si="96">B37*12.011+C37*1.0079+D37*15.9994</f>
        <v>13.946168</v>
      </c>
      <c r="F37">
        <v>1</v>
      </c>
      <c r="G37">
        <v>18600</v>
      </c>
      <c r="H37">
        <f t="shared" si="5"/>
        <v>43.260582010582006</v>
      </c>
      <c r="J37">
        <f t="shared" ref="J37:J41" si="97">B37*(-94054)+C37*(-57795)/2 + E37*F37*G37/1.7988</f>
        <v>-5330.6596397598623</v>
      </c>
      <c r="K37">
        <f t="shared" ref="K37:K41" si="98">B37*(-94054)+C37*(-68315)/2 + E37*F37*G37/1.7988</f>
        <v>-15429.859639759845</v>
      </c>
      <c r="L37">
        <f>J37*4.1858</f>
        <v>-22313.075120106834</v>
      </c>
      <c r="N37" s="10">
        <f t="shared" si="4"/>
        <v>-688.01604509337278</v>
      </c>
      <c r="O37" s="10">
        <f t="shared" si="6"/>
        <v>-383.14121029670622</v>
      </c>
      <c r="P37" s="4">
        <f t="shared" si="7"/>
        <v>-1603062.8238814189</v>
      </c>
      <c r="R37" s="10">
        <v>1</v>
      </c>
      <c r="S37" s="11">
        <f t="shared" ref="S37:S53" si="99">(C37*1.00794)/(B37*12.011)</f>
        <v>0.16112270418782784</v>
      </c>
      <c r="T37" s="12">
        <f t="shared" ref="T37:T53" si="100">(B37*12.011)/E37*100</f>
        <v>86.124016288918924</v>
      </c>
      <c r="U37" s="12">
        <f t="shared" ref="U37:U53" si="101">(C37*1.00794)/E37*100</f>
        <v>13.87653439998715</v>
      </c>
    </row>
    <row r="38" spans="1:21" s="21" customFormat="1" x14ac:dyDescent="0.25">
      <c r="A38" s="21" t="s">
        <v>82</v>
      </c>
      <c r="B38" s="21">
        <v>1</v>
      </c>
      <c r="C38" s="21">
        <v>1.95</v>
      </c>
      <c r="D38" s="21">
        <v>0</v>
      </c>
      <c r="E38" s="21">
        <f t="shared" si="96"/>
        <v>13.976405</v>
      </c>
      <c r="F38" s="21">
        <v>1</v>
      </c>
      <c r="G38" s="21">
        <v>18597.399636316295</v>
      </c>
      <c r="H38" s="21">
        <f t="shared" si="5"/>
        <v>43.25453398658221</v>
      </c>
      <c r="I38" s="22"/>
      <c r="J38" s="21">
        <f t="shared" si="97"/>
        <v>-5905.1316355296585</v>
      </c>
      <c r="K38" s="21">
        <f t="shared" si="98"/>
        <v>-16162.131635529659</v>
      </c>
      <c r="L38" s="21">
        <f>J38*4.1858</f>
        <v>-24717.700000000048</v>
      </c>
      <c r="N38" s="23">
        <f t="shared" si="4"/>
        <v>-760.51294620851252</v>
      </c>
      <c r="O38" s="23">
        <f t="shared" si="6"/>
        <v>-423.51316184362929</v>
      </c>
      <c r="P38" s="24">
        <f t="shared" si="7"/>
        <v>-1771979.069153745</v>
      </c>
      <c r="R38" s="23">
        <v>1</v>
      </c>
      <c r="S38" s="25">
        <f t="shared" si="99"/>
        <v>0.16364024644076267</v>
      </c>
      <c r="T38" s="26">
        <f t="shared" si="100"/>
        <v>85.93769284733807</v>
      </c>
      <c r="U38" s="26">
        <f t="shared" si="101"/>
        <v>14.062865236088967</v>
      </c>
    </row>
    <row r="39" spans="1:21" x14ac:dyDescent="0.25">
      <c r="B39">
        <v>1</v>
      </c>
      <c r="C39">
        <v>4</v>
      </c>
      <c r="D39">
        <v>1</v>
      </c>
      <c r="E39">
        <f t="shared" si="96"/>
        <v>32.042000000000002</v>
      </c>
      <c r="F39">
        <v>1</v>
      </c>
      <c r="G39">
        <v>8581</v>
      </c>
      <c r="H39">
        <f t="shared" si="5"/>
        <v>19.958013668430333</v>
      </c>
      <c r="J39">
        <f t="shared" si="97"/>
        <v>-56790.76339782076</v>
      </c>
      <c r="K39">
        <f t="shared" si="98"/>
        <v>-77830.76339782076</v>
      </c>
      <c r="L39">
        <f t="shared" ref="L39:L42" si="102">J39*4.1858</f>
        <v>-237714.77743059816</v>
      </c>
      <c r="N39" s="10">
        <f t="shared" si="4"/>
        <v>-3190.2931813269265</v>
      </c>
      <c r="O39" s="10">
        <f t="shared" si="6"/>
        <v>-1776.6050652627459</v>
      </c>
      <c r="P39" s="4">
        <f t="shared" si="7"/>
        <v>-7433315.5930593293</v>
      </c>
      <c r="R39" s="10">
        <v>1</v>
      </c>
      <c r="S39" s="11">
        <f t="shared" si="99"/>
        <v>0.33567230039130802</v>
      </c>
      <c r="T39" s="12">
        <f t="shared" si="100"/>
        <v>37.485175706884711</v>
      </c>
      <c r="U39" s="12">
        <f t="shared" si="101"/>
        <v>12.582735160102365</v>
      </c>
    </row>
    <row r="40" spans="1:21" x14ac:dyDescent="0.25">
      <c r="B40">
        <v>2</v>
      </c>
      <c r="C40">
        <v>6</v>
      </c>
      <c r="D40">
        <v>1</v>
      </c>
      <c r="E40">
        <f t="shared" si="96"/>
        <v>46.068799999999996</v>
      </c>
      <c r="F40">
        <v>1</v>
      </c>
      <c r="G40">
        <v>11542</v>
      </c>
      <c r="H40">
        <f t="shared" si="5"/>
        <v>26.84481922398589</v>
      </c>
      <c r="J40">
        <f t="shared" si="97"/>
        <v>-65892.54992217035</v>
      </c>
      <c r="K40">
        <f t="shared" si="98"/>
        <v>-97452.54992217035</v>
      </c>
      <c r="L40">
        <f t="shared" si="102"/>
        <v>-275813.03546422068</v>
      </c>
      <c r="N40" s="10">
        <f t="shared" si="4"/>
        <v>-2574.5534908638092</v>
      </c>
      <c r="O40" s="10">
        <f t="shared" si="6"/>
        <v>-1433.7129889598725</v>
      </c>
      <c r="P40" s="4">
        <f t="shared" si="7"/>
        <v>-5998655.1458081063</v>
      </c>
      <c r="R40" s="10">
        <v>1</v>
      </c>
      <c r="S40" s="11">
        <f t="shared" si="99"/>
        <v>0.25175422529348102</v>
      </c>
      <c r="T40" s="12">
        <f t="shared" si="100"/>
        <v>52.143750217066653</v>
      </c>
      <c r="U40" s="12">
        <f t="shared" si="101"/>
        <v>13.127409439794397</v>
      </c>
    </row>
    <row r="41" spans="1:21" x14ac:dyDescent="0.25">
      <c r="B41">
        <v>1</v>
      </c>
      <c r="C41">
        <v>1.91</v>
      </c>
      <c r="D41">
        <v>0</v>
      </c>
      <c r="E41">
        <f t="shared" si="96"/>
        <v>13.936088999999999</v>
      </c>
      <c r="F41">
        <v>1</v>
      </c>
      <c r="G41">
        <v>18640</v>
      </c>
      <c r="H41">
        <f t="shared" si="5"/>
        <v>43.353615520282183</v>
      </c>
      <c r="J41">
        <f t="shared" si="97"/>
        <v>-4836.0063208806096</v>
      </c>
      <c r="K41">
        <f t="shared" si="98"/>
        <v>-14882.606320880615</v>
      </c>
      <c r="L41">
        <f t="shared" si="102"/>
        <v>-20242.555257942058</v>
      </c>
      <c r="N41" s="10">
        <f t="shared" ref="N41" si="103">J41/E41*453.6/252</f>
        <v>-624.62369303074183</v>
      </c>
      <c r="O41" s="10">
        <f t="shared" si="6"/>
        <v>-347.83938461103475</v>
      </c>
      <c r="P41" s="4">
        <f t="shared" si="7"/>
        <v>-1455359.9852125694</v>
      </c>
      <c r="R41" s="10">
        <v>1</v>
      </c>
      <c r="S41" s="11">
        <f t="shared" si="99"/>
        <v>0.16028352343684957</v>
      </c>
      <c r="T41" s="12">
        <f t="shared" si="100"/>
        <v>86.186303775758034</v>
      </c>
      <c r="U41" s="12">
        <f t="shared" si="101"/>
        <v>13.814244441177149</v>
      </c>
    </row>
    <row r="42" spans="1:21" x14ac:dyDescent="0.25">
      <c r="B42">
        <v>1</v>
      </c>
      <c r="C42">
        <v>1.94</v>
      </c>
      <c r="D42">
        <v>0</v>
      </c>
      <c r="E42">
        <f t="shared" ref="E42" si="104">B42*12.011+C42*1.0079+D42*15.9994</f>
        <v>13.966325999999999</v>
      </c>
      <c r="F42">
        <v>1</v>
      </c>
      <c r="G42">
        <v>18640</v>
      </c>
      <c r="H42">
        <f t="shared" si="5"/>
        <v>43.353615520282183</v>
      </c>
      <c r="J42">
        <f t="shared" ref="J42" si="105">B42*(-94054)+C42*(-57795)/2 + E42*F42*G42/1.7988</f>
        <v>-5389.6015010006668</v>
      </c>
      <c r="K42">
        <f t="shared" ref="K42" si="106">B42*(-94054)+C42*(-68315)/2 + E42*F42*G42/1.7988</f>
        <v>-15594.001501000661</v>
      </c>
      <c r="L42">
        <f t="shared" si="102"/>
        <v>-22559.793962888594</v>
      </c>
      <c r="N42" s="10">
        <f t="shared" ref="N42" si="107">J42/E42*453.6/252</f>
        <v>-694.61952282949733</v>
      </c>
      <c r="O42" s="10">
        <f t="shared" si="6"/>
        <v>-386.81854379790792</v>
      </c>
      <c r="P42" s="4">
        <f t="shared" si="7"/>
        <v>-1618448.7872504469</v>
      </c>
      <c r="R42" s="10">
        <v>1</v>
      </c>
      <c r="S42" s="11">
        <f t="shared" si="99"/>
        <v>0.16280106568978439</v>
      </c>
      <c r="T42" s="12">
        <f t="shared" si="100"/>
        <v>85.999711019204341</v>
      </c>
      <c r="U42" s="12">
        <f t="shared" si="101"/>
        <v>14.00084460293996</v>
      </c>
    </row>
    <row r="43" spans="1:21" x14ac:dyDescent="0.25">
      <c r="A43" t="s">
        <v>81</v>
      </c>
      <c r="B43">
        <v>12</v>
      </c>
      <c r="C43">
        <v>23</v>
      </c>
      <c r="D43">
        <v>0</v>
      </c>
      <c r="E43">
        <f t="shared" ref="E43:E45" si="108">B43*12.011+C43*1.0079+D43*15.9994</f>
        <v>167.31370000000001</v>
      </c>
      <c r="F43">
        <v>1</v>
      </c>
      <c r="G43">
        <v>18500</v>
      </c>
      <c r="H43">
        <f t="shared" si="5"/>
        <v>43.027998236331563</v>
      </c>
      <c r="I43" s="7" t="s">
        <v>64</v>
      </c>
      <c r="J43">
        <f t="shared" ref="J43:J45" si="109">B43*(-94054)+C43*(-57795)/2 + E43*F43*G43/1.7988</f>
        <v>-72530.29875472514</v>
      </c>
      <c r="K43">
        <f t="shared" ref="K43:K45" si="110">B43*(-94054)+C43*(-68315)/2 + E43*F43*G43/1.7988</f>
        <v>-193510.29875472514</v>
      </c>
      <c r="L43">
        <f t="shared" ref="L43:L45" si="111">J43*4.1858</f>
        <v>-303597.32452752854</v>
      </c>
      <c r="N43" s="10">
        <f t="shared" ref="N43:N45" si="112">J43/E43*453.6/252</f>
        <v>-780.29795383465455</v>
      </c>
      <c r="O43" s="10">
        <f t="shared" si="6"/>
        <v>-434.53100339204968</v>
      </c>
      <c r="P43" s="4">
        <f t="shared" si="7"/>
        <v>-1818077.7181923359</v>
      </c>
      <c r="R43" s="10">
        <v>1</v>
      </c>
      <c r="S43" s="11">
        <f t="shared" si="99"/>
        <v>0.16084297727083507</v>
      </c>
      <c r="T43" s="12">
        <f t="shared" si="100"/>
        <v>86.144768778647531</v>
      </c>
      <c r="U43" s="12">
        <f t="shared" si="101"/>
        <v>13.855781086665347</v>
      </c>
    </row>
    <row r="44" spans="1:21" x14ac:dyDescent="0.25">
      <c r="B44">
        <v>12</v>
      </c>
      <c r="C44">
        <v>23</v>
      </c>
      <c r="D44">
        <v>0</v>
      </c>
      <c r="E44">
        <f t="shared" ref="E44" si="113">B44*12.011+C44*1.0079+D44*15.9994</f>
        <v>167.31370000000001</v>
      </c>
      <c r="F44">
        <v>1</v>
      </c>
      <c r="G44">
        <v>19079.911088532099</v>
      </c>
      <c r="H44">
        <f t="shared" si="5"/>
        <v>44.376777333336335</v>
      </c>
      <c r="I44" s="7" t="s">
        <v>64</v>
      </c>
      <c r="J44">
        <f t="shared" ref="J44" si="114">B44*(-94054)+C44*(-57795)/2 + E44*F44*G44/1.7988</f>
        <v>-18590.411111111054</v>
      </c>
      <c r="K44">
        <f t="shared" ref="K44" si="115">B44*(-94054)+C44*(-68315)/2 + E44*F44*G44/1.7988</f>
        <v>-139570.41111111105</v>
      </c>
      <c r="L44">
        <f t="shared" ref="L44" si="116">J44*4.1858</f>
        <v>-77815.742828888659</v>
      </c>
      <c r="N44" s="10">
        <f t="shared" ref="N44" si="117">J44/E44*453.6/252</f>
        <v>-199.99999999999937</v>
      </c>
      <c r="O44" s="10">
        <f t="shared" si="6"/>
        <v>-111.37566137566101</v>
      </c>
      <c r="P44" s="4">
        <f t="shared" si="7"/>
        <v>-465995.76719576569</v>
      </c>
      <c r="R44" s="10">
        <v>1</v>
      </c>
      <c r="S44" s="11">
        <f t="shared" si="99"/>
        <v>0.16084297727083507</v>
      </c>
      <c r="T44" s="12">
        <f t="shared" si="100"/>
        <v>86.144768778647531</v>
      </c>
      <c r="U44" s="12">
        <f t="shared" si="101"/>
        <v>13.855781086665347</v>
      </c>
    </row>
    <row r="45" spans="1:21" x14ac:dyDescent="0.25">
      <c r="B45">
        <v>12</v>
      </c>
      <c r="C45">
        <v>23</v>
      </c>
      <c r="D45">
        <v>0</v>
      </c>
      <c r="E45">
        <f t="shared" si="108"/>
        <v>167.31370000000001</v>
      </c>
      <c r="F45">
        <v>1</v>
      </c>
      <c r="G45">
        <v>18500.499114885457</v>
      </c>
      <c r="H45">
        <f t="shared" ref="H45" si="118">G45*0.001055/0.4536</f>
        <v>43.029159096570012</v>
      </c>
      <c r="I45" s="7" t="s">
        <v>64</v>
      </c>
      <c r="J45">
        <f t="shared" si="109"/>
        <v>-72483.874050360639</v>
      </c>
      <c r="K45">
        <f t="shared" si="110"/>
        <v>-193463.87405036064</v>
      </c>
      <c r="L45">
        <f t="shared" si="111"/>
        <v>-303402.99999999959</v>
      </c>
      <c r="N45" s="10">
        <f t="shared" si="112"/>
        <v>-779.79850598396388</v>
      </c>
      <c r="O45" s="10">
        <f t="shared" ref="O45" si="119">N45*252.6/453.6</f>
        <v>-434.25287171858298</v>
      </c>
      <c r="P45" s="4">
        <f t="shared" ref="P45" si="120">O45*4184</f>
        <v>-1816914.0152705512</v>
      </c>
      <c r="R45" s="10">
        <v>1</v>
      </c>
      <c r="S45" s="11">
        <f t="shared" ref="S45" si="121">(C45*1.00794)/(B45*12.011)</f>
        <v>0.16084297727083507</v>
      </c>
      <c r="T45" s="12">
        <f t="shared" ref="T45" si="122">(B45*12.011)/E45*100</f>
        <v>86.144768778647531</v>
      </c>
      <c r="U45" s="12">
        <f t="shared" ref="U45" si="123">(C45*1.00794)/E45*100</f>
        <v>13.855781086665347</v>
      </c>
    </row>
    <row r="46" spans="1:21" x14ac:dyDescent="0.25">
      <c r="B46">
        <v>12</v>
      </c>
      <c r="C46">
        <v>23</v>
      </c>
      <c r="D46">
        <v>0</v>
      </c>
      <c r="E46">
        <f t="shared" ref="E46" si="124">B46*12.011+C46*1.0079+D46*15.9994</f>
        <v>167.31370000000001</v>
      </c>
      <c r="F46">
        <v>1</v>
      </c>
      <c r="G46">
        <v>18638.108131970064</v>
      </c>
      <c r="H46">
        <f t="shared" si="5"/>
        <v>43.349215342214322</v>
      </c>
      <c r="I46" s="7" t="s">
        <v>65</v>
      </c>
      <c r="J46">
        <f t="shared" ref="J46" si="125">B46*(-94054)+C46*(-57795)/2 + E46*F46*G46/1.7988</f>
        <v>-59684.300000000047</v>
      </c>
      <c r="K46">
        <f t="shared" ref="K46" si="126">B46*(-94054)+C46*(-68315)/2 + E46*F46*G46/1.7988</f>
        <v>-180664.30000000005</v>
      </c>
      <c r="L46">
        <f t="shared" ref="L46" si="127">J46*4.1858</f>
        <v>-249826.54294000022</v>
      </c>
      <c r="N46" s="10">
        <f t="shared" ref="N46" si="128">J46/E46*453.6/252</f>
        <v>-642.09768835427155</v>
      </c>
      <c r="O46" s="10">
        <f t="shared" si="6"/>
        <v>-357.57027354120146</v>
      </c>
      <c r="P46" s="4">
        <f t="shared" si="7"/>
        <v>-1496074.024496387</v>
      </c>
      <c r="R46" s="10">
        <v>1</v>
      </c>
      <c r="S46" s="11">
        <f t="shared" si="99"/>
        <v>0.16084297727083507</v>
      </c>
      <c r="T46" s="12">
        <f t="shared" si="100"/>
        <v>86.144768778647531</v>
      </c>
      <c r="U46" s="12">
        <f t="shared" si="101"/>
        <v>13.855781086665347</v>
      </c>
    </row>
    <row r="47" spans="1:21" x14ac:dyDescent="0.25">
      <c r="B47">
        <v>12</v>
      </c>
      <c r="C47">
        <v>23</v>
      </c>
      <c r="D47">
        <v>0</v>
      </c>
      <c r="E47">
        <f t="shared" ref="E47:E48" si="129">B47*12.011+C47*1.0079+D47*15.9994</f>
        <v>167.31370000000001</v>
      </c>
      <c r="F47">
        <v>1</v>
      </c>
      <c r="G47">
        <v>18640</v>
      </c>
      <c r="H47">
        <f t="shared" si="5"/>
        <v>43.353615520282183</v>
      </c>
      <c r="J47">
        <f t="shared" ref="J47:J48" si="130">B47*(-94054)+C47*(-57795)/2 + E47*F47*G47/1.7988</f>
        <v>-59508.329664220335</v>
      </c>
      <c r="K47">
        <f t="shared" ref="K47:K48" si="131">B47*(-94054)+C47*(-68315)/2 + E47*F47*G47/1.7988</f>
        <v>-180488.32966422033</v>
      </c>
      <c r="L47">
        <f t="shared" ref="L47:L48" si="132">J47*4.1858</f>
        <v>-249089.96630849352</v>
      </c>
      <c r="N47" s="10">
        <f t="shared" ref="N47:N48" si="133">J47/E47*453.6/252</f>
        <v>-640.20455823758959</v>
      </c>
      <c r="O47" s="10">
        <f t="shared" si="6"/>
        <v>-356.51603044712328</v>
      </c>
      <c r="P47" s="4">
        <f t="shared" si="7"/>
        <v>-1491663.0713907639</v>
      </c>
      <c r="R47" s="10">
        <v>1</v>
      </c>
      <c r="S47" s="11">
        <f t="shared" si="99"/>
        <v>0.16084297727083507</v>
      </c>
      <c r="T47" s="12">
        <f t="shared" si="100"/>
        <v>86.144768778647531</v>
      </c>
      <c r="U47" s="12">
        <f t="shared" si="101"/>
        <v>13.855781086665347</v>
      </c>
    </row>
    <row r="48" spans="1:21" x14ac:dyDescent="0.25">
      <c r="B48">
        <v>12</v>
      </c>
      <c r="C48">
        <v>23</v>
      </c>
      <c r="D48">
        <v>0</v>
      </c>
      <c r="E48">
        <f t="shared" si="129"/>
        <v>167.31370000000001</v>
      </c>
      <c r="F48">
        <v>1</v>
      </c>
      <c r="G48">
        <v>19234.214753484022</v>
      </c>
      <c r="H48">
        <f t="shared" si="5"/>
        <v>44.735662621088281</v>
      </c>
      <c r="J48">
        <f t="shared" si="130"/>
        <v>-4238</v>
      </c>
      <c r="K48">
        <f t="shared" si="131"/>
        <v>-125218</v>
      </c>
      <c r="L48">
        <f t="shared" si="132"/>
        <v>-17739.420400000003</v>
      </c>
      <c r="N48" s="10">
        <f t="shared" si="133"/>
        <v>-45.593397312951666</v>
      </c>
      <c r="O48" s="10">
        <f t="shared" si="6"/>
        <v>-25.389973900466465</v>
      </c>
      <c r="P48" s="4">
        <f t="shared" si="7"/>
        <v>-106231.65079955169</v>
      </c>
      <c r="R48" s="10">
        <v>1</v>
      </c>
      <c r="S48" s="11">
        <f t="shared" si="99"/>
        <v>0.16084297727083507</v>
      </c>
      <c r="T48" s="12">
        <f t="shared" si="100"/>
        <v>86.144768778647531</v>
      </c>
      <c r="U48" s="12">
        <f t="shared" si="101"/>
        <v>13.855781086665347</v>
      </c>
    </row>
    <row r="49" spans="1:21" x14ac:dyDescent="0.25">
      <c r="B49">
        <v>11</v>
      </c>
      <c r="C49">
        <v>21</v>
      </c>
      <c r="D49">
        <v>0</v>
      </c>
      <c r="E49">
        <f t="shared" ref="E49:E50" si="134">B49*12.011+C49*1.0079+D49*15.9994</f>
        <v>153.28689999999997</v>
      </c>
      <c r="F49">
        <v>1</v>
      </c>
      <c r="G49">
        <v>18500</v>
      </c>
      <c r="H49">
        <f t="shared" si="5"/>
        <v>43.027998236331563</v>
      </c>
      <c r="I49" s="7" t="s">
        <v>64</v>
      </c>
      <c r="J49">
        <f t="shared" ref="J49:J50" si="135">B49*(-94054)+C49*(-57795)/2 + E49*F49*G49/1.7988</f>
        <v>-64941.805759395473</v>
      </c>
      <c r="K49">
        <f t="shared" ref="K49:K50" si="136">B49*(-94054)+C49*(-68315)/2 + E49*F49*G49/1.7988</f>
        <v>-175401.80575939547</v>
      </c>
      <c r="L49" s="4">
        <f t="shared" ref="L49:L50" si="137">J49*4.1858</f>
        <v>-271833.4105476776</v>
      </c>
      <c r="M49" s="4"/>
      <c r="N49" s="10">
        <f t="shared" ref="N49:N50" si="138">J49/E49*453.6/252</f>
        <v>-762.59126100737819</v>
      </c>
      <c r="O49" s="10">
        <f t="shared" si="6"/>
        <v>-424.67053026998173</v>
      </c>
      <c r="P49" s="4">
        <f t="shared" si="7"/>
        <v>-1776821.4986496035</v>
      </c>
      <c r="R49" s="10">
        <v>1</v>
      </c>
      <c r="S49" s="11">
        <f t="shared" si="99"/>
        <v>0.16020723427766975</v>
      </c>
      <c r="T49" s="12">
        <f t="shared" si="100"/>
        <v>86.191970742444397</v>
      </c>
      <c r="U49" s="12">
        <f t="shared" si="101"/>
        <v>13.808577249588847</v>
      </c>
    </row>
    <row r="50" spans="1:21" x14ac:dyDescent="0.25">
      <c r="B50">
        <v>11</v>
      </c>
      <c r="C50">
        <v>21</v>
      </c>
      <c r="D50">
        <v>0</v>
      </c>
      <c r="E50">
        <f t="shared" si="134"/>
        <v>153.28689999999997</v>
      </c>
      <c r="F50">
        <v>1</v>
      </c>
      <c r="G50">
        <v>19800</v>
      </c>
      <c r="H50">
        <f t="shared" si="5"/>
        <v>46.051587301587297</v>
      </c>
      <c r="J50">
        <f t="shared" si="135"/>
        <v>45839.253835890442</v>
      </c>
      <c r="K50">
        <f t="shared" si="136"/>
        <v>-64620.746164109558</v>
      </c>
      <c r="L50">
        <f t="shared" si="137"/>
        <v>191873.94870627022</v>
      </c>
      <c r="N50" s="10">
        <f t="shared" si="138"/>
        <v>538.27598382251063</v>
      </c>
      <c r="O50" s="10">
        <f t="shared" si="6"/>
        <v>299.75421850433457</v>
      </c>
      <c r="P50" s="4">
        <f t="shared" si="7"/>
        <v>1254171.6502221359</v>
      </c>
      <c r="R50" s="10">
        <v>1</v>
      </c>
      <c r="S50" s="11">
        <f t="shared" si="99"/>
        <v>0.16020723427766975</v>
      </c>
      <c r="T50" s="12">
        <f t="shared" si="100"/>
        <v>86.191970742444397</v>
      </c>
      <c r="U50" s="12">
        <f t="shared" si="101"/>
        <v>13.808577249588847</v>
      </c>
    </row>
    <row r="51" spans="1:21" x14ac:dyDescent="0.25">
      <c r="B51">
        <v>11</v>
      </c>
      <c r="C51">
        <v>21</v>
      </c>
      <c r="D51">
        <v>0</v>
      </c>
      <c r="E51">
        <f t="shared" ref="E51" si="139">B51*12.011+C51*1.0079+D51*15.9994</f>
        <v>153.28689999999997</v>
      </c>
      <c r="F51">
        <v>1</v>
      </c>
      <c r="G51">
        <v>19908.878900936743</v>
      </c>
      <c r="H51">
        <f t="shared" si="5"/>
        <v>46.30482195874837</v>
      </c>
      <c r="J51">
        <f t="shared" ref="J51" si="140">B51*(-94054)+C51*(-57795)/2 + E51*F51*G51/1.7988</f>
        <v>55117.5</v>
      </c>
      <c r="K51">
        <f t="shared" ref="K51" si="141">B51*(-94054)+C51*(-68315)/2 + E51*F51*G51/1.7988</f>
        <v>-55342.5</v>
      </c>
      <c r="L51" s="4">
        <f t="shared" ref="L51" si="142">J51*4.1858</f>
        <v>230710.83150000003</v>
      </c>
      <c r="M51" s="4"/>
      <c r="N51" s="10">
        <f t="shared" ref="N51" si="143">J51/E51*453.6/252</f>
        <v>647.2275191161151</v>
      </c>
      <c r="O51" s="10">
        <f t="shared" si="6"/>
        <v>360.42696501042917</v>
      </c>
      <c r="P51" s="4">
        <f t="shared" si="7"/>
        <v>1508026.4216036357</v>
      </c>
      <c r="R51" s="10">
        <v>1</v>
      </c>
      <c r="S51" s="11">
        <f t="shared" si="99"/>
        <v>0.16020723427766975</v>
      </c>
      <c r="T51" s="12">
        <f t="shared" si="100"/>
        <v>86.191970742444397</v>
      </c>
      <c r="U51" s="12">
        <f t="shared" si="101"/>
        <v>13.808577249588847</v>
      </c>
    </row>
    <row r="52" spans="1:21" x14ac:dyDescent="0.25">
      <c r="B52">
        <v>11</v>
      </c>
      <c r="C52">
        <v>21</v>
      </c>
      <c r="D52">
        <v>0</v>
      </c>
      <c r="E52">
        <f t="shared" ref="E52" si="144">B52*12.011+C52*1.0079+D52*15.9994</f>
        <v>153.28689999999997</v>
      </c>
      <c r="F52">
        <v>1</v>
      </c>
      <c r="G52">
        <v>18638</v>
      </c>
      <c r="H52">
        <f t="shared" si="5"/>
        <v>43.348963844797176</v>
      </c>
      <c r="I52" s="7" t="s">
        <v>66</v>
      </c>
      <c r="J52">
        <f t="shared" ref="J52" si="145">B52*(-94054)+C52*(-57795)/2 + E52*F52*G52/1.7988</f>
        <v>-53181.970202357275</v>
      </c>
      <c r="K52">
        <f t="shared" ref="K52" si="146">B52*(-94054)+C52*(-68315)/2 + E52*F52*G52/1.7988</f>
        <v>-163641.97020235728</v>
      </c>
      <c r="L52" s="5">
        <f t="shared" ref="L52" si="147">J52*4.1858</f>
        <v>-222609.0908730271</v>
      </c>
      <c r="M52" s="5"/>
      <c r="N52" s="10">
        <f t="shared" ref="N52" si="148">J52/E52*453.6/252</f>
        <v>-624.49919963312675</v>
      </c>
      <c r="O52" s="10">
        <f t="shared" si="6"/>
        <v>-347.77005693855335</v>
      </c>
      <c r="P52" s="4">
        <f t="shared" si="7"/>
        <v>-1455069.9182309073</v>
      </c>
      <c r="R52" s="10">
        <v>1</v>
      </c>
      <c r="S52" s="11">
        <f t="shared" si="99"/>
        <v>0.16020723427766975</v>
      </c>
      <c r="T52" s="12">
        <f t="shared" si="100"/>
        <v>86.191970742444397</v>
      </c>
      <c r="U52" s="12">
        <f t="shared" si="101"/>
        <v>13.808577249588847</v>
      </c>
    </row>
    <row r="53" spans="1:21" x14ac:dyDescent="0.25">
      <c r="B53">
        <v>11</v>
      </c>
      <c r="C53">
        <v>21</v>
      </c>
      <c r="D53">
        <v>0</v>
      </c>
      <c r="E53">
        <f t="shared" ref="E53" si="149">B53*12.011+C53*1.0079+D53*15.9994</f>
        <v>153.28689999999997</v>
      </c>
      <c r="F53">
        <v>1</v>
      </c>
      <c r="G53">
        <v>19234</v>
      </c>
      <c r="H53">
        <f t="shared" si="5"/>
        <v>44.735163139329806</v>
      </c>
      <c r="J53">
        <f t="shared" ref="J53" si="150">B53*(-94054)+C53*(-57795)/2 + E53*F53*G53/1.7988</f>
        <v>-2393.1151879031677</v>
      </c>
      <c r="K53">
        <f t="shared" ref="K53" si="151">B53*(-94054)+C53*(-68315)/2 + E53*F53*G53/1.7988</f>
        <v>-112853.11518790317</v>
      </c>
      <c r="L53" s="5">
        <f t="shared" ref="L53" si="152">J53*4.1858</f>
        <v>-10017.101553525081</v>
      </c>
      <c r="M53" s="5"/>
      <c r="N53" s="10">
        <f t="shared" ref="N53" si="153">J53/E53*453.6/252</f>
        <v>-28.101601234193545</v>
      </c>
      <c r="O53" s="10">
        <f t="shared" si="6"/>
        <v>-15.649172115867039</v>
      </c>
      <c r="P53" s="4">
        <f t="shared" si="7"/>
        <v>-65476.136132787688</v>
      </c>
      <c r="R53" s="10">
        <v>1</v>
      </c>
      <c r="S53" s="11">
        <f t="shared" si="99"/>
        <v>0.16020723427766975</v>
      </c>
      <c r="T53" s="12">
        <f t="shared" si="100"/>
        <v>86.191970742444397</v>
      </c>
      <c r="U53" s="12">
        <f t="shared" si="101"/>
        <v>13.808577249588847</v>
      </c>
    </row>
    <row r="54" spans="1:21" x14ac:dyDescent="0.25">
      <c r="A54" t="s">
        <v>87</v>
      </c>
      <c r="B54">
        <v>12</v>
      </c>
      <c r="C54">
        <v>22</v>
      </c>
      <c r="D54">
        <v>11</v>
      </c>
      <c r="E54">
        <f t="shared" ref="E54" si="154">B54*12.011+C54*1.0079+D54*15.9994</f>
        <v>342.29920000000004</v>
      </c>
      <c r="F54">
        <v>1</v>
      </c>
      <c r="G54">
        <v>6500</v>
      </c>
      <c r="H54">
        <f t="shared" ref="H54" si="155">G54*0.001055/0.4536</f>
        <v>15.11794532627866</v>
      </c>
      <c r="J54">
        <f t="shared" ref="J54" si="156">B54*(-94054)+C54*(-57795)/2 + E54*F54*G54/1.7988</f>
        <v>-527487.95219034888</v>
      </c>
      <c r="K54">
        <f t="shared" ref="K54" si="157">B54*(-94054)+C54*(-68315)/2 + E54*F54*G54/1.7988</f>
        <v>-643207.95219034888</v>
      </c>
      <c r="L54" s="5">
        <f t="shared" ref="L54" si="158">J54*4.1858</f>
        <v>-2207959.0702783624</v>
      </c>
      <c r="M54" s="5"/>
      <c r="N54" s="10">
        <f t="shared" ref="N54" si="159">J54/E54*453.6/252</f>
        <v>-2773.8256880022736</v>
      </c>
      <c r="O54" s="10">
        <f t="shared" ref="O54" si="160">N54*252.6/453.6</f>
        <v>-1544.6833527102608</v>
      </c>
      <c r="P54" s="4">
        <f t="shared" ref="P54" si="161">O54*4184</f>
        <v>-6462955.1477397308</v>
      </c>
      <c r="R54" s="10">
        <v>1</v>
      </c>
      <c r="S54" s="11">
        <f t="shared" ref="S54" si="162">(C54*1.00794)/(B54*12.011)</f>
        <v>0.15384980434601617</v>
      </c>
      <c r="T54" s="12">
        <f t="shared" ref="T54" si="163">(B54*12.011)/E54*100</f>
        <v>42.107022160729557</v>
      </c>
      <c r="U54" s="12">
        <f t="shared" ref="U54" si="164">(C54*1.00794)/E54*100</f>
        <v>6.4781571210216091</v>
      </c>
    </row>
    <row r="55" spans="1:21" x14ac:dyDescent="0.25">
      <c r="B55">
        <v>12</v>
      </c>
      <c r="C55">
        <v>22</v>
      </c>
      <c r="D55">
        <v>11</v>
      </c>
      <c r="E55">
        <f t="shared" ref="E55" si="165">B55*12.011+C55*1.0079+D55*15.9994</f>
        <v>342.29920000000004</v>
      </c>
      <c r="F55">
        <v>1</v>
      </c>
      <c r="G55">
        <v>6482.2271638379507</v>
      </c>
      <c r="H55">
        <f t="shared" ref="H55" si="166">G55*0.001055/0.4536</f>
        <v>15.076608593141616</v>
      </c>
      <c r="J55">
        <f t="shared" ref="J55" si="167">B55*(-94054)+C55*(-57795)/2 + E55*F55*G55/1.7988</f>
        <v>-530870.00000000023</v>
      </c>
      <c r="K55">
        <f t="shared" ref="K55" si="168">B55*(-94054)+C55*(-68315)/2 + E55*F55*G55/1.7988</f>
        <v>-646590.00000000023</v>
      </c>
      <c r="L55" s="5">
        <f t="shared" ref="L55" si="169">J55*4.1858</f>
        <v>-2222115.6460000011</v>
      </c>
      <c r="M55" s="5"/>
      <c r="N55" s="10">
        <f t="shared" ref="N55" si="170">J55/E55*453.6/252</f>
        <v>-2791.610380626073</v>
      </c>
      <c r="O55" s="10">
        <f t="shared" ref="O55" si="171">N55*252.6/453.6</f>
        <v>-1554.5872622269533</v>
      </c>
      <c r="P55" s="4">
        <f t="shared" ref="P55" si="172">O55*4184</f>
        <v>-6504393.1051575728</v>
      </c>
      <c r="R55" s="10">
        <v>1</v>
      </c>
      <c r="S55" s="11">
        <f t="shared" ref="S55" si="173">(C55*1.00794)/(B55*12.011)</f>
        <v>0.15384980434601617</v>
      </c>
      <c r="T55" s="12">
        <f t="shared" ref="T55" si="174">(B55*12.011)/E55*100</f>
        <v>42.107022160729557</v>
      </c>
      <c r="U55" s="12">
        <f t="shared" ref="U55" si="175">(C55*1.00794)/E55*100</f>
        <v>6.4781571210216091</v>
      </c>
    </row>
    <row r="56" spans="1:21" x14ac:dyDescent="0.25">
      <c r="A56" t="s">
        <v>87</v>
      </c>
      <c r="B56">
        <v>12</v>
      </c>
      <c r="C56">
        <v>22</v>
      </c>
      <c r="D56">
        <v>11</v>
      </c>
      <c r="E56">
        <f t="shared" ref="E56:E59" si="176">B56*12.011+C56*1.0079+D56*15.9994</f>
        <v>342.29920000000004</v>
      </c>
      <c r="F56">
        <v>1</v>
      </c>
      <c r="G56">
        <v>6483.3767092266407</v>
      </c>
      <c r="H56">
        <f t="shared" ref="H56:H59" si="177">G56*0.001055/0.4536</f>
        <v>15.079282249193355</v>
      </c>
      <c r="J56">
        <f t="shared" ref="J56:J59" si="178">B56*(-94054)+C56*(-57795)/2 + E56*F56*G56/1.7988</f>
        <v>-530651.24946246832</v>
      </c>
      <c r="K56">
        <f t="shared" ref="K56:K59" si="179">B56*(-94054)+C56*(-68315)/2 + E56*F56*G56/1.7988</f>
        <v>-646371.24946246832</v>
      </c>
      <c r="L56" s="5">
        <f t="shared" ref="L56:L59" si="180">J56*4.1858</f>
        <v>-2221200</v>
      </c>
      <c r="M56" s="5"/>
      <c r="N56" s="10">
        <f t="shared" ref="N56:N59" si="181">J56/E56*453.6/252</f>
        <v>-2790.4600683625404</v>
      </c>
      <c r="O56" s="10">
        <f t="shared" ref="O56:O59" si="182">N56*252.6/453.6</f>
        <v>-1553.9466782812558</v>
      </c>
      <c r="P56" s="4">
        <f t="shared" ref="P56:P59" si="183">O56*4184</f>
        <v>-6501712.9019287741</v>
      </c>
      <c r="R56" s="10">
        <v>1</v>
      </c>
      <c r="S56" s="11">
        <f t="shared" ref="S56:S59" si="184">(C56*1.00794)/(B56*12.011)</f>
        <v>0.15384980434601617</v>
      </c>
      <c r="T56" s="12">
        <f t="shared" ref="T56" si="185">(B56*12.011)/E56*100</f>
        <v>42.107022160729557</v>
      </c>
      <c r="U56" s="12">
        <f t="shared" ref="U56" si="186">(C56*1.00794)/E56*100</f>
        <v>6.4781571210216091</v>
      </c>
    </row>
    <row r="57" spans="1:21" x14ac:dyDescent="0.25">
      <c r="A57" t="s">
        <v>88</v>
      </c>
      <c r="B57">
        <v>73</v>
      </c>
      <c r="C57">
        <v>124</v>
      </c>
      <c r="D57">
        <v>0</v>
      </c>
      <c r="E57">
        <f t="shared" si="176"/>
        <v>1001.7826</v>
      </c>
      <c r="F57">
        <v>1</v>
      </c>
      <c r="G57">
        <v>17964.483319744402</v>
      </c>
      <c r="H57">
        <f t="shared" si="177"/>
        <v>41.782473329652433</v>
      </c>
      <c r="J57">
        <f t="shared" si="178"/>
        <v>-444502.8429451976</v>
      </c>
      <c r="K57">
        <f t="shared" si="179"/>
        <v>-1096742.8429451976</v>
      </c>
      <c r="L57" s="5">
        <f t="shared" si="180"/>
        <v>-1860600.0000000084</v>
      </c>
      <c r="N57" s="10">
        <f t="shared" si="181"/>
        <v>-798.68138785935764</v>
      </c>
      <c r="O57" s="10">
        <f t="shared" si="182"/>
        <v>-444.76833900633534</v>
      </c>
      <c r="P57" s="4">
        <f t="shared" si="183"/>
        <v>-1860910.7304025071</v>
      </c>
      <c r="R57" s="10">
        <v>1</v>
      </c>
      <c r="S57" s="11">
        <f t="shared" si="184"/>
        <v>0.14254577139904859</v>
      </c>
      <c r="T57" s="12">
        <f t="shared" ref="T57:T59" si="187">(B57*12.011)/E57*100</f>
        <v>87.524279219862677</v>
      </c>
      <c r="U57" s="12">
        <f t="shared" ref="U57:U59" si="188">(C57*1.00794)/E57*100</f>
        <v>12.476215897541042</v>
      </c>
    </row>
    <row r="58" spans="1:21" x14ac:dyDescent="0.25">
      <c r="B58">
        <v>73</v>
      </c>
      <c r="C58">
        <v>124</v>
      </c>
      <c r="D58">
        <v>0</v>
      </c>
      <c r="E58">
        <f t="shared" si="176"/>
        <v>1001.7826</v>
      </c>
      <c r="F58">
        <v>0.99</v>
      </c>
      <c r="G58">
        <v>18145.942747216573</v>
      </c>
      <c r="H58">
        <f t="shared" si="177"/>
        <v>42.204518514800448</v>
      </c>
      <c r="J58">
        <f t="shared" si="178"/>
        <v>-444502.84294519387</v>
      </c>
      <c r="K58">
        <f t="shared" si="179"/>
        <v>-1096742.8429451939</v>
      </c>
      <c r="L58" s="5">
        <f t="shared" si="180"/>
        <v>-1860599.9999999928</v>
      </c>
      <c r="N58" s="10">
        <f t="shared" si="181"/>
        <v>-798.68138785935093</v>
      </c>
      <c r="O58" s="10">
        <f t="shared" si="182"/>
        <v>-444.76833900633164</v>
      </c>
      <c r="P58" s="4">
        <f t="shared" si="183"/>
        <v>-1860910.7304024915</v>
      </c>
      <c r="R58" s="10">
        <v>1</v>
      </c>
      <c r="S58" s="11">
        <f t="shared" si="184"/>
        <v>0.14254577139904859</v>
      </c>
      <c r="T58" s="12">
        <f t="shared" si="187"/>
        <v>87.524279219862677</v>
      </c>
      <c r="U58" s="12">
        <f t="shared" si="188"/>
        <v>12.476215897541042</v>
      </c>
    </row>
    <row r="59" spans="1:21" x14ac:dyDescent="0.25">
      <c r="A59" t="s">
        <v>89</v>
      </c>
      <c r="B59">
        <v>1</v>
      </c>
      <c r="C59">
        <v>4</v>
      </c>
      <c r="D59">
        <v>0</v>
      </c>
      <c r="E59">
        <f t="shared" si="176"/>
        <v>16.0426</v>
      </c>
      <c r="F59">
        <v>1</v>
      </c>
      <c r="G59" s="4">
        <v>21500.14</v>
      </c>
      <c r="H59">
        <f t="shared" si="177"/>
        <v>50.005837081128739</v>
      </c>
      <c r="J59">
        <f t="shared" si="178"/>
        <v>-17894.975114520814</v>
      </c>
      <c r="K59">
        <f t="shared" si="179"/>
        <v>-38934.975114520814</v>
      </c>
      <c r="L59" s="5">
        <f t="shared" si="180"/>
        <v>-74904.786834361235</v>
      </c>
      <c r="N59" s="10">
        <f t="shared" si="181"/>
        <v>-2007.8388295000475</v>
      </c>
      <c r="O59" s="10">
        <f t="shared" si="182"/>
        <v>-1118.1218878565078</v>
      </c>
      <c r="P59" s="4">
        <f t="shared" si="183"/>
        <v>-4678221.978791629</v>
      </c>
      <c r="S59" s="11">
        <f t="shared" si="184"/>
        <v>0.33567230039130802</v>
      </c>
      <c r="T59" s="12">
        <f t="shared" si="187"/>
        <v>74.86941019535486</v>
      </c>
      <c r="U59" s="12">
        <f t="shared" si="188"/>
        <v>25.131587149215218</v>
      </c>
    </row>
    <row r="60" spans="1:21" x14ac:dyDescent="0.25">
      <c r="A60" t="s">
        <v>90</v>
      </c>
      <c r="B60">
        <v>1</v>
      </c>
      <c r="C60">
        <v>4</v>
      </c>
      <c r="D60">
        <v>0</v>
      </c>
      <c r="E60">
        <f t="shared" ref="E60" si="189">B60*12.011+C60*1.0079+D60*15.9994</f>
        <v>16.0426</v>
      </c>
      <c r="F60">
        <v>1</v>
      </c>
      <c r="G60" s="4">
        <v>21108.255220475483</v>
      </c>
      <c r="H60">
        <f t="shared" ref="H60" si="190">G60*0.001055/0.4536</f>
        <v>49.094376670197605</v>
      </c>
      <c r="J60">
        <f t="shared" ref="J60" si="191">B60*(-94054)+C60*(-57795)/2 + E60*F60*G60/1.7988</f>
        <v>-21390</v>
      </c>
      <c r="K60">
        <f t="shared" ref="K60" si="192">B60*(-94054)+C60*(-68315)/2 + E60*F60*G60/1.7988</f>
        <v>-42430</v>
      </c>
      <c r="L60" s="5">
        <f t="shared" ref="L60" si="193">J60*4.1858</f>
        <v>-89534.262000000002</v>
      </c>
      <c r="N60" s="10">
        <f t="shared" ref="N60" si="194">J60/E60*453.6/252</f>
        <v>-2399.9850398314488</v>
      </c>
      <c r="O60" s="10">
        <f t="shared" ref="O60" si="195">N60*252.6/453.6</f>
        <v>-1336.4996055146032</v>
      </c>
      <c r="P60" s="4">
        <f t="shared" ref="P60" si="196">O60*4184</f>
        <v>-5591914.3494731002</v>
      </c>
      <c r="S60" s="11">
        <f t="shared" ref="S60" si="197">(C60*1.00794)/(B60*12.011)</f>
        <v>0.33567230039130802</v>
      </c>
      <c r="T60" s="12">
        <f t="shared" ref="T60" si="198">(B60*12.011)/E60*100</f>
        <v>74.86941019535486</v>
      </c>
      <c r="U60" s="12">
        <f t="shared" ref="U60" si="199">(C60*1.00794)/E60*100</f>
        <v>25.131587149215218</v>
      </c>
    </row>
    <row r="61" spans="1:21" x14ac:dyDescent="0.25">
      <c r="A61" t="s">
        <v>90</v>
      </c>
      <c r="B61">
        <v>1</v>
      </c>
      <c r="C61">
        <v>4</v>
      </c>
      <c r="D61">
        <v>0</v>
      </c>
      <c r="E61">
        <f t="shared" ref="E61" si="200">B61*12.011+C61*1.0079+D61*15.9994</f>
        <v>16.0426</v>
      </c>
      <c r="F61">
        <v>1</v>
      </c>
      <c r="G61" s="4">
        <v>20900</v>
      </c>
      <c r="H61">
        <f t="shared" ref="H61" si="201">G61*0.001055/0.4536</f>
        <v>48.610008818342145</v>
      </c>
      <c r="J61">
        <f t="shared" ref="J61" si="202">B61*(-94054)+C61*(-57795)/2 + E61*F61*G61/1.7988</f>
        <v>-23247.324438514537</v>
      </c>
      <c r="K61">
        <f t="shared" ref="K61" si="203">B61*(-94054)+C61*(-68315)/2 + E61*F61*G61/1.7988</f>
        <v>-44287.324438514537</v>
      </c>
      <c r="L61" s="5">
        <f t="shared" ref="L61" si="204">J61*4.1858</f>
        <v>-97308.650634734164</v>
      </c>
      <c r="N61" s="10">
        <f t="shared" ref="N61" si="205">J61/E61*453.6/252</f>
        <v>-2608.379189740202</v>
      </c>
      <c r="O61" s="10">
        <f t="shared" ref="O61" si="206">N61*252.6/453.6</f>
        <v>-1452.5497868791335</v>
      </c>
      <c r="P61" s="4">
        <f t="shared" ref="P61" si="207">O61*4184</f>
        <v>-6077468.3083022945</v>
      </c>
      <c r="S61" s="11">
        <f t="shared" ref="S61" si="208">(C61*1.00794)/(B61*12.011)</f>
        <v>0.33567230039130802</v>
      </c>
      <c r="T61" s="12">
        <f t="shared" ref="T61" si="209">(B61*12.011)/E61*100</f>
        <v>74.86941019535486</v>
      </c>
      <c r="U61" s="12">
        <f t="shared" ref="U61" si="210">(C61*1.00794)/E61*100</f>
        <v>25.131587149215218</v>
      </c>
    </row>
    <row r="62" spans="1:21" x14ac:dyDescent="0.25">
      <c r="A62" t="s">
        <v>93</v>
      </c>
      <c r="B62">
        <v>5</v>
      </c>
      <c r="C62">
        <v>8</v>
      </c>
      <c r="D62">
        <v>2</v>
      </c>
      <c r="E62">
        <f t="shared" ref="E62" si="211">B62*12.011+C62*1.0079+D62*15.9994</f>
        <v>100.11699999999999</v>
      </c>
      <c r="F62">
        <v>1</v>
      </c>
      <c r="G62" s="4">
        <v>20900</v>
      </c>
      <c r="H62">
        <f t="shared" ref="H62" si="212">G62*0.001055/0.4536</f>
        <v>48.610008818342145</v>
      </c>
      <c r="J62">
        <f t="shared" ref="J62" si="213">B62*(-94054)+C62*(-57795)/2 + E62*F62*G62/1.7988</f>
        <v>461795.10784967756</v>
      </c>
      <c r="K62">
        <f t="shared" ref="K62" si="214">B62*(-94054)+C62*(-68315)/2 + E62*F62*G62/1.7988</f>
        <v>419715.10784967756</v>
      </c>
      <c r="L62" s="5">
        <f t="shared" ref="L62" si="215">J62*4.1858</f>
        <v>1932981.9624371806</v>
      </c>
      <c r="N62" s="10">
        <f t="shared" ref="N62" si="216">J62/E62*453.6/252</f>
        <v>8302.5979017491518</v>
      </c>
      <c r="O62" s="10">
        <f t="shared" ref="O62" si="217">N62*252.6/453.6</f>
        <v>4623.5366622174497</v>
      </c>
      <c r="P62" s="4">
        <f t="shared" ref="P62" si="218">O62*4184</f>
        <v>19344877.394717809</v>
      </c>
      <c r="S62" s="11">
        <f t="shared" ref="S62" si="219">(C62*1.00794)/(B62*12.011)</f>
        <v>0.13426892015652322</v>
      </c>
      <c r="T62" s="12">
        <f t="shared" ref="T62" si="220">(B62*12.011)/E62*100</f>
        <v>59.984817763217038</v>
      </c>
      <c r="U62" s="12">
        <f t="shared" ref="U62" si="221">(C62*1.00794)/E62*100</f>
        <v>8.0540967068529845</v>
      </c>
    </row>
    <row r="63" spans="1:21" x14ac:dyDescent="0.25">
      <c r="B63">
        <v>5</v>
      </c>
      <c r="C63">
        <v>8</v>
      </c>
      <c r="D63">
        <v>2</v>
      </c>
      <c r="E63">
        <f t="shared" ref="E63:E64" si="222">B63*12.011+C63*1.0079+D63*15.9994</f>
        <v>100.11699999999999</v>
      </c>
      <c r="F63">
        <v>1</v>
      </c>
      <c r="G63" s="4">
        <v>8882.2095187868035</v>
      </c>
      <c r="H63">
        <f t="shared" ref="H63:H64" si="223">G63*0.001055/0.4536</f>
        <v>20.658578135626271</v>
      </c>
      <c r="J63">
        <f t="shared" ref="J63:J64" si="224">B63*(-94054)+C63*(-57795)/2 + E63*F63*G63/1.7988</f>
        <v>-207086.99666868005</v>
      </c>
      <c r="K63">
        <f t="shared" ref="K63:K64" si="225">B63*(-94054)+C63*(-68315)/2 + E63*F63*G63/1.7988</f>
        <v>-249166.99666868005</v>
      </c>
      <c r="L63" s="20">
        <f t="shared" ref="L63:L64" si="226">J63*4.1858</f>
        <v>-866824.75065576099</v>
      </c>
      <c r="N63" s="10">
        <f t="shared" ref="N63:N64" si="227">J63/E63*453.6/252</f>
        <v>-3723.2097845882736</v>
      </c>
      <c r="O63" s="10">
        <f t="shared" ref="O63:O64" si="228">N63*252.6/453.6</f>
        <v>-2073.3747609942634</v>
      </c>
      <c r="P63" s="19">
        <f t="shared" ref="P63:P64" si="229">O63*4184</f>
        <v>-8674999.9999999981</v>
      </c>
      <c r="S63" s="11">
        <f t="shared" ref="S63:S64" si="230">(C63*1.00794)/(B63*12.011)</f>
        <v>0.13426892015652322</v>
      </c>
      <c r="T63" s="12">
        <f t="shared" ref="T63:T64" si="231">(B63*12.011)/E63*100</f>
        <v>59.984817763217038</v>
      </c>
      <c r="U63" s="12">
        <f t="shared" ref="U63:U64" si="232">(C63*1.00794)/E63*100</f>
        <v>8.0540967068529845</v>
      </c>
    </row>
    <row r="64" spans="1:21" x14ac:dyDescent="0.25">
      <c r="A64" t="s">
        <v>22</v>
      </c>
      <c r="B64">
        <v>0</v>
      </c>
      <c r="C64">
        <v>2</v>
      </c>
      <c r="D64">
        <v>0</v>
      </c>
      <c r="E64">
        <f t="shared" si="222"/>
        <v>2.0158</v>
      </c>
      <c r="F64">
        <v>0.99</v>
      </c>
      <c r="G64" s="4">
        <v>49651.270364123418</v>
      </c>
      <c r="H64">
        <f t="shared" si="223"/>
        <v>115.48079857616888</v>
      </c>
      <c r="J64">
        <f t="shared" si="224"/>
        <v>-2710.4100000000108</v>
      </c>
      <c r="K64">
        <f t="shared" si="225"/>
        <v>-13230.410000000011</v>
      </c>
      <c r="L64" s="5">
        <f t="shared" si="226"/>
        <v>-11345.234178000046</v>
      </c>
      <c r="N64" s="10">
        <f t="shared" si="227"/>
        <v>-2420.2490326421371</v>
      </c>
      <c r="O64" s="10">
        <f t="shared" si="228"/>
        <v>-1347.7841835216132</v>
      </c>
      <c r="P64" s="4">
        <f t="shared" si="229"/>
        <v>-5639129.0238544298</v>
      </c>
      <c r="S64" s="11" t="e">
        <f t="shared" si="230"/>
        <v>#DIV/0!</v>
      </c>
      <c r="T64" s="12">
        <f t="shared" si="231"/>
        <v>0</v>
      </c>
      <c r="U64" s="12">
        <f t="shared" si="232"/>
        <v>100.00396864768331</v>
      </c>
    </row>
    <row r="65" spans="1:23" x14ac:dyDescent="0.25">
      <c r="A65" s="29" t="s">
        <v>95</v>
      </c>
      <c r="B65">
        <v>0</v>
      </c>
      <c r="C65">
        <v>2</v>
      </c>
      <c r="D65">
        <v>0</v>
      </c>
      <c r="E65">
        <f t="shared" ref="E65" si="233">B65*12.011+C65*1.0079+D65*15.9994</f>
        <v>2.0158</v>
      </c>
      <c r="F65">
        <v>1</v>
      </c>
      <c r="G65" s="4">
        <v>49651.270364123418</v>
      </c>
      <c r="H65">
        <f t="shared" ref="H65" si="234">G65*0.001055/0.4536</f>
        <v>115.48079857616888</v>
      </c>
      <c r="J65">
        <f t="shared" ref="J65" si="235">B65*(-94054)+C65*(-57795)/2 + E65*F65*G65/1.7988</f>
        <v>-2154</v>
      </c>
      <c r="K65">
        <f t="shared" ref="K65" si="236">B65*(-94054)+C65*(-68315)/2 + E65*F65*G65/1.7988</f>
        <v>-12674</v>
      </c>
      <c r="L65" s="5">
        <f t="shared" ref="L65" si="237">J65*4.1858</f>
        <v>-9016.2132000000001</v>
      </c>
      <c r="N65" s="10">
        <f t="shared" ref="N65" si="238">J65/E65*453.6/252</f>
        <v>-1923.4050997122731</v>
      </c>
      <c r="O65" s="10">
        <f t="shared" ref="O65" si="239">N65*252.6/453.6</f>
        <v>-1071.1025753688716</v>
      </c>
      <c r="P65" s="4">
        <f t="shared" ref="P65" si="240">O65*4184</f>
        <v>-4481493.1753433589</v>
      </c>
      <c r="S65" s="11" t="e">
        <f t="shared" ref="S65" si="241">(C65*1.00794)/(B65*12.011)</f>
        <v>#DIV/0!</v>
      </c>
      <c r="T65" s="12">
        <f t="shared" ref="T65" si="242">(B65*12.011)/E65*100</f>
        <v>0</v>
      </c>
      <c r="U65" s="12">
        <f t="shared" ref="U65" si="243">(C65*1.00794)/E65*100</f>
        <v>100.00396864768331</v>
      </c>
    </row>
    <row r="66" spans="1:23" x14ac:dyDescent="0.25">
      <c r="A66" s="1" t="s">
        <v>94</v>
      </c>
      <c r="B66">
        <v>0</v>
      </c>
      <c r="C66">
        <v>2</v>
      </c>
      <c r="D66">
        <v>0</v>
      </c>
      <c r="E66">
        <f t="shared" ref="E66:E67" si="244">B66*12.011+C66*1.0079+D66*15.9994</f>
        <v>2.0158</v>
      </c>
      <c r="F66">
        <v>1</v>
      </c>
      <c r="G66" s="4">
        <v>51573.39319376924</v>
      </c>
      <c r="H66">
        <f t="shared" ref="H66:H67" si="245">G66*0.001055/0.4536</f>
        <v>119.9513443990885</v>
      </c>
      <c r="J66">
        <f t="shared" ref="J66:J67" si="246">B66*(-94054)+C66*(-57795)/2 + E66*F66*G66/1.7988</f>
        <v>0</v>
      </c>
      <c r="K66">
        <f t="shared" ref="K66:K67" si="247">B66*(-94054)+C66*(-68315)/2 + E66*F66*G66/1.7988</f>
        <v>-10519.999999999978</v>
      </c>
      <c r="L66" s="5">
        <f t="shared" ref="L66:L67" si="248">J66*4.1858</f>
        <v>0</v>
      </c>
      <c r="N66" s="10">
        <f t="shared" ref="N66:N67" si="249">J66/E66*453.6/252</f>
        <v>0</v>
      </c>
      <c r="O66" s="10">
        <f t="shared" ref="O66:O67" si="250">N66*252.6/453.6</f>
        <v>0</v>
      </c>
      <c r="P66" s="4">
        <f t="shared" ref="P66:P67" si="251">O66*4184</f>
        <v>0</v>
      </c>
      <c r="S66" s="11" t="e">
        <f t="shared" ref="S66:S68" si="252">(C66*1.00794)/(B66*12.011)</f>
        <v>#DIV/0!</v>
      </c>
      <c r="T66" s="12">
        <f t="shared" ref="T66:T68" si="253">(B66*12.011)/E66*100</f>
        <v>0</v>
      </c>
      <c r="U66" s="12">
        <f t="shared" ref="U66:U68" si="254">(C66*1.00794)/E66*100</f>
        <v>100.00396864768331</v>
      </c>
    </row>
    <row r="67" spans="1:23" x14ac:dyDescent="0.25">
      <c r="A67" t="s">
        <v>96</v>
      </c>
      <c r="B67">
        <v>12</v>
      </c>
      <c r="C67">
        <v>26</v>
      </c>
      <c r="D67">
        <v>0</v>
      </c>
      <c r="E67">
        <f t="shared" si="244"/>
        <v>170.3374</v>
      </c>
      <c r="F67">
        <v>1</v>
      </c>
      <c r="G67" s="4">
        <v>18500</v>
      </c>
      <c r="H67">
        <f t="shared" si="245"/>
        <v>43.027998236331563</v>
      </c>
      <c r="J67">
        <f t="shared" si="246"/>
        <v>-128125.15032243729</v>
      </c>
      <c r="K67">
        <f t="shared" si="247"/>
        <v>-264885.15032243729</v>
      </c>
      <c r="L67" s="5">
        <f t="shared" si="248"/>
        <v>-536306.25421965809</v>
      </c>
      <c r="N67" s="10">
        <f t="shared" si="249"/>
        <v>-1353.9320817412215</v>
      </c>
      <c r="O67" s="10">
        <f t="shared" si="250"/>
        <v>-753.9754053082728</v>
      </c>
      <c r="P67" s="4">
        <f t="shared" si="251"/>
        <v>-3154633.0958098136</v>
      </c>
      <c r="R67" s="10">
        <v>1</v>
      </c>
      <c r="S67" s="11">
        <f t="shared" si="252"/>
        <v>0.18182249604529183</v>
      </c>
      <c r="T67" s="12">
        <f t="shared" si="253"/>
        <v>84.61559234789307</v>
      </c>
      <c r="U67" s="12">
        <f t="shared" si="254"/>
        <v>15.385018205044812</v>
      </c>
      <c r="W67" t="s">
        <v>97</v>
      </c>
    </row>
    <row r="68" spans="1:23" x14ac:dyDescent="0.25">
      <c r="B68">
        <v>12</v>
      </c>
      <c r="C68">
        <v>26</v>
      </c>
      <c r="D68">
        <v>0</v>
      </c>
      <c r="E68">
        <f t="shared" ref="E68" si="255">B68*12.011+C68*1.0079+D68*15.9994</f>
        <v>170.3374</v>
      </c>
      <c r="F68">
        <v>1</v>
      </c>
      <c r="G68" s="4">
        <v>19850.506593148853</v>
      </c>
      <c r="H68">
        <f t="shared" ref="H68" si="256">G68*0.001055/0.4536</f>
        <v>46.169057442178215</v>
      </c>
      <c r="J68">
        <f t="shared" ref="J68" si="257">B68*(-94054)+C68*(-57795)/2 + E68*F68*G68/1.7988</f>
        <v>-238.90295761986636</v>
      </c>
      <c r="K68">
        <f t="shared" ref="K68" si="258">B68*(-94054)+C68*(-68315)/2 + E68*F68*G68/1.7988</f>
        <v>-136998.90295761987</v>
      </c>
      <c r="L68" s="5">
        <f t="shared" ref="L68" si="259">J68*4.1858</f>
        <v>-1000.0000000052366</v>
      </c>
      <c r="N68" s="10">
        <f t="shared" ref="N68" si="260">J68/E68*453.6/252</f>
        <v>-2.5245502380320439</v>
      </c>
      <c r="O68" s="10">
        <f t="shared" ref="O68" si="261">N68*252.6/453.6</f>
        <v>-1.405867262184511</v>
      </c>
      <c r="P68" s="4">
        <f t="shared" ref="P68" si="262">O68*4184</f>
        <v>-5882.1486249799937</v>
      </c>
      <c r="R68" s="10">
        <v>1</v>
      </c>
      <c r="S68" s="11">
        <f t="shared" si="252"/>
        <v>0.18182249604529183</v>
      </c>
      <c r="T68" s="12">
        <f t="shared" si="253"/>
        <v>84.61559234789307</v>
      </c>
      <c r="U68" s="12">
        <f t="shared" si="254"/>
        <v>15.385018205044812</v>
      </c>
      <c r="W68" t="s">
        <v>98</v>
      </c>
    </row>
    <row r="69" spans="1:23" x14ac:dyDescent="0.25">
      <c r="A69" t="s">
        <v>103</v>
      </c>
      <c r="B69">
        <v>3</v>
      </c>
      <c r="C69">
        <v>3</v>
      </c>
      <c r="D69">
        <v>1</v>
      </c>
      <c r="E69">
        <f t="shared" ref="E69:E70" si="263">B69*12.011+C69*1.0079+D69*15.9994</f>
        <v>55.056100000000001</v>
      </c>
      <c r="F69">
        <v>1</v>
      </c>
      <c r="G69" s="4">
        <v>12225.079973662012</v>
      </c>
      <c r="H69">
        <f t="shared" ref="H69:H70" si="264">G69*0.001055/0.4536</f>
        <v>28.433552407877915</v>
      </c>
      <c r="J69">
        <f t="shared" ref="J69:J70" si="265">B69*(-94054)+C69*(-57795)/2 + E69*F69*G69/1.7988</f>
        <v>5320.0750155287096</v>
      </c>
      <c r="K69">
        <f t="shared" ref="K69:K70" si="266">B69*(-94054)+C69*(-68315)/2 + E69*F69*G69/1.7988</f>
        <v>-10459.92498447129</v>
      </c>
      <c r="L69" s="5">
        <f t="shared" ref="L69:L70" si="267">J69*4.1858</f>
        <v>22268.770000000073</v>
      </c>
      <c r="N69" s="10">
        <f t="shared" ref="N69:N70" si="268">J69/E69*453.6/252</f>
        <v>173.93413314694789</v>
      </c>
      <c r="O69" s="10">
        <f t="shared" ref="O69:O70" si="269">N69*252.6/453.6</f>
        <v>96.860145575218326</v>
      </c>
      <c r="P69" s="4">
        <f t="shared" ref="P69:P70" si="270">O69*4184</f>
        <v>405262.84908671345</v>
      </c>
      <c r="R69" s="10">
        <v>1</v>
      </c>
      <c r="S69" s="11">
        <f t="shared" ref="S69:S70" si="271">(C69*1.00794)/(B69*12.011)</f>
        <v>8.3918075097826991E-2</v>
      </c>
      <c r="T69" s="12">
        <f t="shared" ref="T69:T70" si="272">(B69*12.011)/E69*100</f>
        <v>65.447788710061189</v>
      </c>
      <c r="U69" s="12">
        <f t="shared" ref="U69:U70" si="273">(C69*1.00794)/E69*100</f>
        <v>5.4922524479576289</v>
      </c>
      <c r="W69" t="s">
        <v>98</v>
      </c>
    </row>
    <row r="70" spans="1:23" x14ac:dyDescent="0.25">
      <c r="A70" t="s">
        <v>101</v>
      </c>
      <c r="B70">
        <v>4</v>
      </c>
      <c r="C70">
        <v>6</v>
      </c>
      <c r="D70">
        <v>0</v>
      </c>
      <c r="E70">
        <f t="shared" si="263"/>
        <v>54.091399999999993</v>
      </c>
      <c r="F70">
        <v>1</v>
      </c>
      <c r="G70" s="4">
        <v>18367.278703517964</v>
      </c>
      <c r="H70">
        <f t="shared" si="264"/>
        <v>42.719310035739532</v>
      </c>
      <c r="J70">
        <f t="shared" si="265"/>
        <v>2718.2235176070826</v>
      </c>
      <c r="K70">
        <f t="shared" si="266"/>
        <v>-28841.776482392917</v>
      </c>
      <c r="L70" s="5">
        <f t="shared" si="267"/>
        <v>11377.939999999728</v>
      </c>
      <c r="N70" s="10">
        <f t="shared" si="268"/>
        <v>90.454348227125749</v>
      </c>
      <c r="O70" s="10">
        <f t="shared" si="269"/>
        <v>50.372064290502557</v>
      </c>
      <c r="P70" s="4">
        <f t="shared" si="270"/>
        <v>210756.71699146269</v>
      </c>
      <c r="R70" s="10">
        <v>1</v>
      </c>
      <c r="S70" s="11">
        <f t="shared" si="271"/>
        <v>0.12587711264674051</v>
      </c>
      <c r="T70" s="12">
        <f t="shared" si="272"/>
        <v>88.820034238344732</v>
      </c>
      <c r="U70" s="12">
        <f t="shared" si="273"/>
        <v>11.180409455107467</v>
      </c>
      <c r="W70" t="s">
        <v>98</v>
      </c>
    </row>
    <row r="71" spans="1:23" x14ac:dyDescent="0.25">
      <c r="A71" t="s">
        <v>102</v>
      </c>
      <c r="B71">
        <v>8</v>
      </c>
      <c r="C71">
        <v>8</v>
      </c>
      <c r="D71">
        <v>0</v>
      </c>
      <c r="E71">
        <f t="shared" ref="E71:E73" si="274">B71*12.011+C71*1.0079+D71*15.9994</f>
        <v>104.15119999999999</v>
      </c>
      <c r="F71">
        <v>1</v>
      </c>
      <c r="G71" s="4">
        <v>17080.887390124662</v>
      </c>
      <c r="H71">
        <f t="shared" ref="H71:H73" si="275">G71*0.001055/0.4536</f>
        <v>39.727372567419572</v>
      </c>
      <c r="J71">
        <f t="shared" ref="J71:J73" si="276">B71*(-94054)+C71*(-57795)/2 + E71*F71*G71/1.7988</f>
        <v>5377.8369726215024</v>
      </c>
      <c r="K71">
        <f t="shared" ref="K71:K73" si="277">B71*(-94054)+C71*(-68315)/2 + E71*F71*G71/1.7988</f>
        <v>-36702.163027378498</v>
      </c>
      <c r="L71" s="5">
        <f t="shared" ref="L71:L73" si="278">J71*4.1858</f>
        <v>22510.549999999086</v>
      </c>
      <c r="N71" s="10">
        <f t="shared" ref="N71:N73" si="279">J71/E71*453.6/252</f>
        <v>92.942823037264148</v>
      </c>
      <c r="O71" s="10">
        <f t="shared" ref="O71:O73" si="280">N71*252.6/453.6</f>
        <v>51.757841929481756</v>
      </c>
      <c r="P71" s="4">
        <f t="shared" ref="P71:P73" si="281">O71*4184</f>
        <v>216554.81063295167</v>
      </c>
      <c r="R71" s="10">
        <v>1</v>
      </c>
      <c r="S71" s="11">
        <f t="shared" ref="S71:S73" si="282">(C71*1.00794)/(B71*12.011)</f>
        <v>8.3918075097827005E-2</v>
      </c>
      <c r="T71" s="12">
        <f t="shared" ref="T71:T73" si="283">(B71*12.011)/E71*100</f>
        <v>92.258178494342843</v>
      </c>
      <c r="U71" s="12">
        <f t="shared" ref="U71:U73" si="284">(C71*1.00794)/E71*100</f>
        <v>7.7421287512769918</v>
      </c>
      <c r="W71" t="s">
        <v>98</v>
      </c>
    </row>
    <row r="72" spans="1:23" x14ac:dyDescent="0.25">
      <c r="A72" t="s">
        <v>103</v>
      </c>
      <c r="B72">
        <v>3</v>
      </c>
      <c r="C72">
        <v>3</v>
      </c>
      <c r="D72">
        <v>1</v>
      </c>
      <c r="E72">
        <f t="shared" si="274"/>
        <v>55.056100000000001</v>
      </c>
      <c r="F72">
        <v>1</v>
      </c>
      <c r="G72" s="4">
        <v>11877.443385381597</v>
      </c>
      <c r="H72">
        <f t="shared" si="275"/>
        <v>27.625006110179857</v>
      </c>
      <c r="J72">
        <f t="shared" si="276"/>
        <v>-5320.0821826173924</v>
      </c>
      <c r="K72">
        <f t="shared" si="277"/>
        <v>-21100.082182617392</v>
      </c>
      <c r="L72" s="5">
        <f t="shared" si="278"/>
        <v>-22268.799999999883</v>
      </c>
      <c r="N72" s="10">
        <f t="shared" si="279"/>
        <v>-173.93436746720721</v>
      </c>
      <c r="O72" s="10">
        <f t="shared" si="280"/>
        <v>-96.860276063087596</v>
      </c>
      <c r="P72" s="4">
        <f t="shared" si="281"/>
        <v>-405263.39504795847</v>
      </c>
      <c r="R72" s="10">
        <v>1</v>
      </c>
      <c r="S72" s="11">
        <f t="shared" si="282"/>
        <v>8.3918075097826991E-2</v>
      </c>
      <c r="T72" s="12">
        <f t="shared" si="283"/>
        <v>65.447788710061189</v>
      </c>
      <c r="U72" s="12">
        <f t="shared" si="284"/>
        <v>5.4922524479576289</v>
      </c>
      <c r="W72" t="s">
        <v>98</v>
      </c>
    </row>
    <row r="73" spans="1:23" x14ac:dyDescent="0.25">
      <c r="A73" t="s">
        <v>101</v>
      </c>
      <c r="B73">
        <v>4</v>
      </c>
      <c r="C73">
        <v>6</v>
      </c>
      <c r="D73">
        <v>0</v>
      </c>
      <c r="E73">
        <f t="shared" si="274"/>
        <v>54.091399999999993</v>
      </c>
      <c r="F73">
        <v>1</v>
      </c>
      <c r="G73" s="4">
        <v>18186.490930648382</v>
      </c>
      <c r="H73">
        <f t="shared" si="275"/>
        <v>42.298827010216144</v>
      </c>
      <c r="J73">
        <f t="shared" si="276"/>
        <v>-2718.2139614889165</v>
      </c>
      <c r="K73">
        <f t="shared" si="277"/>
        <v>-34278.213961488917</v>
      </c>
      <c r="L73" s="5">
        <f t="shared" si="278"/>
        <v>-11377.900000000309</v>
      </c>
      <c r="N73" s="10">
        <f t="shared" si="279"/>
        <v>-90.454030228096343</v>
      </c>
      <c r="O73" s="10">
        <f t="shared" si="280"/>
        <v>-50.37188720374148</v>
      </c>
      <c r="P73" s="4">
        <f t="shared" si="281"/>
        <v>-210755.97606045436</v>
      </c>
      <c r="R73" s="10">
        <v>1</v>
      </c>
      <c r="S73" s="11">
        <f t="shared" si="282"/>
        <v>0.12587711264674051</v>
      </c>
      <c r="T73" s="12">
        <f t="shared" si="283"/>
        <v>88.820034238344732</v>
      </c>
      <c r="U73" s="12">
        <f t="shared" si="284"/>
        <v>11.180409455107467</v>
      </c>
      <c r="W73" t="s">
        <v>98</v>
      </c>
    </row>
    <row r="74" spans="1:23" x14ac:dyDescent="0.25">
      <c r="A74" t="s">
        <v>102</v>
      </c>
      <c r="B74">
        <v>8</v>
      </c>
      <c r="C74">
        <v>8</v>
      </c>
      <c r="D74">
        <v>0</v>
      </c>
      <c r="E74">
        <f t="shared" ref="E74" si="285">B74*12.011+C74*1.0079+D74*15.9994</f>
        <v>104.15119999999999</v>
      </c>
      <c r="F74">
        <v>1</v>
      </c>
      <c r="G74" s="4">
        <v>16895.12587411936</v>
      </c>
      <c r="H74">
        <f t="shared" ref="H74" si="286">G74*0.001055/0.4536</f>
        <v>39.295321422389598</v>
      </c>
      <c r="J74">
        <f t="shared" ref="J74" si="287">B74*(-94054)+C74*(-57795)/2 + E74*F74*G74/1.7988</f>
        <v>-5377.825027473853</v>
      </c>
      <c r="K74">
        <f t="shared" ref="K74" si="288">B74*(-94054)+C74*(-68315)/2 + E74*F74*G74/1.7988</f>
        <v>-47457.825027473853</v>
      </c>
      <c r="L74" s="5">
        <f t="shared" ref="L74" si="289">J74*4.1858</f>
        <v>-22510.500000000055</v>
      </c>
      <c r="N74" s="10">
        <f t="shared" ref="N74" si="290">J74/E74*453.6/252</f>
        <v>-92.942616594460134</v>
      </c>
      <c r="O74" s="10">
        <f t="shared" ref="O74" si="291">N74*252.6/453.6</f>
        <v>-51.75772696596259</v>
      </c>
      <c r="P74" s="4">
        <f t="shared" ref="P74" si="292">O74*4184</f>
        <v>-216554.32962558747</v>
      </c>
      <c r="R74" s="10">
        <v>1</v>
      </c>
      <c r="S74" s="11">
        <f t="shared" ref="S74" si="293">(C74*1.00794)/(B74*12.011)</f>
        <v>8.3918075097827005E-2</v>
      </c>
      <c r="T74" s="12">
        <f t="shared" ref="T74" si="294">(B74*12.011)/E74*100</f>
        <v>92.258178494342843</v>
      </c>
      <c r="U74" s="12">
        <f t="shared" ref="U74" si="295">(C74*1.00794)/E74*100</f>
        <v>7.7421287512769918</v>
      </c>
      <c r="W74" t="s">
        <v>98</v>
      </c>
    </row>
  </sheetData>
  <pageMargins left="0.75" right="0.75" top="1" bottom="1" header="0.5" footer="0.5"/>
  <pageSetup scale="7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1"/>
  <sheetViews>
    <sheetView topLeftCell="A16" workbookViewId="0">
      <selection activeCell="R23" sqref="R23"/>
    </sheetView>
  </sheetViews>
  <sheetFormatPr defaultRowHeight="13.2" x14ac:dyDescent="0.25"/>
  <cols>
    <col min="1" max="1" width="14.33203125" customWidth="1"/>
    <col min="15" max="15" width="13.6640625" bestFit="1" customWidth="1"/>
    <col min="16" max="16" width="13" customWidth="1"/>
  </cols>
  <sheetData>
    <row r="1" spans="1:18" x14ac:dyDescent="0.25">
      <c r="A1" t="s">
        <v>0</v>
      </c>
      <c r="F1" t="s">
        <v>1</v>
      </c>
      <c r="G1">
        <v>0.23144400000000001</v>
      </c>
      <c r="H1" t="s">
        <v>2</v>
      </c>
    </row>
    <row r="3" spans="1:18" x14ac:dyDescent="0.25">
      <c r="A3" t="s">
        <v>3</v>
      </c>
      <c r="E3" s="1" t="s">
        <v>4</v>
      </c>
      <c r="F3" s="2">
        <v>12.010999999999999</v>
      </c>
      <c r="G3" s="1" t="s">
        <v>5</v>
      </c>
      <c r="H3" s="2">
        <v>1.008</v>
      </c>
      <c r="I3" s="1" t="s">
        <v>6</v>
      </c>
      <c r="J3" s="2">
        <v>31.998999999999999</v>
      </c>
    </row>
    <row r="4" spans="1:18" x14ac:dyDescent="0.25">
      <c r="F4" t="s">
        <v>7</v>
      </c>
      <c r="G4" t="s">
        <v>8</v>
      </c>
      <c r="H4" t="s">
        <v>7</v>
      </c>
      <c r="I4" t="s">
        <v>8</v>
      </c>
      <c r="J4" t="s">
        <v>9</v>
      </c>
      <c r="K4" t="s">
        <v>10</v>
      </c>
      <c r="L4" t="s">
        <v>9</v>
      </c>
      <c r="M4" t="s">
        <v>8</v>
      </c>
    </row>
    <row r="5" spans="1:18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16</v>
      </c>
      <c r="H5" t="s">
        <v>17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R5" t="s">
        <v>99</v>
      </c>
    </row>
    <row r="6" spans="1:18" x14ac:dyDescent="0.25">
      <c r="A6" t="s">
        <v>22</v>
      </c>
      <c r="B6">
        <v>0</v>
      </c>
      <c r="C6">
        <f t="shared" ref="C6:C12" si="0">B6*$F$3</f>
        <v>0</v>
      </c>
      <c r="D6">
        <v>2</v>
      </c>
      <c r="E6">
        <f t="shared" ref="E6:E13" si="1">D6*$H$3</f>
        <v>2.016</v>
      </c>
      <c r="F6" t="e">
        <f t="shared" ref="F6:G12" si="2">D6/B6</f>
        <v>#DIV/0!</v>
      </c>
      <c r="G6" t="e">
        <f t="shared" si="2"/>
        <v>#DIV/0!</v>
      </c>
      <c r="H6">
        <f t="shared" ref="H6:I12" si="3">B6/D6</f>
        <v>0</v>
      </c>
      <c r="I6">
        <f t="shared" si="3"/>
        <v>0</v>
      </c>
      <c r="J6">
        <f t="shared" ref="J6:J12" si="4">C6+E6</f>
        <v>2.016</v>
      </c>
      <c r="K6">
        <f t="shared" ref="K6:K12" si="5">B6+D6/4</f>
        <v>0.5</v>
      </c>
      <c r="L6">
        <f t="shared" ref="L6:L12" si="6">K6*$J$3</f>
        <v>15.999499999999999</v>
      </c>
      <c r="M6">
        <f t="shared" ref="M6:M12" si="7">J6/L6</f>
        <v>0.12600393762305073</v>
      </c>
      <c r="N6">
        <f t="shared" ref="N6:N12" si="8">M6*$G$1</f>
        <v>2.9162855339229354E-2</v>
      </c>
      <c r="R6" s="30">
        <f t="shared" ref="R6:R13" si="9">B6*($F$3+$J$3) /(C6+E6)</f>
        <v>0</v>
      </c>
    </row>
    <row r="7" spans="1:18" x14ac:dyDescent="0.25">
      <c r="A7" t="s">
        <v>23</v>
      </c>
      <c r="B7">
        <v>1</v>
      </c>
      <c r="C7">
        <f t="shared" si="0"/>
        <v>12.010999999999999</v>
      </c>
      <c r="D7">
        <v>4</v>
      </c>
      <c r="E7">
        <f t="shared" si="1"/>
        <v>4.032</v>
      </c>
      <c r="F7">
        <f t="shared" si="2"/>
        <v>4</v>
      </c>
      <c r="G7">
        <f t="shared" si="2"/>
        <v>0.33569228207476481</v>
      </c>
      <c r="H7">
        <f t="shared" si="3"/>
        <v>0.25</v>
      </c>
      <c r="I7">
        <f t="shared" si="3"/>
        <v>2.9789186507936507</v>
      </c>
      <c r="J7">
        <f t="shared" si="4"/>
        <v>16.042999999999999</v>
      </c>
      <c r="K7">
        <f t="shared" si="5"/>
        <v>2</v>
      </c>
      <c r="L7">
        <f t="shared" si="6"/>
        <v>63.997999999999998</v>
      </c>
      <c r="M7">
        <f t="shared" si="7"/>
        <v>0.25067970874089818</v>
      </c>
      <c r="N7">
        <f t="shared" si="8"/>
        <v>5.8018314509828438E-2</v>
      </c>
      <c r="R7" s="30">
        <f t="shared" si="9"/>
        <v>2.7432525088823785</v>
      </c>
    </row>
    <row r="8" spans="1:18" x14ac:dyDescent="0.25">
      <c r="A8" t="s">
        <v>24</v>
      </c>
      <c r="B8">
        <v>8</v>
      </c>
      <c r="C8">
        <f t="shared" si="0"/>
        <v>96.087999999999994</v>
      </c>
      <c r="D8">
        <v>18</v>
      </c>
      <c r="E8">
        <f t="shared" si="1"/>
        <v>18.143999999999998</v>
      </c>
      <c r="F8">
        <f t="shared" si="2"/>
        <v>2.25</v>
      </c>
      <c r="G8">
        <f t="shared" si="2"/>
        <v>0.1888269086670552</v>
      </c>
      <c r="H8">
        <f t="shared" si="3"/>
        <v>0.44444444444444442</v>
      </c>
      <c r="I8">
        <f t="shared" si="3"/>
        <v>5.2958553791887129</v>
      </c>
      <c r="J8">
        <f t="shared" si="4"/>
        <v>114.232</v>
      </c>
      <c r="K8">
        <f t="shared" si="5"/>
        <v>12.5</v>
      </c>
      <c r="L8">
        <f t="shared" si="6"/>
        <v>399.98750000000001</v>
      </c>
      <c r="M8">
        <f t="shared" si="7"/>
        <v>0.2855889246538954</v>
      </c>
      <c r="N8">
        <f t="shared" si="8"/>
        <v>6.6097843077596169E-2</v>
      </c>
      <c r="R8" s="30">
        <f t="shared" si="9"/>
        <v>3.082148609846628</v>
      </c>
    </row>
    <row r="9" spans="1:18" x14ac:dyDescent="0.25">
      <c r="A9" t="s">
        <v>25</v>
      </c>
      <c r="B9">
        <v>2</v>
      </c>
      <c r="C9">
        <f t="shared" si="0"/>
        <v>24.021999999999998</v>
      </c>
      <c r="D9">
        <v>4</v>
      </c>
      <c r="E9">
        <f t="shared" si="1"/>
        <v>4.032</v>
      </c>
      <c r="F9">
        <f t="shared" si="2"/>
        <v>2</v>
      </c>
      <c r="G9">
        <f t="shared" si="2"/>
        <v>0.16784614103738241</v>
      </c>
      <c r="H9">
        <f t="shared" si="3"/>
        <v>0.5</v>
      </c>
      <c r="I9">
        <f t="shared" si="3"/>
        <v>5.9578373015873014</v>
      </c>
      <c r="J9">
        <f t="shared" si="4"/>
        <v>28.053999999999998</v>
      </c>
      <c r="K9">
        <f t="shared" si="5"/>
        <v>3</v>
      </c>
      <c r="L9">
        <f t="shared" si="6"/>
        <v>95.997</v>
      </c>
      <c r="M9">
        <f t="shared" si="7"/>
        <v>0.29223829911351396</v>
      </c>
      <c r="N9">
        <f t="shared" si="8"/>
        <v>6.7636800900028132E-2</v>
      </c>
      <c r="R9" s="30">
        <f t="shared" si="9"/>
        <v>3.1375204961859273</v>
      </c>
    </row>
    <row r="10" spans="1:18" x14ac:dyDescent="0.25">
      <c r="A10" t="s">
        <v>26</v>
      </c>
      <c r="B10">
        <v>1</v>
      </c>
      <c r="C10">
        <f t="shared" si="0"/>
        <v>12.010999999999999</v>
      </c>
      <c r="D10">
        <v>1.9185000000000001</v>
      </c>
      <c r="E10">
        <f t="shared" si="1"/>
        <v>1.933848</v>
      </c>
      <c r="F10">
        <f t="shared" si="2"/>
        <v>1.9185000000000001</v>
      </c>
      <c r="G10">
        <f t="shared" si="2"/>
        <v>0.16100641079010908</v>
      </c>
      <c r="H10">
        <f t="shared" si="3"/>
        <v>0.52124055251498569</v>
      </c>
      <c r="I10">
        <f t="shared" si="3"/>
        <v>6.2109328137475126</v>
      </c>
      <c r="J10">
        <f t="shared" si="4"/>
        <v>13.944847999999999</v>
      </c>
      <c r="K10">
        <f t="shared" si="5"/>
        <v>1.479625</v>
      </c>
      <c r="L10">
        <f t="shared" si="6"/>
        <v>47.346520374999997</v>
      </c>
      <c r="M10">
        <f t="shared" si="7"/>
        <v>0.29452740960797585</v>
      </c>
      <c r="N10">
        <f t="shared" si="8"/>
        <v>6.8166601789308362E-2</v>
      </c>
      <c r="R10" s="30">
        <f t="shared" si="9"/>
        <v>3.1560042820115357</v>
      </c>
    </row>
    <row r="11" spans="1:18" x14ac:dyDescent="0.25">
      <c r="A11" t="s">
        <v>27</v>
      </c>
      <c r="B11">
        <v>1</v>
      </c>
      <c r="C11">
        <f t="shared" si="0"/>
        <v>12.010999999999999</v>
      </c>
      <c r="D11">
        <v>1.9422999999999999</v>
      </c>
      <c r="E11">
        <f t="shared" si="1"/>
        <v>1.9578384</v>
      </c>
      <c r="F11">
        <f t="shared" si="2"/>
        <v>1.9422999999999999</v>
      </c>
      <c r="G11">
        <f t="shared" si="2"/>
        <v>0.16300377986845394</v>
      </c>
      <c r="H11">
        <f t="shared" si="3"/>
        <v>0.51485352417237296</v>
      </c>
      <c r="I11">
        <f t="shared" si="3"/>
        <v>6.1348270623356855</v>
      </c>
      <c r="J11">
        <f t="shared" si="4"/>
        <v>13.968838399999999</v>
      </c>
      <c r="K11">
        <f t="shared" si="5"/>
        <v>1.4855749999999999</v>
      </c>
      <c r="L11">
        <f t="shared" si="6"/>
        <v>47.536914424999992</v>
      </c>
      <c r="M11">
        <f t="shared" si="7"/>
        <v>0.29385244223284485</v>
      </c>
      <c r="N11">
        <f t="shared" si="8"/>
        <v>6.8010384640138546E-2</v>
      </c>
      <c r="R11" s="30">
        <f t="shared" si="9"/>
        <v>3.1505840886526397</v>
      </c>
    </row>
    <row r="12" spans="1:18" x14ac:dyDescent="0.25">
      <c r="A12" t="s">
        <v>28</v>
      </c>
      <c r="B12">
        <v>2</v>
      </c>
      <c r="C12">
        <f t="shared" si="0"/>
        <v>24.021999999999998</v>
      </c>
      <c r="D12">
        <v>2</v>
      </c>
      <c r="E12">
        <f t="shared" si="1"/>
        <v>2.016</v>
      </c>
      <c r="F12">
        <f t="shared" si="2"/>
        <v>1</v>
      </c>
      <c r="G12">
        <f t="shared" si="2"/>
        <v>8.3923070518691203E-2</v>
      </c>
      <c r="H12">
        <f t="shared" si="3"/>
        <v>1</v>
      </c>
      <c r="I12">
        <f t="shared" si="3"/>
        <v>11.915674603174603</v>
      </c>
      <c r="J12">
        <f t="shared" si="4"/>
        <v>26.037999999999997</v>
      </c>
      <c r="K12">
        <f t="shared" si="5"/>
        <v>2.5</v>
      </c>
      <c r="L12">
        <f t="shared" si="6"/>
        <v>79.997500000000002</v>
      </c>
      <c r="M12">
        <f t="shared" si="7"/>
        <v>0.32548517141160654</v>
      </c>
      <c r="N12">
        <f t="shared" si="8"/>
        <v>7.5331590012187866E-2</v>
      </c>
      <c r="R12" s="30">
        <f t="shared" si="9"/>
        <v>3.3804439665104851</v>
      </c>
    </row>
    <row r="13" spans="1:18" x14ac:dyDescent="0.25">
      <c r="A13" t="s">
        <v>100</v>
      </c>
      <c r="B13">
        <v>1</v>
      </c>
      <c r="C13">
        <f t="shared" ref="C13" si="10">B13*$F$3</f>
        <v>12.010999999999999</v>
      </c>
      <c r="D13" s="11">
        <v>1.92367</v>
      </c>
      <c r="E13">
        <f t="shared" si="1"/>
        <v>1.9390593599999999</v>
      </c>
      <c r="F13">
        <f t="shared" ref="F13" si="11">D13/B13</f>
        <v>1.92367</v>
      </c>
      <c r="G13">
        <f t="shared" ref="G13" si="12">E13/C13</f>
        <v>0.16144029306469071</v>
      </c>
      <c r="H13">
        <f t="shared" ref="H13" si="13">B13/D13</f>
        <v>0.51983968144224324</v>
      </c>
      <c r="I13">
        <f t="shared" ref="I13" si="14">C13/E13</f>
        <v>6.1942404898837138</v>
      </c>
      <c r="J13">
        <f t="shared" ref="J13" si="15">C13+E13</f>
        <v>13.950059359999999</v>
      </c>
      <c r="K13">
        <f t="shared" ref="K13" si="16">B13+D13/4</f>
        <v>1.4809174999999999</v>
      </c>
      <c r="L13">
        <f t="shared" ref="L13" si="17">K13*$J$3</f>
        <v>47.387879082499992</v>
      </c>
      <c r="M13">
        <f t="shared" ref="M13" si="18">J13/L13</f>
        <v>0.29438032741903525</v>
      </c>
      <c r="N13">
        <f t="shared" ref="N13" si="19">M13*$G$1</f>
        <v>6.8132560499171199E-2</v>
      </c>
      <c r="R13" s="30">
        <f t="shared" si="9"/>
        <v>3.1548252852739118</v>
      </c>
    </row>
    <row r="16" spans="1:18" x14ac:dyDescent="0.25">
      <c r="J16">
        <v>0</v>
      </c>
    </row>
    <row r="17" spans="1:18" x14ac:dyDescent="0.25">
      <c r="A17" s="3" t="s">
        <v>58</v>
      </c>
      <c r="E17" s="1" t="s">
        <v>4</v>
      </c>
      <c r="F17" s="2">
        <v>12.010999999999999</v>
      </c>
      <c r="G17" s="1" t="s">
        <v>5</v>
      </c>
      <c r="H17" s="2">
        <v>1.008</v>
      </c>
      <c r="I17" s="1" t="s">
        <v>6</v>
      </c>
      <c r="J17" s="2">
        <v>31.998999999999999</v>
      </c>
    </row>
    <row r="18" spans="1:18" x14ac:dyDescent="0.25">
      <c r="H18" t="s">
        <v>7</v>
      </c>
      <c r="I18" t="s">
        <v>8</v>
      </c>
      <c r="J18" t="s">
        <v>7</v>
      </c>
      <c r="K18" t="s">
        <v>8</v>
      </c>
      <c r="L18" t="s">
        <v>9</v>
      </c>
      <c r="M18" t="s">
        <v>10</v>
      </c>
      <c r="N18" t="s">
        <v>9</v>
      </c>
      <c r="O18" t="s">
        <v>8</v>
      </c>
    </row>
    <row r="19" spans="1:18" x14ac:dyDescent="0.2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s="3" t="s">
        <v>59</v>
      </c>
      <c r="G19" s="3" t="s">
        <v>60</v>
      </c>
      <c r="H19" t="s">
        <v>16</v>
      </c>
      <c r="I19" t="s">
        <v>16</v>
      </c>
      <c r="J19" t="s">
        <v>17</v>
      </c>
      <c r="K19" t="s">
        <v>17</v>
      </c>
      <c r="L19" t="s">
        <v>18</v>
      </c>
      <c r="M19" t="s">
        <v>19</v>
      </c>
      <c r="N19" t="s">
        <v>19</v>
      </c>
      <c r="O19" t="s">
        <v>20</v>
      </c>
      <c r="P19" t="s">
        <v>21</v>
      </c>
      <c r="R19" t="s">
        <v>99</v>
      </c>
    </row>
    <row r="20" spans="1:18" x14ac:dyDescent="0.25">
      <c r="A20" s="3" t="s">
        <v>61</v>
      </c>
      <c r="B20">
        <v>20</v>
      </c>
      <c r="C20">
        <f>B20*$F$3</f>
        <v>240.21999999999997</v>
      </c>
      <c r="D20">
        <v>40</v>
      </c>
      <c r="E20">
        <f t="shared" ref="E20" si="20">D20*$H$3</f>
        <v>40.32</v>
      </c>
      <c r="F20">
        <v>2</v>
      </c>
      <c r="G20">
        <f>F20/2*$J$3</f>
        <v>31.998999999999999</v>
      </c>
      <c r="H20">
        <f>D20/B20</f>
        <v>2</v>
      </c>
      <c r="I20">
        <f>E20/C20</f>
        <v>0.16784614103738243</v>
      </c>
      <c r="J20">
        <f>B20/D20</f>
        <v>0.5</v>
      </c>
      <c r="K20">
        <f>C20/E20</f>
        <v>5.9578373015873005</v>
      </c>
      <c r="L20">
        <f>C20+E20+G20</f>
        <v>312.53899999999999</v>
      </c>
      <c r="M20">
        <f>B20+D20/4-F20/2</f>
        <v>29</v>
      </c>
      <c r="N20">
        <f t="shared" ref="N20" si="21">M20*$J$3</f>
        <v>927.971</v>
      </c>
      <c r="O20">
        <f t="shared" ref="O20" si="22">L20/N20</f>
        <v>0.33679824046225582</v>
      </c>
      <c r="P20">
        <f t="shared" ref="P20" si="23">O20*$G$1</f>
        <v>7.7949931965546337E-2</v>
      </c>
      <c r="R20" s="30">
        <f>B20*($F$3+$J$3) /(C20+E20+G20)</f>
        <v>2.8162885271918063</v>
      </c>
    </row>
    <row r="21" spans="1:18" x14ac:dyDescent="0.25">
      <c r="A21" t="s">
        <v>26</v>
      </c>
      <c r="B21">
        <v>1</v>
      </c>
      <c r="C21">
        <f>B21*$F$3</f>
        <v>12.010999999999999</v>
      </c>
      <c r="D21">
        <v>1.9185000000000001</v>
      </c>
      <c r="E21">
        <f t="shared" ref="E21:E23" si="24">D21*$H$3</f>
        <v>1.933848</v>
      </c>
      <c r="F21">
        <v>0</v>
      </c>
      <c r="G21">
        <f>F21/2*$J$3</f>
        <v>0</v>
      </c>
      <c r="H21">
        <f>D21/B21</f>
        <v>1.9185000000000001</v>
      </c>
      <c r="I21">
        <f>E21/C21</f>
        <v>0.16100641079010908</v>
      </c>
      <c r="J21">
        <f>B21/D21</f>
        <v>0.52124055251498569</v>
      </c>
      <c r="K21">
        <f>C21/E21</f>
        <v>6.2109328137475126</v>
      </c>
      <c r="L21">
        <f>C21+E21+G21</f>
        <v>13.944847999999999</v>
      </c>
      <c r="M21">
        <f>B21+D21/4-F21/2</f>
        <v>1.479625</v>
      </c>
      <c r="N21">
        <f t="shared" ref="N21" si="25">M21*$J$3</f>
        <v>47.346520374999997</v>
      </c>
      <c r="O21">
        <f t="shared" ref="O21" si="26">L21/N21</f>
        <v>0.29452740960797585</v>
      </c>
      <c r="P21">
        <f t="shared" ref="P21" si="27">O21*$G$1</f>
        <v>6.8166601789308362E-2</v>
      </c>
      <c r="R21" s="30">
        <f t="shared" ref="R21:R23" si="28">B21*($F$3+$J$3) /(C21+E21+G21)</f>
        <v>3.1560042820115357</v>
      </c>
    </row>
    <row r="22" spans="1:18" x14ac:dyDescent="0.25">
      <c r="A22" s="3" t="s">
        <v>62</v>
      </c>
      <c r="B22">
        <v>1</v>
      </c>
      <c r="C22">
        <f t="shared" ref="C22:C23" si="29">B22*$F$3</f>
        <v>12.010999999999999</v>
      </c>
      <c r="D22">
        <v>4</v>
      </c>
      <c r="E22">
        <f t="shared" si="24"/>
        <v>4.032</v>
      </c>
      <c r="F22">
        <v>1</v>
      </c>
      <c r="G22">
        <f t="shared" ref="G22:G23" si="30">F22/2*$J$3</f>
        <v>15.999499999999999</v>
      </c>
      <c r="H22">
        <f t="shared" ref="H22:H23" si="31">D22/B22</f>
        <v>4</v>
      </c>
      <c r="I22">
        <f t="shared" ref="I22:I23" si="32">E22/C22</f>
        <v>0.33569228207476481</v>
      </c>
      <c r="J22">
        <f t="shared" ref="J22:J23" si="33">B22/D22</f>
        <v>0.25</v>
      </c>
      <c r="K22">
        <f t="shared" ref="K22:K23" si="34">C22/E22</f>
        <v>2.9789186507936507</v>
      </c>
      <c r="L22">
        <f t="shared" ref="L22:L23" si="35">C22+E22+G22</f>
        <v>32.042499999999997</v>
      </c>
      <c r="M22">
        <f t="shared" ref="M22:M23" si="36">B22+D22/4-F22/2</f>
        <v>1.5</v>
      </c>
      <c r="N22">
        <f t="shared" ref="N22:N23" si="37">M22*$J$3</f>
        <v>47.9985</v>
      </c>
      <c r="O22">
        <f t="shared" ref="O22:O23" si="38">L22/N22</f>
        <v>0.66757294498786413</v>
      </c>
      <c r="P22">
        <f t="shared" ref="P22:P23" si="39">O22*$G$1</f>
        <v>0.15450575267977124</v>
      </c>
      <c r="R22" s="30">
        <f t="shared" si="28"/>
        <v>1.3734883358040104</v>
      </c>
    </row>
    <row r="23" spans="1:18" x14ac:dyDescent="0.25">
      <c r="A23" s="3" t="s">
        <v>63</v>
      </c>
      <c r="B23">
        <v>2</v>
      </c>
      <c r="C23">
        <f t="shared" si="29"/>
        <v>24.021999999999998</v>
      </c>
      <c r="D23">
        <v>6</v>
      </c>
      <c r="E23">
        <f t="shared" si="24"/>
        <v>6.048</v>
      </c>
      <c r="F23">
        <v>1</v>
      </c>
      <c r="G23">
        <f t="shared" si="30"/>
        <v>15.999499999999999</v>
      </c>
      <c r="H23">
        <f t="shared" si="31"/>
        <v>3</v>
      </c>
      <c r="I23">
        <f t="shared" si="32"/>
        <v>0.25176921155607362</v>
      </c>
      <c r="J23">
        <f t="shared" si="33"/>
        <v>0.33333333333333331</v>
      </c>
      <c r="K23">
        <f t="shared" si="34"/>
        <v>3.971891534391534</v>
      </c>
      <c r="L23">
        <f t="shared" si="35"/>
        <v>46.069499999999998</v>
      </c>
      <c r="M23">
        <f t="shared" si="36"/>
        <v>3</v>
      </c>
      <c r="N23">
        <f t="shared" si="37"/>
        <v>95.997</v>
      </c>
      <c r="O23">
        <f t="shared" si="38"/>
        <v>0.47990562205068904</v>
      </c>
      <c r="P23">
        <f t="shared" si="39"/>
        <v>0.11107127678989968</v>
      </c>
      <c r="R23" s="30">
        <f t="shared" si="28"/>
        <v>1.9105916061602579</v>
      </c>
    </row>
    <row r="24" spans="1:18" x14ac:dyDescent="0.25">
      <c r="R24" s="30"/>
    </row>
    <row r="25" spans="1:18" x14ac:dyDescent="0.25">
      <c r="R25" s="30"/>
    </row>
    <row r="26" spans="1:18" x14ac:dyDescent="0.25">
      <c r="K26" t="s">
        <v>67</v>
      </c>
      <c r="L26" t="s">
        <v>71</v>
      </c>
      <c r="M26" t="s">
        <v>72</v>
      </c>
      <c r="N26" t="s">
        <v>73</v>
      </c>
      <c r="O26" t="s">
        <v>74</v>
      </c>
      <c r="R26" s="30"/>
    </row>
    <row r="27" spans="1:18" x14ac:dyDescent="0.25">
      <c r="K27" t="s">
        <v>68</v>
      </c>
      <c r="L27">
        <v>1561680</v>
      </c>
      <c r="M27">
        <v>14.0067</v>
      </c>
      <c r="N27">
        <f>L27*M27</f>
        <v>21873983.256000001</v>
      </c>
      <c r="O27">
        <f>N27/N$31</f>
        <v>0.75513170588275036</v>
      </c>
      <c r="R27" s="30"/>
    </row>
    <row r="28" spans="1:18" x14ac:dyDescent="0.25">
      <c r="K28" t="s">
        <v>38</v>
      </c>
      <c r="L28">
        <v>418930</v>
      </c>
      <c r="M28">
        <v>15.9994</v>
      </c>
      <c r="N28">
        <f t="shared" ref="N28:N30" si="40">L28*M28</f>
        <v>6702628.642</v>
      </c>
      <c r="O28" s="9">
        <f t="shared" ref="O28:O30" si="41">N28/N$31</f>
        <v>0.23138755027362093</v>
      </c>
    </row>
    <row r="29" spans="1:18" x14ac:dyDescent="0.25">
      <c r="K29" t="s">
        <v>69</v>
      </c>
      <c r="L29">
        <v>9340</v>
      </c>
      <c r="M29">
        <v>39.948</v>
      </c>
      <c r="N29">
        <f t="shared" si="40"/>
        <v>373114.32</v>
      </c>
      <c r="O29" s="9">
        <f t="shared" si="41"/>
        <v>1.2880619393982516E-2</v>
      </c>
    </row>
    <row r="30" spans="1:18" x14ac:dyDescent="0.25">
      <c r="K30" t="s">
        <v>70</v>
      </c>
      <c r="L30">
        <v>395</v>
      </c>
      <c r="M30">
        <f>12.011+(2*15.9994)</f>
        <v>44.009799999999998</v>
      </c>
      <c r="N30">
        <f t="shared" si="40"/>
        <v>17383.870999999999</v>
      </c>
      <c r="O30" s="9">
        <f t="shared" si="41"/>
        <v>6.001244496461305E-4</v>
      </c>
    </row>
    <row r="31" spans="1:18" x14ac:dyDescent="0.25">
      <c r="N31">
        <f>SUM(N27:N30)</f>
        <v>28967110.089000002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HV-Hcomb</vt:lpstr>
      <vt:lpstr>stoich</vt:lpstr>
    </vt:vector>
  </TitlesOfParts>
  <Company>NASA Glenn Research Center - Code LTA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HF298  Hv &amp; enthalpy converter</dc:title>
  <dc:creator>Chris Snyder</dc:creator>
  <dc:description>Engineering spreadsheet to convert HV to CEA enthalpy, calculate stoichiometric F/A ratio, etc.  Uses numbers from Sanford Gordon's HF298 FOTRAN code</dc:description>
  <cp:lastModifiedBy>Snyder, Christopher A. (GRC-LTA0)</cp:lastModifiedBy>
  <cp:lastPrinted>2013-01-02T20:56:22Z</cp:lastPrinted>
  <dcterms:created xsi:type="dcterms:W3CDTF">1998-09-22T21:05:29Z</dcterms:created>
  <dcterms:modified xsi:type="dcterms:W3CDTF">2019-01-30T14:21:22Z</dcterms:modified>
</cp:coreProperties>
</file>