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vsd" ContentType="application/vnd.visi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623" codeName="{499AFE36-ED4D-9D94-70EF-1DFAAA4259C6}"/>
  <workbookPr codeName="ThisWorkbook"/>
  <mc:AlternateContent xmlns:mc="http://schemas.openxmlformats.org/markup-compatibility/2006">
    <mc:Choice Requires="x15">
      <x15ac:absPath xmlns:x15ac="http://schemas.microsoft.com/office/spreadsheetml/2010/11/ac" url="https://d.docs.live.net/90881104d375f688/デスクトップ/新生UMIUSI/新生UMIUSI_基板/control_unit/"/>
    </mc:Choice>
  </mc:AlternateContent>
  <xr:revisionPtr revIDLastSave="292" documentId="13_ncr:1_{59700F5B-EEF1-4C04-9D1B-DC5A201F6080}" xr6:coauthVersionLast="47" xr6:coauthVersionMax="47" xr10:uidLastSave="{CB04C531-9C7F-4331-81B7-7563869B53BD}"/>
  <workbookProtection workbookAlgorithmName="SHA-512" workbookHashValue="9wToXEgJDC0XYsEauXQliR369bzOVYpxzBlQCX5yU9+QK8pkljS/1uDCzHc4G1prbZWc2LOQ0LQw9UCbzbqOJQ==" workbookSaltValue="2e0uLmMBKWAAu0WADn+orQ==" workbookSpinCount="100000" lockStructure="1"/>
  <bookViews>
    <workbookView xWindow="-108" yWindow="-108" windowWidth="23256" windowHeight="14856" tabRatio="419" xr2:uid="{00000000-000D-0000-FFFF-FFFF00000000}"/>
  </bookViews>
  <sheets>
    <sheet name="Design Regulator" sheetId="1" r:id="rId1"/>
    <sheet name="Schematic &amp; BOM" sheetId="16" r:id="rId2"/>
    <sheet name="EVMs" sheetId="18" r:id="rId3"/>
    <sheet name="Variable Management" sheetId="2" state="hidden" r:id="rId4"/>
    <sheet name="Standard Value Calculator" sheetId="8" state="hidden" r:id="rId5"/>
    <sheet name="Bode Plots Calculations" sheetId="3" state="hidden" r:id="rId6"/>
    <sheet name="Schematic Management" sheetId="17" state="hidden" r:id="rId7"/>
    <sheet name="Power Calculations" sheetId="4" state="hidden" r:id="rId8"/>
    <sheet name="Snubber" sheetId="11" state="hidden" r:id="rId9"/>
    <sheet name="Parallel Output Caps" sheetId="6" state="hidden" r:id="rId10"/>
  </sheets>
  <definedNames>
    <definedName name="_Don1">'Variable Management'!$B$23</definedName>
    <definedName name="_Don2">'Variable Management'!$B$34</definedName>
    <definedName name="_Ren1">'Variable Management'!$B$94</definedName>
    <definedName name="_Rfb1">'Variable Management'!$B$126</definedName>
    <definedName name="_Rfb2">'Variable Management'!$B$127</definedName>
    <definedName name="_Rs1">'Variable Management'!$B$65</definedName>
    <definedName name="_Rs2">'Variable Management'!$B$64</definedName>
    <definedName name="_Rs3">'Variable Management'!$B$62</definedName>
    <definedName name="Cb">'Variable Management'!$B$119</definedName>
    <definedName name="Cby">'Variable Management'!$B$118</definedName>
    <definedName name="Cc1ea">'Variable Management'!$B$133</definedName>
    <definedName name="Cc1ea_u">'Variable Management'!$B$140</definedName>
    <definedName name="Cc2ea">'Variable Management'!$B$134</definedName>
    <definedName name="Cc2ea_u">'Variable Management'!$B$141</definedName>
    <definedName name="Cc3ea">'Variable Management'!$B$136</definedName>
    <definedName name="Cc3ea_u">'Variable Management'!$B$143</definedName>
    <definedName name="Cdd">'Variable Management'!$B$115</definedName>
    <definedName name="Cilim">'Variable Management'!$B$64</definedName>
    <definedName name="Cilim_ideal">'Variable Management'!$B$65</definedName>
    <definedName name="Cin">'Variable Management'!$B$81</definedName>
    <definedName name="Cin_Voltage_Rating">'Variable Management'!$S$66</definedName>
    <definedName name="CinEsrMax">'Variable Management'!$B$82</definedName>
    <definedName name="Core_Loss">'Design Regulator'!$E$21</definedName>
    <definedName name="CossBot">'Variable Management'!$B$202</definedName>
    <definedName name="CossTop">'Variable Management'!$B$190</definedName>
    <definedName name="Cout">'Variable Management'!$B$71</definedName>
    <definedName name="Cout_Voltage_Rating">'Variable Management'!$M$66</definedName>
    <definedName name="CoutEsr">'Variable Management'!$B$73</definedName>
    <definedName name="Coutmin">'Variable Management'!$B$70</definedName>
    <definedName name="Csb">'Variable Management'!$B$116</definedName>
    <definedName name="Csby">'Variable Management'!$B$117</definedName>
    <definedName name="Css">'Variable Management'!$B$90</definedName>
    <definedName name="Css_u">'Variable Management'!$B$91</definedName>
    <definedName name="DC_Current_Limit_Setpoint">'Variable Management'!$B$49</definedName>
    <definedName name="Deadtime">'Variable Management'!$B$181</definedName>
    <definedName name="Doff1">'Variable Management'!$B$24</definedName>
    <definedName name="Doff2">'Variable Management'!$B$35</definedName>
    <definedName name="Don_Vinmax">'Variable Management'!$B$27</definedName>
    <definedName name="Eadcg">'Variable Management'!$B$122</definedName>
    <definedName name="Ext_VCC">'Variable Management'!$V$21</definedName>
    <definedName name="Fcross">'Variable Management'!$B$124</definedName>
    <definedName name="Fesr">'Variable Management'!$B$148</definedName>
    <definedName name="Fo">'Variable Management'!$B$146</definedName>
    <definedName name="Fp1_u">'Variable Management'!$B$151</definedName>
    <definedName name="Fp2_u">'Variable Management'!$B$152</definedName>
    <definedName name="Fsw">'Variable Management'!$B$12</definedName>
    <definedName name="Fz1_u">'Variable Management'!$B$149</definedName>
    <definedName name="Fz2_u">'Variable Management'!$B$150</definedName>
    <definedName name="GBP">'Variable Management'!$B$123</definedName>
    <definedName name="GmTop">'Variable Management'!$B$192</definedName>
    <definedName name="Icinrms">'Variable Management'!$B$79</definedName>
    <definedName name="Icoutrms">'Variable Management'!$B$69</definedName>
    <definedName name="Ilim1">'Variable Management'!$B$53</definedName>
    <definedName name="Ilim2">'Variable Management'!$B$54</definedName>
    <definedName name="ILimit">'Variable Management'!$B$50</definedName>
    <definedName name="Ilsat">'Variable Management'!$B$51</definedName>
    <definedName name="Iout">'Variable Management'!$B$11</definedName>
    <definedName name="Ipp">'Power Calculations'!$B$69</definedName>
    <definedName name="Iq">'Variable Management'!$B$183</definedName>
    <definedName name="Ireverse">'Variable Management'!$B$211</definedName>
    <definedName name="Iripple1">'Variable Management'!$B$42</definedName>
    <definedName name="Iss">'Variable Management'!$B$89</definedName>
    <definedName name="Iuvlo_hys">'Variable Management'!$B$109</definedName>
    <definedName name="Iuvlo1">'Variable Management'!$B$107</definedName>
    <definedName name="Iuvlo2">'Variable Management'!$B$108</definedName>
    <definedName name="Kmidband">'Variable Management'!$B$125</definedName>
    <definedName name="Lout1">'Variable Management'!$B$30</definedName>
    <definedName name="Lout2">'Variable Management'!$B$31</definedName>
    <definedName name="Ltc">'Variable Management'!$B$169</definedName>
    <definedName name="Pi">'Variable Management'!$B$154</definedName>
    <definedName name="PICTURE10">INDIRECT('Schematic Management'!$A$2)</definedName>
    <definedName name="PICTURE2" localSheetId="6">INDIRECT('Schematic Management'!$A$2)</definedName>
    <definedName name="_xlnm.Print_Area" localSheetId="0">'Design Regulator'!$A$1:$Q$111</definedName>
    <definedName name="_xlnm.Print_Area" localSheetId="1">'Schematic &amp; BOM'!$A$1:$J$68</definedName>
    <definedName name="Q">'Variable Management'!$B$147</definedName>
    <definedName name="QgBot">'Variable Management'!$B$200</definedName>
    <definedName name="QgdTop">'Variable Management'!$B$188</definedName>
    <definedName name="QgsTop">'Variable Management'!$B$189</definedName>
    <definedName name="QgTop">'Variable Management'!$B$187</definedName>
    <definedName name="QossBot">'Variable Management'!$B$201</definedName>
    <definedName name="QrrBot">'Variable Management'!$B$205</definedName>
    <definedName name="QrrSky">'Variable Management'!$B$210</definedName>
    <definedName name="Rcea1">'Variable Management'!$B$132</definedName>
    <definedName name="Rcea1_u">'Variable Management'!$B$139</definedName>
    <definedName name="Rcea2">'Variable Management'!$B$135</definedName>
    <definedName name="Rcea2_u">'Variable Management'!$B$142</definedName>
    <definedName name="RCinEsr">'Variable Management'!$B$83</definedName>
    <definedName name="RCoutEsr">'Variable Management'!$B$73</definedName>
    <definedName name="Rdcr">'Variable Management'!$B$32</definedName>
    <definedName name="RDSON_sense">'Variable Management'!$M$56</definedName>
    <definedName name="RdsonBot">'Variable Management'!$B$198</definedName>
    <definedName name="RdsonBotTc">'Variable Management'!$B$199</definedName>
    <definedName name="RdsonDRB">'Variable Management'!$B$178</definedName>
    <definedName name="RdsonDRB2">'Variable Management'!$B$179</definedName>
    <definedName name="RdsonDRT">'Variable Management'!$B$175</definedName>
    <definedName name="RdsonDRT2">'Variable Management'!$B$176</definedName>
    <definedName name="RdsonTop">'Variable Management'!$B$185</definedName>
    <definedName name="RdsonTopTc">'Variable Management'!$B$186</definedName>
    <definedName name="Resrmax">'Variable Management'!$B$72</definedName>
    <definedName name="Rfadj">'Variable Management'!$B$15</definedName>
    <definedName name="Rfb2_u">'Variable Management'!$B$128</definedName>
    <definedName name="Rfets">'Variable Management'!$B$156</definedName>
    <definedName name="RGateBot">'Variable Management'!$B$203</definedName>
    <definedName name="RGateTop">'Variable Management'!$B$191</definedName>
    <definedName name="Rh">'Variable Management'!$B$113</definedName>
    <definedName name="Rilim_Rdson">'Variable Management'!$B$56</definedName>
    <definedName name="Rilim_Rdson_ideal">'Variable Management'!$B$55</definedName>
    <definedName name="Rilim_shunt">'Variable Management'!$B$60</definedName>
    <definedName name="Rilim_shunt_ideal">'Variable Management'!$B$59</definedName>
    <definedName name="Ro">'Variable Management'!$B$153</definedName>
    <definedName name="Rpg">'Variable Management'!$B$111</definedName>
    <definedName name="Rsb">'Variable Management'!$B$112</definedName>
    <definedName name="Rshunt">'Variable Management'!$B$58</definedName>
    <definedName name="Ruvlo1">'Variable Management'!$B$97</definedName>
    <definedName name="Ruvlo2">'Variable Management'!$B$98</definedName>
    <definedName name="SCH_RDSON">'Schematic Management'!$B$5</definedName>
    <definedName name="SCH_SHUNT">'Schematic Management'!$B$8</definedName>
    <definedName name="Ta">'Variable Management'!$B$167</definedName>
    <definedName name="Tf">'Variable Management'!$B$217</definedName>
    <definedName name="ThetaCa">'Variable Management'!$B$170</definedName>
    <definedName name="ThetaJaBot">'Variable Management'!$B$207</definedName>
    <definedName name="ThetaJaCtrl">'Variable Management'!$B$213</definedName>
    <definedName name="ThetaJaTop">'Variable Management'!$B$196</definedName>
    <definedName name="TL">'Variable Management'!$B$44</definedName>
    <definedName name="Tr">'Variable Management'!$B$216</definedName>
    <definedName name="TrrBot">'Variable Management'!$B$206</definedName>
    <definedName name="Tss">'Variable Management'!$B$88</definedName>
    <definedName name="VARIANT">'Variable Management'!$V$12</definedName>
    <definedName name="Vdd">'Variable Management'!$B$173</definedName>
    <definedName name="VfdSky">'Variable Management'!$B$209</definedName>
    <definedName name="Vin">'Variable Management'!$B$7</definedName>
    <definedName name="VIN_MAX_RATING">'Variable Management'!$U$13</definedName>
    <definedName name="VIN_MIN_RATING">'Variable Management'!$U$14</definedName>
    <definedName name="Vinmax">'Variable Management'!$B$9</definedName>
    <definedName name="Vinmin">'Variable Management'!$B$8</definedName>
    <definedName name="Vinripple1">'Variable Management'!$B$78</definedName>
    <definedName name="Vinripple2">'Variable Management'!$B$84</definedName>
    <definedName name="VINuvlo_off">'Variable Management'!$B$96</definedName>
    <definedName name="VINuvlo_on">'Variable Management'!$B$95</definedName>
    <definedName name="Vout">'Variable Management'!$B$10</definedName>
    <definedName name="VOUT_MAX_RATING">'Variable Management'!$U$15</definedName>
    <definedName name="Vramp">'Variable Management'!$B$131</definedName>
    <definedName name="Vref">'Variable Management'!$B$14</definedName>
    <definedName name="Vripple1">'Variable Management'!$B$41</definedName>
    <definedName name="Vripple2">'Variable Management'!$B$74</definedName>
    <definedName name="VsdBot">'Variable Management'!$B$204</definedName>
    <definedName name="VsdTop">'Variable Management'!$B$195</definedName>
    <definedName name="VspTop">'Variable Management'!$B$194</definedName>
    <definedName name="VthTop">'Variable Management'!$B$193</definedName>
    <definedName name="Vuvlo_hys">'Variable Management'!$B$106</definedName>
    <definedName name="Vuvlo_off">'Variable Management'!$B$105</definedName>
    <definedName name="Vuvlo_on">'Variable Management'!$B$104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3" i="4" l="1"/>
  <c r="A270" i="2" l="1"/>
  <c r="D63" i="16" l="1"/>
  <c r="U15" i="2" l="1"/>
  <c r="C63" i="16" l="1"/>
  <c r="I63" i="16"/>
  <c r="U14" i="2"/>
  <c r="U13" i="2"/>
  <c r="U12" i="2"/>
  <c r="P10" i="4" l="1"/>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9" i="4"/>
  <c r="B249" i="2" l="1"/>
  <c r="F70" i="1" l="1"/>
  <c r="F69" i="1"/>
  <c r="F68" i="1"/>
  <c r="F67" i="1"/>
  <c r="A68" i="1" l="1"/>
  <c r="B190" i="2" l="1"/>
  <c r="B202" i="2"/>
  <c r="B201" i="2"/>
  <c r="L42" i="16" l="1"/>
  <c r="L59" i="16"/>
  <c r="A50" i="16" l="1"/>
  <c r="A49" i="16"/>
  <c r="L50" i="16"/>
  <c r="L49" i="16"/>
  <c r="A43" i="16" l="1"/>
  <c r="L43" i="16" s="1"/>
  <c r="C43" i="16"/>
  <c r="B13" i="2" l="1"/>
  <c r="B15" i="2" s="1"/>
  <c r="A269" i="2" l="1"/>
  <c r="B12" i="2" l="1"/>
  <c r="E70" i="1" s="1"/>
  <c r="K50" i="16"/>
  <c r="K49" i="16"/>
  <c r="K44" i="16"/>
  <c r="K43" i="16"/>
  <c r="L48" i="16"/>
  <c r="K48" i="16"/>
  <c r="L62" i="16"/>
  <c r="L61" i="16"/>
  <c r="L60" i="16"/>
  <c r="L58" i="16"/>
  <c r="L57" i="16"/>
  <c r="L56" i="16"/>
  <c r="L55" i="16"/>
  <c r="L54" i="16"/>
  <c r="L53" i="16"/>
  <c r="L52" i="16"/>
  <c r="K62" i="16"/>
  <c r="K61" i="16"/>
  <c r="K60" i="16"/>
  <c r="K58" i="16"/>
  <c r="K56" i="16"/>
  <c r="K57" i="16"/>
  <c r="K55" i="16"/>
  <c r="K54" i="16"/>
  <c r="K53" i="16"/>
  <c r="K52" i="16"/>
  <c r="L47" i="16"/>
  <c r="L46" i="16"/>
  <c r="L45" i="16"/>
  <c r="K47" i="16"/>
  <c r="K46" i="16"/>
  <c r="K45" i="16"/>
  <c r="L41" i="16"/>
  <c r="L40" i="16"/>
  <c r="K42" i="16"/>
  <c r="K41" i="16"/>
  <c r="K40" i="16"/>
  <c r="L39" i="16"/>
  <c r="K39" i="16"/>
  <c r="L38" i="16"/>
  <c r="K38" i="16"/>
  <c r="L56" i="2"/>
  <c r="L52" i="2"/>
  <c r="L86" i="2"/>
  <c r="N86" i="2"/>
  <c r="N74" i="2"/>
  <c r="L74" i="2"/>
  <c r="C59" i="16" l="1"/>
  <c r="C56" i="16"/>
  <c r="B49" i="2"/>
  <c r="B58" i="2"/>
  <c r="B8" i="2"/>
  <c r="B9" i="2"/>
  <c r="A2" i="17"/>
  <c r="B269" i="2" l="1"/>
  <c r="B281" i="2"/>
  <c r="S66" i="2"/>
  <c r="D43" i="16" s="1"/>
  <c r="D49" i="16"/>
  <c r="R66" i="2" l="1"/>
  <c r="I50" i="16"/>
  <c r="I49" i="16"/>
  <c r="B239" i="2" l="1"/>
  <c r="A239" i="2"/>
  <c r="D50" i="16"/>
  <c r="D56" i="16"/>
  <c r="D58" i="16"/>
  <c r="D62" i="16"/>
  <c r="C48" i="16"/>
  <c r="D47" i="16"/>
  <c r="D46" i="16"/>
  <c r="D38" i="16"/>
  <c r="B258" i="2"/>
  <c r="B95" i="2"/>
  <c r="B106" i="2"/>
  <c r="B109" i="2"/>
  <c r="B96" i="2"/>
  <c r="B97" i="2" l="1"/>
  <c r="R16" i="8" l="1"/>
  <c r="S16" i="8" s="1"/>
  <c r="D97" i="2" s="1"/>
  <c r="G97" i="2" s="1"/>
  <c r="D73" i="1"/>
  <c r="F97" i="2" l="1"/>
  <c r="B98" i="2"/>
  <c r="R17" i="8" s="1"/>
  <c r="S17" i="8" s="1"/>
  <c r="D98" i="2" s="1"/>
  <c r="B101" i="2" s="1"/>
  <c r="B689" i="3"/>
  <c r="N688" i="3"/>
  <c r="F98" i="2" l="1"/>
  <c r="E54" i="1" s="1"/>
  <c r="C61" i="16" s="1"/>
  <c r="D61" i="16" s="1"/>
  <c r="E53" i="1"/>
  <c r="C60" i="16" s="1"/>
  <c r="D60" i="16" s="1"/>
  <c r="G98" i="2"/>
  <c r="B100" i="2"/>
  <c r="B114" i="2"/>
  <c r="B73" i="2" l="1"/>
  <c r="E145" i="2" s="1"/>
  <c r="B124" i="2"/>
  <c r="B10" i="2"/>
  <c r="B11" i="2"/>
  <c r="B71" i="2"/>
  <c r="B31" i="2"/>
  <c r="B10" i="3"/>
  <c r="B11" i="3"/>
  <c r="B12" i="3"/>
  <c r="B13" i="3"/>
  <c r="B14" i="3"/>
  <c r="B15" i="3"/>
  <c r="B16" i="3"/>
  <c r="B17" i="3"/>
  <c r="B18" i="3"/>
  <c r="B9" i="3"/>
  <c r="B78" i="2"/>
  <c r="B210" i="2"/>
  <c r="B59" i="4" s="1"/>
  <c r="B191" i="2"/>
  <c r="J200" i="2" s="1"/>
  <c r="B238" i="2"/>
  <c r="B243" i="2"/>
  <c r="B32" i="2"/>
  <c r="B7" i="2"/>
  <c r="B81" i="2"/>
  <c r="B185" i="2"/>
  <c r="B37" i="4" s="1"/>
  <c r="B198" i="2"/>
  <c r="B49" i="4" s="1"/>
  <c r="B126" i="2"/>
  <c r="AJ350" i="3" s="1"/>
  <c r="B207" i="2"/>
  <c r="B56" i="4" s="1"/>
  <c r="B209" i="2"/>
  <c r="B58" i="4" s="1"/>
  <c r="B204" i="2"/>
  <c r="AG3" i="4" s="1"/>
  <c r="B88" i="2"/>
  <c r="B187" i="2"/>
  <c r="B200" i="2"/>
  <c r="B51" i="4" s="1"/>
  <c r="B205" i="2"/>
  <c r="B195" i="2"/>
  <c r="B46" i="4" s="1"/>
  <c r="B60" i="4"/>
  <c r="B188" i="2"/>
  <c r="B40" i="4" s="1"/>
  <c r="B189" i="2"/>
  <c r="B41" i="4" s="1"/>
  <c r="B193" i="2"/>
  <c r="B44" i="4" s="1"/>
  <c r="B192" i="2"/>
  <c r="B43" i="4" s="1"/>
  <c r="B279" i="2"/>
  <c r="B196" i="2"/>
  <c r="B47" i="4" s="1"/>
  <c r="B169" i="2"/>
  <c r="B20" i="4" s="1"/>
  <c r="B83" i="2"/>
  <c r="B23" i="4" s="1"/>
  <c r="B186" i="2"/>
  <c r="B199" i="2"/>
  <c r="D6" i="6"/>
  <c r="D7" i="6"/>
  <c r="D9" i="6"/>
  <c r="D10" i="6"/>
  <c r="D2" i="11"/>
  <c r="D3" i="11"/>
  <c r="B5" i="11"/>
  <c r="D5" i="11" s="1"/>
  <c r="B15" i="4"/>
  <c r="B21" i="4"/>
  <c r="B52" i="4"/>
  <c r="B55" i="4"/>
  <c r="AR9" i="3"/>
  <c r="A34" i="8"/>
  <c r="A46" i="8" s="1"/>
  <c r="A58" i="8" s="1"/>
  <c r="A70" i="8" s="1"/>
  <c r="A82" i="8" s="1"/>
  <c r="A94" i="8" s="1"/>
  <c r="A106" i="8" s="1"/>
  <c r="A118" i="8" s="1"/>
  <c r="A130" i="8" s="1"/>
  <c r="A142" i="8" s="1"/>
  <c r="A154" i="8" s="1"/>
  <c r="A35" i="8"/>
  <c r="A47" i="8" s="1"/>
  <c r="A59" i="8" s="1"/>
  <c r="A71" i="8" s="1"/>
  <c r="A83" i="8" s="1"/>
  <c r="A95" i="8" s="1"/>
  <c r="A107" i="8" s="1"/>
  <c r="A119" i="8" s="1"/>
  <c r="A131" i="8" s="1"/>
  <c r="A143" i="8" s="1"/>
  <c r="A155" i="8" s="1"/>
  <c r="A36" i="8"/>
  <c r="A48" i="8" s="1"/>
  <c r="A60" i="8" s="1"/>
  <c r="A72" i="8" s="1"/>
  <c r="A84" i="8" s="1"/>
  <c r="A96" i="8" s="1"/>
  <c r="A108" i="8" s="1"/>
  <c r="A120" i="8" s="1"/>
  <c r="A132" i="8" s="1"/>
  <c r="A144" i="8" s="1"/>
  <c r="A156" i="8" s="1"/>
  <c r="A37" i="8"/>
  <c r="A49" i="8" s="1"/>
  <c r="A61" i="8" s="1"/>
  <c r="A73" i="8" s="1"/>
  <c r="A85" i="8" s="1"/>
  <c r="A97" i="8" s="1"/>
  <c r="A109" i="8" s="1"/>
  <c r="A121" i="8" s="1"/>
  <c r="A133" i="8" s="1"/>
  <c r="A145" i="8" s="1"/>
  <c r="A157" i="8" s="1"/>
  <c r="A38" i="8"/>
  <c r="A50" i="8" s="1"/>
  <c r="A62" i="8" s="1"/>
  <c r="A74" i="8" s="1"/>
  <c r="A86" i="8" s="1"/>
  <c r="A98" i="8" s="1"/>
  <c r="A110" i="8" s="1"/>
  <c r="A122" i="8" s="1"/>
  <c r="A134" i="8" s="1"/>
  <c r="A146" i="8" s="1"/>
  <c r="A158" i="8" s="1"/>
  <c r="A39" i="8"/>
  <c r="A40" i="8"/>
  <c r="A41" i="8"/>
  <c r="A42" i="8"/>
  <c r="A54" i="8" s="1"/>
  <c r="A66" i="8" s="1"/>
  <c r="A78" i="8" s="1"/>
  <c r="A90" i="8" s="1"/>
  <c r="A102" i="8" s="1"/>
  <c r="A114" i="8" s="1"/>
  <c r="A126" i="8" s="1"/>
  <c r="A138" i="8" s="1"/>
  <c r="A150" i="8" s="1"/>
  <c r="A43" i="8"/>
  <c r="A55" i="8" s="1"/>
  <c r="A67" i="8" s="1"/>
  <c r="A79" i="8" s="1"/>
  <c r="A91" i="8" s="1"/>
  <c r="A103" i="8" s="1"/>
  <c r="A115" i="8" s="1"/>
  <c r="A127" i="8" s="1"/>
  <c r="A139" i="8" s="1"/>
  <c r="A151" i="8" s="1"/>
  <c r="A44" i="8"/>
  <c r="A56" i="8" s="1"/>
  <c r="A68" i="8" s="1"/>
  <c r="A80" i="8" s="1"/>
  <c r="A92" i="8" s="1"/>
  <c r="A104" i="8" s="1"/>
  <c r="A116" i="8" s="1"/>
  <c r="A128" i="8" s="1"/>
  <c r="A140" i="8" s="1"/>
  <c r="A152" i="8" s="1"/>
  <c r="A45" i="8"/>
  <c r="A57" i="8" s="1"/>
  <c r="A69" i="8" s="1"/>
  <c r="A81" i="8" s="1"/>
  <c r="A93" i="8" s="1"/>
  <c r="A105" i="8" s="1"/>
  <c r="A117" i="8" s="1"/>
  <c r="A129" i="8" s="1"/>
  <c r="A141" i="8" s="1"/>
  <c r="A153" i="8" s="1"/>
  <c r="A51" i="8"/>
  <c r="A63" i="8" s="1"/>
  <c r="A75" i="8" s="1"/>
  <c r="A87" i="8" s="1"/>
  <c r="A99" i="8" s="1"/>
  <c r="A111" i="8" s="1"/>
  <c r="A123" i="8" s="1"/>
  <c r="A135" i="8" s="1"/>
  <c r="A147" i="8" s="1"/>
  <c r="A159" i="8" s="1"/>
  <c r="A52" i="8"/>
  <c r="A64" i="8" s="1"/>
  <c r="A76" i="8" s="1"/>
  <c r="A88" i="8" s="1"/>
  <c r="A100" i="8" s="1"/>
  <c r="A112" i="8" s="1"/>
  <c r="A124" i="8" s="1"/>
  <c r="A136" i="8" s="1"/>
  <c r="A148" i="8" s="1"/>
  <c r="A53" i="8"/>
  <c r="A65" i="8" s="1"/>
  <c r="A77" i="8" s="1"/>
  <c r="A89" i="8" s="1"/>
  <c r="A101" i="8" s="1"/>
  <c r="A113" i="8" s="1"/>
  <c r="A125" i="8" s="1"/>
  <c r="A137" i="8" s="1"/>
  <c r="A149" i="8" s="1"/>
  <c r="AQ9" i="3"/>
  <c r="AR10" i="3"/>
  <c r="AQ10" i="3"/>
  <c r="AR11" i="3"/>
  <c r="AQ11" i="3"/>
  <c r="AR12" i="3"/>
  <c r="AQ12" i="3"/>
  <c r="AR13" i="3"/>
  <c r="AQ13" i="3"/>
  <c r="AR14" i="3"/>
  <c r="AQ14" i="3"/>
  <c r="AR15" i="3"/>
  <c r="AQ15" i="3"/>
  <c r="AR16" i="3"/>
  <c r="AQ16" i="3"/>
  <c r="AR17" i="3"/>
  <c r="AQ17" i="3"/>
  <c r="AR18" i="3"/>
  <c r="AQ18" i="3"/>
  <c r="A19" i="3"/>
  <c r="B19" i="3" s="1"/>
  <c r="A20" i="3"/>
  <c r="B20" i="3" s="1"/>
  <c r="AR20" i="3"/>
  <c r="A21" i="3"/>
  <c r="B21" i="3" s="1"/>
  <c r="AR21" i="3"/>
  <c r="A22" i="3"/>
  <c r="A31" i="3" s="1"/>
  <c r="A23" i="3"/>
  <c r="AQ23" i="3" s="1"/>
  <c r="A24" i="3"/>
  <c r="B24" i="3" s="1"/>
  <c r="A25" i="3"/>
  <c r="A34" i="3" s="1"/>
  <c r="A26" i="3"/>
  <c r="AQ26" i="3" s="1"/>
  <c r="A27" i="3"/>
  <c r="A36" i="3" s="1"/>
  <c r="AQ36" i="3" s="1"/>
  <c r="A30" i="3"/>
  <c r="AQ30" i="3" s="1"/>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AA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96" i="3"/>
  <c r="N297" i="3"/>
  <c r="N298" i="3"/>
  <c r="N299" i="3"/>
  <c r="N300" i="3"/>
  <c r="N301" i="3"/>
  <c r="N302" i="3"/>
  <c r="N303" i="3"/>
  <c r="N304" i="3"/>
  <c r="N305" i="3"/>
  <c r="N306" i="3"/>
  <c r="N307" i="3"/>
  <c r="N308" i="3"/>
  <c r="N309" i="3"/>
  <c r="N310" i="3"/>
  <c r="N311" i="3"/>
  <c r="N312" i="3"/>
  <c r="N313" i="3"/>
  <c r="N314" i="3"/>
  <c r="N315" i="3"/>
  <c r="N316" i="3"/>
  <c r="N317" i="3"/>
  <c r="N318" i="3"/>
  <c r="N319" i="3"/>
  <c r="N320" i="3"/>
  <c r="N321" i="3"/>
  <c r="N322" i="3"/>
  <c r="N323" i="3"/>
  <c r="N324" i="3"/>
  <c r="N325" i="3"/>
  <c r="N326" i="3"/>
  <c r="N327" i="3"/>
  <c r="N328" i="3"/>
  <c r="N329" i="3"/>
  <c r="N330" i="3"/>
  <c r="N331" i="3"/>
  <c r="N332" i="3"/>
  <c r="N333" i="3"/>
  <c r="N334" i="3"/>
  <c r="N335" i="3"/>
  <c r="N336" i="3"/>
  <c r="N337" i="3"/>
  <c r="N338" i="3"/>
  <c r="N339" i="3"/>
  <c r="N340" i="3"/>
  <c r="N341" i="3"/>
  <c r="N342" i="3"/>
  <c r="N343" i="3"/>
  <c r="N344" i="3"/>
  <c r="N345" i="3"/>
  <c r="N346" i="3"/>
  <c r="N347" i="3"/>
  <c r="N348" i="3"/>
  <c r="N349" i="3"/>
  <c r="N350" i="3"/>
  <c r="N351" i="3"/>
  <c r="N352" i="3"/>
  <c r="N353" i="3"/>
  <c r="N354" i="3"/>
  <c r="N355" i="3"/>
  <c r="N356" i="3"/>
  <c r="N357" i="3"/>
  <c r="N358" i="3"/>
  <c r="N359" i="3"/>
  <c r="N360" i="3"/>
  <c r="N361" i="3"/>
  <c r="N362" i="3"/>
  <c r="N363" i="3"/>
  <c r="N364" i="3"/>
  <c r="N365" i="3"/>
  <c r="N366" i="3"/>
  <c r="N367" i="3"/>
  <c r="N368" i="3"/>
  <c r="N369" i="3"/>
  <c r="N370" i="3"/>
  <c r="N371" i="3"/>
  <c r="N372" i="3"/>
  <c r="N373" i="3"/>
  <c r="N374" i="3"/>
  <c r="N375" i="3"/>
  <c r="N376" i="3"/>
  <c r="N377" i="3"/>
  <c r="N378" i="3"/>
  <c r="N379" i="3"/>
  <c r="N380" i="3"/>
  <c r="N381" i="3"/>
  <c r="N382" i="3"/>
  <c r="N383" i="3"/>
  <c r="N384" i="3"/>
  <c r="N385" i="3"/>
  <c r="N386" i="3"/>
  <c r="N387" i="3"/>
  <c r="N388" i="3"/>
  <c r="N389" i="3"/>
  <c r="N390" i="3"/>
  <c r="N391" i="3"/>
  <c r="N392" i="3"/>
  <c r="N393" i="3"/>
  <c r="N394" i="3"/>
  <c r="N395" i="3"/>
  <c r="N396" i="3"/>
  <c r="N397" i="3"/>
  <c r="N398" i="3"/>
  <c r="N399" i="3"/>
  <c r="N400" i="3"/>
  <c r="N401" i="3"/>
  <c r="N402" i="3"/>
  <c r="N403" i="3"/>
  <c r="N404" i="3"/>
  <c r="N405" i="3"/>
  <c r="N406" i="3"/>
  <c r="N407" i="3"/>
  <c r="N408" i="3"/>
  <c r="N409" i="3"/>
  <c r="N410" i="3"/>
  <c r="N411" i="3"/>
  <c r="N412" i="3"/>
  <c r="N413" i="3"/>
  <c r="N414" i="3"/>
  <c r="N415" i="3"/>
  <c r="N416" i="3"/>
  <c r="N417" i="3"/>
  <c r="N418" i="3"/>
  <c r="N419" i="3"/>
  <c r="N420" i="3"/>
  <c r="N421" i="3"/>
  <c r="N422" i="3"/>
  <c r="N423" i="3"/>
  <c r="N424" i="3"/>
  <c r="N425" i="3"/>
  <c r="N426" i="3"/>
  <c r="N427" i="3"/>
  <c r="N428" i="3"/>
  <c r="N429" i="3"/>
  <c r="N430" i="3"/>
  <c r="N431" i="3"/>
  <c r="N432" i="3"/>
  <c r="N433" i="3"/>
  <c r="N434" i="3"/>
  <c r="N435" i="3"/>
  <c r="N436" i="3"/>
  <c r="N437" i="3"/>
  <c r="N438" i="3"/>
  <c r="N439" i="3"/>
  <c r="N440" i="3"/>
  <c r="N441" i="3"/>
  <c r="N442" i="3"/>
  <c r="N443" i="3"/>
  <c r="N444" i="3"/>
  <c r="N445" i="3"/>
  <c r="N446" i="3"/>
  <c r="N447" i="3"/>
  <c r="N448" i="3"/>
  <c r="N449" i="3"/>
  <c r="N450" i="3"/>
  <c r="N451" i="3"/>
  <c r="N452" i="3"/>
  <c r="N453" i="3"/>
  <c r="N454" i="3"/>
  <c r="N455" i="3"/>
  <c r="N456" i="3"/>
  <c r="N457" i="3"/>
  <c r="N458" i="3"/>
  <c r="N459" i="3"/>
  <c r="N460" i="3"/>
  <c r="N461" i="3"/>
  <c r="N462" i="3"/>
  <c r="N463" i="3"/>
  <c r="N464" i="3"/>
  <c r="N465" i="3"/>
  <c r="N466" i="3"/>
  <c r="N467" i="3"/>
  <c r="N468" i="3"/>
  <c r="N469" i="3"/>
  <c r="N470" i="3"/>
  <c r="N471" i="3"/>
  <c r="N472" i="3"/>
  <c r="N473" i="3"/>
  <c r="N474" i="3"/>
  <c r="N475" i="3"/>
  <c r="N476" i="3"/>
  <c r="N477" i="3"/>
  <c r="N478" i="3"/>
  <c r="N479" i="3"/>
  <c r="N480" i="3"/>
  <c r="N481" i="3"/>
  <c r="N482" i="3"/>
  <c r="N483" i="3"/>
  <c r="N484" i="3"/>
  <c r="N485" i="3"/>
  <c r="N486" i="3"/>
  <c r="N487" i="3"/>
  <c r="N488" i="3"/>
  <c r="N489" i="3"/>
  <c r="N490" i="3"/>
  <c r="N491" i="3"/>
  <c r="N492" i="3"/>
  <c r="N493" i="3"/>
  <c r="N494" i="3"/>
  <c r="N495" i="3"/>
  <c r="N496" i="3"/>
  <c r="N497" i="3"/>
  <c r="N498" i="3"/>
  <c r="N499" i="3"/>
  <c r="N500" i="3"/>
  <c r="N501" i="3"/>
  <c r="N502" i="3"/>
  <c r="N503" i="3"/>
  <c r="N504" i="3"/>
  <c r="N505" i="3"/>
  <c r="N506" i="3"/>
  <c r="N507" i="3"/>
  <c r="N508" i="3"/>
  <c r="N509" i="3"/>
  <c r="N510" i="3"/>
  <c r="N511" i="3"/>
  <c r="N512" i="3"/>
  <c r="N513" i="3"/>
  <c r="N514" i="3"/>
  <c r="N515" i="3"/>
  <c r="N516" i="3"/>
  <c r="N517" i="3"/>
  <c r="N518" i="3"/>
  <c r="N519" i="3"/>
  <c r="N520" i="3"/>
  <c r="N521" i="3"/>
  <c r="N522" i="3"/>
  <c r="N523" i="3"/>
  <c r="N524" i="3"/>
  <c r="N525" i="3"/>
  <c r="N526" i="3"/>
  <c r="N527" i="3"/>
  <c r="N528" i="3"/>
  <c r="N529" i="3"/>
  <c r="N530" i="3"/>
  <c r="N531" i="3"/>
  <c r="N532" i="3"/>
  <c r="N533" i="3"/>
  <c r="N534" i="3"/>
  <c r="N535" i="3"/>
  <c r="N536" i="3"/>
  <c r="N537" i="3"/>
  <c r="N538" i="3"/>
  <c r="N539" i="3"/>
  <c r="N540" i="3"/>
  <c r="N541" i="3"/>
  <c r="N542" i="3"/>
  <c r="N543" i="3"/>
  <c r="N544" i="3"/>
  <c r="N545" i="3"/>
  <c r="N546" i="3"/>
  <c r="N547" i="3"/>
  <c r="N548" i="3"/>
  <c r="N549" i="3"/>
  <c r="N550" i="3"/>
  <c r="N551" i="3"/>
  <c r="N552" i="3"/>
  <c r="N553" i="3"/>
  <c r="N554" i="3"/>
  <c r="N555" i="3"/>
  <c r="N556" i="3"/>
  <c r="N557" i="3"/>
  <c r="N558" i="3"/>
  <c r="N559" i="3"/>
  <c r="N560" i="3"/>
  <c r="N561" i="3"/>
  <c r="N562" i="3"/>
  <c r="N563" i="3"/>
  <c r="N564" i="3"/>
  <c r="N565" i="3"/>
  <c r="N566" i="3"/>
  <c r="N567" i="3"/>
  <c r="N568" i="3"/>
  <c r="N569" i="3"/>
  <c r="N570" i="3"/>
  <c r="N571" i="3"/>
  <c r="N572" i="3"/>
  <c r="N573" i="3"/>
  <c r="N574" i="3"/>
  <c r="N575" i="3"/>
  <c r="N576" i="3"/>
  <c r="N577" i="3"/>
  <c r="N578" i="3"/>
  <c r="N579" i="3"/>
  <c r="N580" i="3"/>
  <c r="N581" i="3"/>
  <c r="N582" i="3"/>
  <c r="N583" i="3"/>
  <c r="N584" i="3"/>
  <c r="N585" i="3"/>
  <c r="N586" i="3"/>
  <c r="N587" i="3"/>
  <c r="N588" i="3"/>
  <c r="N589" i="3"/>
  <c r="N590" i="3"/>
  <c r="N591" i="3"/>
  <c r="N592" i="3"/>
  <c r="N593" i="3"/>
  <c r="N594" i="3"/>
  <c r="N595" i="3"/>
  <c r="N596" i="3"/>
  <c r="N597" i="3"/>
  <c r="N598" i="3"/>
  <c r="N599" i="3"/>
  <c r="N600" i="3"/>
  <c r="N601" i="3"/>
  <c r="N602" i="3"/>
  <c r="N603" i="3"/>
  <c r="N604" i="3"/>
  <c r="N605" i="3"/>
  <c r="N606" i="3"/>
  <c r="N607" i="3"/>
  <c r="N608" i="3"/>
  <c r="N609" i="3"/>
  <c r="N610" i="3"/>
  <c r="N611" i="3"/>
  <c r="N612" i="3"/>
  <c r="N613" i="3"/>
  <c r="N614" i="3"/>
  <c r="N615" i="3"/>
  <c r="N616" i="3"/>
  <c r="N617" i="3"/>
  <c r="N618" i="3"/>
  <c r="N619" i="3"/>
  <c r="N620" i="3"/>
  <c r="N621" i="3"/>
  <c r="N622" i="3"/>
  <c r="N623" i="3"/>
  <c r="N624" i="3"/>
  <c r="N625" i="3"/>
  <c r="N626" i="3"/>
  <c r="N627" i="3"/>
  <c r="N628" i="3"/>
  <c r="N629" i="3"/>
  <c r="N630" i="3"/>
  <c r="N631" i="3"/>
  <c r="N632" i="3"/>
  <c r="N633" i="3"/>
  <c r="N634" i="3"/>
  <c r="N635" i="3"/>
  <c r="N636" i="3"/>
  <c r="N637" i="3"/>
  <c r="N638" i="3"/>
  <c r="N639" i="3"/>
  <c r="N640" i="3"/>
  <c r="N641" i="3"/>
  <c r="N642" i="3"/>
  <c r="N643" i="3"/>
  <c r="N644" i="3"/>
  <c r="N645" i="3"/>
  <c r="N646" i="3"/>
  <c r="N647" i="3"/>
  <c r="N648" i="3"/>
  <c r="N649" i="3"/>
  <c r="N650" i="3"/>
  <c r="N651" i="3"/>
  <c r="N652" i="3"/>
  <c r="N653" i="3"/>
  <c r="N654" i="3"/>
  <c r="N655" i="3"/>
  <c r="N656" i="3"/>
  <c r="N657" i="3"/>
  <c r="N658" i="3"/>
  <c r="N659" i="3"/>
  <c r="N660" i="3"/>
  <c r="N661" i="3"/>
  <c r="N662" i="3"/>
  <c r="N663" i="3"/>
  <c r="N664" i="3"/>
  <c r="N665" i="3"/>
  <c r="N666" i="3"/>
  <c r="N667" i="3"/>
  <c r="N668" i="3"/>
  <c r="N669" i="3"/>
  <c r="N670" i="3"/>
  <c r="N671" i="3"/>
  <c r="N672" i="3"/>
  <c r="N673" i="3"/>
  <c r="N674" i="3"/>
  <c r="N675" i="3"/>
  <c r="N676" i="3"/>
  <c r="BD677" i="3"/>
  <c r="BD678" i="3"/>
  <c r="BK679" i="3"/>
  <c r="N682" i="3"/>
  <c r="N683" i="3"/>
  <c r="N684" i="3"/>
  <c r="N685" i="3"/>
  <c r="N686" i="3"/>
  <c r="N687" i="3"/>
  <c r="I3" i="8"/>
  <c r="J3" i="8"/>
  <c r="K3" i="8"/>
  <c r="L3" i="8"/>
  <c r="M3" i="8"/>
  <c r="N3" i="8"/>
  <c r="N4" i="8" s="1"/>
  <c r="B41" i="2"/>
  <c r="A238" i="2"/>
  <c r="A241" i="2"/>
  <c r="B241" i="2"/>
  <c r="A243" i="2"/>
  <c r="A258" i="2"/>
  <c r="AQ27" i="3"/>
  <c r="AQ21" i="3"/>
  <c r="AQ19" i="3"/>
  <c r="B278" i="2"/>
  <c r="B31" i="3"/>
  <c r="B25" i="3"/>
  <c r="AR22" i="3"/>
  <c r="B22" i="3"/>
  <c r="A37" i="3"/>
  <c r="AR37" i="3" s="1"/>
  <c r="AR27" i="3"/>
  <c r="AQ22" i="3"/>
  <c r="B23" i="3"/>
  <c r="AR23" i="3"/>
  <c r="B30" i="3" l="1"/>
  <c r="A32" i="3"/>
  <c r="AR19" i="3"/>
  <c r="AQ20" i="3"/>
  <c r="AL10" i="4"/>
  <c r="AL18" i="4"/>
  <c r="AL26" i="4"/>
  <c r="AL34" i="4"/>
  <c r="AL42" i="4"/>
  <c r="AL50" i="4"/>
  <c r="AL58" i="4"/>
  <c r="AL66" i="4"/>
  <c r="AL74" i="4"/>
  <c r="AL82" i="4"/>
  <c r="AL90" i="4"/>
  <c r="AL98" i="4"/>
  <c r="AL106" i="4"/>
  <c r="AL114" i="4"/>
  <c r="AL122" i="4"/>
  <c r="AL130" i="4"/>
  <c r="AL138" i="4"/>
  <c r="AL146" i="4"/>
  <c r="AL154" i="4"/>
  <c r="AL162" i="4"/>
  <c r="AL170" i="4"/>
  <c r="AL178" i="4"/>
  <c r="AL186" i="4"/>
  <c r="AL194" i="4"/>
  <c r="AL202" i="4"/>
  <c r="AL9" i="4"/>
  <c r="AL155" i="4"/>
  <c r="AL179" i="4"/>
  <c r="AL195" i="4"/>
  <c r="AL57" i="4"/>
  <c r="AL105" i="4"/>
  <c r="AL153" i="4"/>
  <c r="AL201" i="4"/>
  <c r="AL11" i="4"/>
  <c r="AL19" i="4"/>
  <c r="AL27" i="4"/>
  <c r="AL35" i="4"/>
  <c r="AL43" i="4"/>
  <c r="AL51" i="4"/>
  <c r="AL59" i="4"/>
  <c r="AL67" i="4"/>
  <c r="AL75" i="4"/>
  <c r="AL83" i="4"/>
  <c r="AL91" i="4"/>
  <c r="AL99" i="4"/>
  <c r="AL107" i="4"/>
  <c r="AL115" i="4"/>
  <c r="AL123" i="4"/>
  <c r="AL131" i="4"/>
  <c r="AL139" i="4"/>
  <c r="AL147" i="4"/>
  <c r="AL163" i="4"/>
  <c r="AL171" i="4"/>
  <c r="AL187" i="4"/>
  <c r="AL203" i="4"/>
  <c r="AL73" i="4"/>
  <c r="AL161" i="4"/>
  <c r="AL12" i="4"/>
  <c r="AL20" i="4"/>
  <c r="AL28" i="4"/>
  <c r="AL36" i="4"/>
  <c r="AL44" i="4"/>
  <c r="AL52" i="4"/>
  <c r="AL60" i="4"/>
  <c r="AL68" i="4"/>
  <c r="AL76" i="4"/>
  <c r="AL84" i="4"/>
  <c r="AL92" i="4"/>
  <c r="AL100" i="4"/>
  <c r="AL108" i="4"/>
  <c r="AL116" i="4"/>
  <c r="AL124" i="4"/>
  <c r="AL132" i="4"/>
  <c r="AL140" i="4"/>
  <c r="AL148" i="4"/>
  <c r="AL156" i="4"/>
  <c r="AL164" i="4"/>
  <c r="AL172" i="4"/>
  <c r="AL180" i="4"/>
  <c r="AL188" i="4"/>
  <c r="AL196" i="4"/>
  <c r="AL204" i="4"/>
  <c r="AL182" i="4"/>
  <c r="AL183" i="4"/>
  <c r="AL207" i="4"/>
  <c r="AL33" i="4"/>
  <c r="AL97" i="4"/>
  <c r="AL145" i="4"/>
  <c r="AL209" i="4"/>
  <c r="AL13" i="4"/>
  <c r="AL21" i="4"/>
  <c r="AL29" i="4"/>
  <c r="AL37" i="4"/>
  <c r="AL45" i="4"/>
  <c r="AL53" i="4"/>
  <c r="AL61" i="4"/>
  <c r="AL69" i="4"/>
  <c r="AL77" i="4"/>
  <c r="AL85" i="4"/>
  <c r="AL93" i="4"/>
  <c r="AL101" i="4"/>
  <c r="AL109" i="4"/>
  <c r="AL117" i="4"/>
  <c r="AL125" i="4"/>
  <c r="AL133" i="4"/>
  <c r="AL141" i="4"/>
  <c r="AL149" i="4"/>
  <c r="AL157" i="4"/>
  <c r="AL165" i="4"/>
  <c r="AL173" i="4"/>
  <c r="AL181" i="4"/>
  <c r="AL189" i="4"/>
  <c r="AL197" i="4"/>
  <c r="AL205" i="4"/>
  <c r="AL190" i="4"/>
  <c r="AL206" i="4"/>
  <c r="AL191" i="4"/>
  <c r="AL41" i="4"/>
  <c r="AL113" i="4"/>
  <c r="AL169" i="4"/>
  <c r="AL14" i="4"/>
  <c r="AL22" i="4"/>
  <c r="AL30" i="4"/>
  <c r="AL38" i="4"/>
  <c r="AL46" i="4"/>
  <c r="AL54" i="4"/>
  <c r="AL62" i="4"/>
  <c r="AL70" i="4"/>
  <c r="AL78" i="4"/>
  <c r="AL86" i="4"/>
  <c r="AL94" i="4"/>
  <c r="AL102" i="4"/>
  <c r="AL110" i="4"/>
  <c r="AL118" i="4"/>
  <c r="AL126" i="4"/>
  <c r="AL134" i="4"/>
  <c r="AL142" i="4"/>
  <c r="AL150" i="4"/>
  <c r="AL158" i="4"/>
  <c r="AL166" i="4"/>
  <c r="AL174" i="4"/>
  <c r="AL198" i="4"/>
  <c r="AL199" i="4"/>
  <c r="AL49" i="4"/>
  <c r="AL121" i="4"/>
  <c r="AL185" i="4"/>
  <c r="AL15" i="4"/>
  <c r="AL23" i="4"/>
  <c r="AL31" i="4"/>
  <c r="AL39" i="4"/>
  <c r="AL47" i="4"/>
  <c r="AL55" i="4"/>
  <c r="AL63" i="4"/>
  <c r="AL71" i="4"/>
  <c r="AL79" i="4"/>
  <c r="AL87" i="4"/>
  <c r="AL95" i="4"/>
  <c r="AL103" i="4"/>
  <c r="AL111" i="4"/>
  <c r="AL119" i="4"/>
  <c r="AL127" i="4"/>
  <c r="AL135" i="4"/>
  <c r="AL143" i="4"/>
  <c r="AL151" i="4"/>
  <c r="AL159" i="4"/>
  <c r="AL167" i="4"/>
  <c r="AL175" i="4"/>
  <c r="AL25" i="4"/>
  <c r="AL89" i="4"/>
  <c r="AL137" i="4"/>
  <c r="AL193" i="4"/>
  <c r="AL16" i="4"/>
  <c r="AL24" i="4"/>
  <c r="AL32" i="4"/>
  <c r="AL40" i="4"/>
  <c r="AL48" i="4"/>
  <c r="AL56" i="4"/>
  <c r="AL64" i="4"/>
  <c r="AL72" i="4"/>
  <c r="AL80" i="4"/>
  <c r="AL88" i="4"/>
  <c r="AL96" i="4"/>
  <c r="AL104" i="4"/>
  <c r="AL112" i="4"/>
  <c r="AL120" i="4"/>
  <c r="AL128" i="4"/>
  <c r="AL136" i="4"/>
  <c r="AL144" i="4"/>
  <c r="AL152" i="4"/>
  <c r="AL160" i="4"/>
  <c r="AL168" i="4"/>
  <c r="AL176" i="4"/>
  <c r="AL184" i="4"/>
  <c r="AL192" i="4"/>
  <c r="AL200" i="4"/>
  <c r="AL208" i="4"/>
  <c r="AL17" i="4"/>
  <c r="AL65" i="4"/>
  <c r="AL81" i="4"/>
  <c r="AL129" i="4"/>
  <c r="AL177" i="4"/>
  <c r="A35" i="3"/>
  <c r="AR24" i="3"/>
  <c r="AR25" i="3"/>
  <c r="A33" i="3"/>
  <c r="A28" i="3"/>
  <c r="B4" i="11"/>
  <c r="D4" i="11" s="1"/>
  <c r="B6" i="11" s="1"/>
  <c r="D6" i="11" s="1"/>
  <c r="AR26" i="3"/>
  <c r="A29" i="3"/>
  <c r="AQ29" i="3" s="1"/>
  <c r="AR30" i="3"/>
  <c r="AQ25" i="3"/>
  <c r="B26" i="3"/>
  <c r="N44" i="2"/>
  <c r="M44" i="2" s="1"/>
  <c r="C242" i="2" s="1"/>
  <c r="H10" i="4"/>
  <c r="H14" i="4"/>
  <c r="H18" i="4"/>
  <c r="H22" i="4"/>
  <c r="H26" i="4"/>
  <c r="H30" i="4"/>
  <c r="H34" i="4"/>
  <c r="H38" i="4"/>
  <c r="H42" i="4"/>
  <c r="H46" i="4"/>
  <c r="H50" i="4"/>
  <c r="H54" i="4"/>
  <c r="H58" i="4"/>
  <c r="H62" i="4"/>
  <c r="H66" i="4"/>
  <c r="H70" i="4"/>
  <c r="H74" i="4"/>
  <c r="H78" i="4"/>
  <c r="H82" i="4"/>
  <c r="H86" i="4"/>
  <c r="H90" i="4"/>
  <c r="H94" i="4"/>
  <c r="H98" i="4"/>
  <c r="H102" i="4"/>
  <c r="H106" i="4"/>
  <c r="H110" i="4"/>
  <c r="AI110" i="4" s="1"/>
  <c r="H114" i="4"/>
  <c r="AI114" i="4" s="1"/>
  <c r="H118" i="4"/>
  <c r="AI118" i="4" s="1"/>
  <c r="H122" i="4"/>
  <c r="AI122" i="4" s="1"/>
  <c r="H126" i="4"/>
  <c r="AI126" i="4" s="1"/>
  <c r="H130" i="4"/>
  <c r="AI130" i="4" s="1"/>
  <c r="H134" i="4"/>
  <c r="AI134" i="4" s="1"/>
  <c r="H138" i="4"/>
  <c r="AI138" i="4" s="1"/>
  <c r="H142" i="4"/>
  <c r="AI142" i="4" s="1"/>
  <c r="H146" i="4"/>
  <c r="AI146" i="4" s="1"/>
  <c r="H150" i="4"/>
  <c r="AI150" i="4" s="1"/>
  <c r="H154" i="4"/>
  <c r="AI154" i="4" s="1"/>
  <c r="H158" i="4"/>
  <c r="AI158" i="4" s="1"/>
  <c r="H162" i="4"/>
  <c r="AI162" i="4" s="1"/>
  <c r="H166" i="4"/>
  <c r="AI166" i="4" s="1"/>
  <c r="H170" i="4"/>
  <c r="AI170" i="4" s="1"/>
  <c r="H174" i="4"/>
  <c r="AI174" i="4" s="1"/>
  <c r="H178" i="4"/>
  <c r="AI178" i="4" s="1"/>
  <c r="H182" i="4"/>
  <c r="AI182" i="4" s="1"/>
  <c r="H186" i="4"/>
  <c r="AI186" i="4" s="1"/>
  <c r="H190" i="4"/>
  <c r="AI190" i="4" s="1"/>
  <c r="H194" i="4"/>
  <c r="AI194" i="4" s="1"/>
  <c r="H198" i="4"/>
  <c r="AI198" i="4" s="1"/>
  <c r="H202" i="4"/>
  <c r="AI202" i="4" s="1"/>
  <c r="H206" i="4"/>
  <c r="AI206" i="4" s="1"/>
  <c r="H9" i="4"/>
  <c r="H11" i="4"/>
  <c r="H23" i="4"/>
  <c r="H31" i="4"/>
  <c r="H35" i="4"/>
  <c r="H43" i="4"/>
  <c r="H51" i="4"/>
  <c r="H59" i="4"/>
  <c r="H63" i="4"/>
  <c r="H71" i="4"/>
  <c r="H79" i="4"/>
  <c r="H87" i="4"/>
  <c r="H99" i="4"/>
  <c r="H107" i="4"/>
  <c r="H115" i="4"/>
  <c r="AI115" i="4" s="1"/>
  <c r="H123" i="4"/>
  <c r="AI123" i="4" s="1"/>
  <c r="H131" i="4"/>
  <c r="AI131" i="4" s="1"/>
  <c r="H139" i="4"/>
  <c r="AI139" i="4" s="1"/>
  <c r="H147" i="4"/>
  <c r="AI147" i="4" s="1"/>
  <c r="H155" i="4"/>
  <c r="AI155" i="4" s="1"/>
  <c r="H163" i="4"/>
  <c r="AI163" i="4" s="1"/>
  <c r="H171" i="4"/>
  <c r="AI171" i="4" s="1"/>
  <c r="H183" i="4"/>
  <c r="AI183" i="4" s="1"/>
  <c r="H191" i="4"/>
  <c r="AI191" i="4" s="1"/>
  <c r="H199" i="4"/>
  <c r="AI199" i="4" s="1"/>
  <c r="H207" i="4"/>
  <c r="AI207" i="4" s="1"/>
  <c r="H13" i="4"/>
  <c r="H17" i="4"/>
  <c r="H21" i="4"/>
  <c r="H25" i="4"/>
  <c r="H29" i="4"/>
  <c r="H33" i="4"/>
  <c r="H37" i="4"/>
  <c r="H41" i="4"/>
  <c r="H45" i="4"/>
  <c r="H49" i="4"/>
  <c r="H53" i="4"/>
  <c r="H57" i="4"/>
  <c r="H61" i="4"/>
  <c r="H65" i="4"/>
  <c r="H69" i="4"/>
  <c r="H73" i="4"/>
  <c r="H77" i="4"/>
  <c r="H81" i="4"/>
  <c r="H85" i="4"/>
  <c r="AI85" i="4" s="1"/>
  <c r="H89" i="4"/>
  <c r="H93" i="4"/>
  <c r="H97" i="4"/>
  <c r="H101" i="4"/>
  <c r="H105" i="4"/>
  <c r="H109" i="4"/>
  <c r="H113" i="4"/>
  <c r="AI113" i="4" s="1"/>
  <c r="H117" i="4"/>
  <c r="AI117" i="4" s="1"/>
  <c r="H121" i="4"/>
  <c r="AI121" i="4" s="1"/>
  <c r="H125" i="4"/>
  <c r="AI125" i="4" s="1"/>
  <c r="H129" i="4"/>
  <c r="AI129" i="4" s="1"/>
  <c r="H133" i="4"/>
  <c r="AI133" i="4" s="1"/>
  <c r="H137" i="4"/>
  <c r="AI137" i="4" s="1"/>
  <c r="H141" i="4"/>
  <c r="AI141" i="4" s="1"/>
  <c r="H145" i="4"/>
  <c r="AI145" i="4" s="1"/>
  <c r="H149" i="4"/>
  <c r="AI149" i="4" s="1"/>
  <c r="H153" i="4"/>
  <c r="AI153" i="4" s="1"/>
  <c r="H157" i="4"/>
  <c r="AI157" i="4" s="1"/>
  <c r="H161" i="4"/>
  <c r="AI161" i="4" s="1"/>
  <c r="H165" i="4"/>
  <c r="AI165" i="4" s="1"/>
  <c r="H169" i="4"/>
  <c r="AI169" i="4" s="1"/>
  <c r="H173" i="4"/>
  <c r="AI173" i="4" s="1"/>
  <c r="H177" i="4"/>
  <c r="AI177" i="4" s="1"/>
  <c r="H181" i="4"/>
  <c r="AI181" i="4" s="1"/>
  <c r="H185" i="4"/>
  <c r="AI185" i="4" s="1"/>
  <c r="H189" i="4"/>
  <c r="AI189" i="4" s="1"/>
  <c r="H193" i="4"/>
  <c r="AI193" i="4" s="1"/>
  <c r="H197" i="4"/>
  <c r="AI197" i="4" s="1"/>
  <c r="H201" i="4"/>
  <c r="AI201" i="4" s="1"/>
  <c r="H205" i="4"/>
  <c r="AI205" i="4" s="1"/>
  <c r="H209" i="4"/>
  <c r="AI209" i="4" s="1"/>
  <c r="H15" i="4"/>
  <c r="H19" i="4"/>
  <c r="H27" i="4"/>
  <c r="H39" i="4"/>
  <c r="H47" i="4"/>
  <c r="H55" i="4"/>
  <c r="H67" i="4"/>
  <c r="H75" i="4"/>
  <c r="H83" i="4"/>
  <c r="H91" i="4"/>
  <c r="H95" i="4"/>
  <c r="H103" i="4"/>
  <c r="H111" i="4"/>
  <c r="AI111" i="4" s="1"/>
  <c r="H119" i="4"/>
  <c r="AI119" i="4" s="1"/>
  <c r="H127" i="4"/>
  <c r="AI127" i="4" s="1"/>
  <c r="H135" i="4"/>
  <c r="AI135" i="4" s="1"/>
  <c r="H143" i="4"/>
  <c r="AI143" i="4" s="1"/>
  <c r="H151" i="4"/>
  <c r="AI151" i="4" s="1"/>
  <c r="H159" i="4"/>
  <c r="AI159" i="4" s="1"/>
  <c r="H167" i="4"/>
  <c r="AI167" i="4" s="1"/>
  <c r="H175" i="4"/>
  <c r="AI175" i="4" s="1"/>
  <c r="H179" i="4"/>
  <c r="AI179" i="4" s="1"/>
  <c r="H187" i="4"/>
  <c r="AI187" i="4" s="1"/>
  <c r="H195" i="4"/>
  <c r="AI195" i="4" s="1"/>
  <c r="H203" i="4"/>
  <c r="AI203" i="4" s="1"/>
  <c r="H12" i="4"/>
  <c r="H16" i="4"/>
  <c r="H32" i="4"/>
  <c r="H48" i="4"/>
  <c r="H64" i="4"/>
  <c r="H80" i="4"/>
  <c r="H96" i="4"/>
  <c r="H112" i="4"/>
  <c r="AI112" i="4" s="1"/>
  <c r="H128" i="4"/>
  <c r="AI128" i="4" s="1"/>
  <c r="H144" i="4"/>
  <c r="AI144" i="4" s="1"/>
  <c r="H160" i="4"/>
  <c r="AI160" i="4" s="1"/>
  <c r="H176" i="4"/>
  <c r="AI176" i="4" s="1"/>
  <c r="H192" i="4"/>
  <c r="AI192" i="4" s="1"/>
  <c r="H208" i="4"/>
  <c r="AI208" i="4" s="1"/>
  <c r="H20" i="4"/>
  <c r="H36" i="4"/>
  <c r="H52" i="4"/>
  <c r="H68" i="4"/>
  <c r="H84" i="4"/>
  <c r="H100" i="4"/>
  <c r="H116" i="4"/>
  <c r="AI116" i="4" s="1"/>
  <c r="H132" i="4"/>
  <c r="AI132" i="4" s="1"/>
  <c r="H148" i="4"/>
  <c r="AI148" i="4" s="1"/>
  <c r="H164" i="4"/>
  <c r="AI164" i="4" s="1"/>
  <c r="H180" i="4"/>
  <c r="AI180" i="4" s="1"/>
  <c r="H196" i="4"/>
  <c r="AI196" i="4" s="1"/>
  <c r="H24" i="4"/>
  <c r="H40" i="4"/>
  <c r="H56" i="4"/>
  <c r="H72" i="4"/>
  <c r="H88" i="4"/>
  <c r="H104" i="4"/>
  <c r="H120" i="4"/>
  <c r="AI120" i="4" s="1"/>
  <c r="H136" i="4"/>
  <c r="AI136" i="4" s="1"/>
  <c r="H152" i="4"/>
  <c r="AI152" i="4" s="1"/>
  <c r="H168" i="4"/>
  <c r="AI168" i="4" s="1"/>
  <c r="H184" i="4"/>
  <c r="AI184" i="4" s="1"/>
  <c r="H200" i="4"/>
  <c r="AI200" i="4" s="1"/>
  <c r="H28" i="4"/>
  <c r="H44" i="4"/>
  <c r="H60" i="4"/>
  <c r="H76" i="4"/>
  <c r="H92" i="4"/>
  <c r="H108" i="4"/>
  <c r="H124" i="4"/>
  <c r="AI124" i="4" s="1"/>
  <c r="H140" i="4"/>
  <c r="AI140" i="4" s="1"/>
  <c r="H156" i="4"/>
  <c r="AI156" i="4" s="1"/>
  <c r="H172" i="4"/>
  <c r="AI172" i="4" s="1"/>
  <c r="H188" i="4"/>
  <c r="AI188" i="4" s="1"/>
  <c r="H204" i="4"/>
  <c r="AI204" i="4" s="1"/>
  <c r="M66" i="2"/>
  <c r="AM110" i="4"/>
  <c r="AK111" i="4"/>
  <c r="AK112" i="4"/>
  <c r="AM113" i="4"/>
  <c r="AM114" i="4"/>
  <c r="AK115" i="4"/>
  <c r="AK124" i="4"/>
  <c r="AK127" i="4"/>
  <c r="AK128" i="4"/>
  <c r="AM129" i="4"/>
  <c r="AM130" i="4"/>
  <c r="AK131" i="4"/>
  <c r="AK110" i="4"/>
  <c r="AM111" i="4"/>
  <c r="AM112" i="4"/>
  <c r="AK113" i="4"/>
  <c r="AK114" i="4"/>
  <c r="AM115" i="4"/>
  <c r="AK119" i="4"/>
  <c r="AK123" i="4"/>
  <c r="AM124" i="4"/>
  <c r="AK126" i="4"/>
  <c r="AM131" i="4"/>
  <c r="AM132" i="4"/>
  <c r="AM133" i="4"/>
  <c r="AM135" i="4"/>
  <c r="AM136" i="4"/>
  <c r="AM138" i="4"/>
  <c r="AM139" i="4"/>
  <c r="AM140" i="4"/>
  <c r="AM142" i="4"/>
  <c r="AM144" i="4"/>
  <c r="AK145" i="4"/>
  <c r="AM146" i="4"/>
  <c r="AK118" i="4"/>
  <c r="AM119" i="4"/>
  <c r="AK122" i="4"/>
  <c r="AM123" i="4"/>
  <c r="AK125" i="4"/>
  <c r="AM126" i="4"/>
  <c r="AM127" i="4"/>
  <c r="AK137" i="4"/>
  <c r="AK141" i="4"/>
  <c r="AM143" i="4"/>
  <c r="AM116" i="4"/>
  <c r="AM117" i="4"/>
  <c r="AM120" i="4"/>
  <c r="AM121" i="4"/>
  <c r="AM128" i="4"/>
  <c r="AK129" i="4"/>
  <c r="AK133" i="4"/>
  <c r="AM134" i="4"/>
  <c r="AM137" i="4"/>
  <c r="AM141" i="4"/>
  <c r="AK143" i="4"/>
  <c r="AK150" i="4"/>
  <c r="AK151" i="4"/>
  <c r="AK152" i="4"/>
  <c r="AK153" i="4"/>
  <c r="AM154" i="4"/>
  <c r="AM155" i="4"/>
  <c r="AK159" i="4"/>
  <c r="AK160" i="4"/>
  <c r="AM162" i="4"/>
  <c r="AM163" i="4"/>
  <c r="AM164" i="4"/>
  <c r="AM165" i="4"/>
  <c r="AM168" i="4"/>
  <c r="AM170" i="4"/>
  <c r="AM171" i="4"/>
  <c r="AM172" i="4"/>
  <c r="AM173" i="4"/>
  <c r="AM176" i="4"/>
  <c r="AK178" i="4"/>
  <c r="AK181" i="4"/>
  <c r="AM185" i="4"/>
  <c r="AM186" i="4"/>
  <c r="AM187" i="4"/>
  <c r="AK116" i="4"/>
  <c r="AM125" i="4"/>
  <c r="AK132" i="4"/>
  <c r="AK134" i="4"/>
  <c r="AK140" i="4"/>
  <c r="AK146" i="4"/>
  <c r="AM148" i="4"/>
  <c r="AK149" i="4"/>
  <c r="AM151" i="4"/>
  <c r="AK154" i="4"/>
  <c r="AM156" i="4"/>
  <c r="AK161" i="4"/>
  <c r="AK162" i="4"/>
  <c r="AK167" i="4"/>
  <c r="AK169" i="4"/>
  <c r="AK170" i="4"/>
  <c r="AK175" i="4"/>
  <c r="AM183" i="4"/>
  <c r="AK188" i="4"/>
  <c r="AK198" i="4"/>
  <c r="AM202" i="4"/>
  <c r="AK157" i="4"/>
  <c r="AM158" i="4"/>
  <c r="AM159" i="4"/>
  <c r="AK164" i="4"/>
  <c r="AM166" i="4"/>
  <c r="AK172" i="4"/>
  <c r="AM174" i="4"/>
  <c r="AK176" i="4"/>
  <c r="AK177" i="4"/>
  <c r="AM188" i="4"/>
  <c r="AM193" i="4"/>
  <c r="AM197" i="4"/>
  <c r="AM118" i="4"/>
  <c r="AK121" i="4"/>
  <c r="AK138" i="4"/>
  <c r="AK142" i="4"/>
  <c r="AM145" i="4"/>
  <c r="AM149" i="4"/>
  <c r="AM150" i="4"/>
  <c r="AM153" i="4"/>
  <c r="AK158" i="4"/>
  <c r="AM160" i="4"/>
  <c r="AK165" i="4"/>
  <c r="AK166" i="4"/>
  <c r="AM167" i="4"/>
  <c r="AK173" i="4"/>
  <c r="AK174" i="4"/>
  <c r="AM175" i="4"/>
  <c r="AK179" i="4"/>
  <c r="AM180" i="4"/>
  <c r="AK182" i="4"/>
  <c r="AK187" i="4"/>
  <c r="AK189" i="4"/>
  <c r="AK190" i="4"/>
  <c r="AK191" i="4"/>
  <c r="AM192" i="4"/>
  <c r="AK194" i="4"/>
  <c r="AK195" i="4"/>
  <c r="AM196" i="4"/>
  <c r="AK199" i="4"/>
  <c r="AK201" i="4"/>
  <c r="AK203" i="4"/>
  <c r="AM204" i="4"/>
  <c r="AK205" i="4"/>
  <c r="AK206" i="4"/>
  <c r="AK207" i="4"/>
  <c r="AM208" i="4"/>
  <c r="AK209" i="4"/>
  <c r="AK120" i="4"/>
  <c r="AK130" i="4"/>
  <c r="AK135" i="4"/>
  <c r="AK144" i="4"/>
  <c r="AK147" i="4"/>
  <c r="AM161" i="4"/>
  <c r="AM200" i="4"/>
  <c r="AK202" i="4"/>
  <c r="AK117" i="4"/>
  <c r="AM122" i="4"/>
  <c r="AK136" i="4"/>
  <c r="AK139" i="4"/>
  <c r="AM147" i="4"/>
  <c r="AK155" i="4"/>
  <c r="AK156" i="4"/>
  <c r="AM157" i="4"/>
  <c r="AK163" i="4"/>
  <c r="AK171" i="4"/>
  <c r="AM177" i="4"/>
  <c r="AM178" i="4"/>
  <c r="AM179" i="4"/>
  <c r="AK180" i="4"/>
  <c r="AM182" i="4"/>
  <c r="AK183" i="4"/>
  <c r="AM184" i="4"/>
  <c r="AK185" i="4"/>
  <c r="AM189" i="4"/>
  <c r="AM190" i="4"/>
  <c r="AM191" i="4"/>
  <c r="AK192" i="4"/>
  <c r="AM194" i="4"/>
  <c r="AM195" i="4"/>
  <c r="AK196" i="4"/>
  <c r="AM199" i="4"/>
  <c r="AM201" i="4"/>
  <c r="AM203" i="4"/>
  <c r="AK204" i="4"/>
  <c r="AM205" i="4"/>
  <c r="AM206" i="4"/>
  <c r="AM207" i="4"/>
  <c r="AK208" i="4"/>
  <c r="AM209" i="4"/>
  <c r="AK193" i="4"/>
  <c r="AK197" i="4"/>
  <c r="AK200" i="4"/>
  <c r="AK148" i="4"/>
  <c r="AM152" i="4"/>
  <c r="AK168" i="4"/>
  <c r="AM169" i="4"/>
  <c r="AM181" i="4"/>
  <c r="AK184" i="4"/>
  <c r="AK186" i="4"/>
  <c r="AM198" i="4"/>
  <c r="B250" i="2"/>
  <c r="E250" i="2" s="1"/>
  <c r="B38" i="2"/>
  <c r="B25" i="2"/>
  <c r="B26" i="2" s="1"/>
  <c r="B27" i="2"/>
  <c r="B28" i="2" s="1"/>
  <c r="B36" i="2"/>
  <c r="B34" i="2"/>
  <c r="A35" i="16"/>
  <c r="G3" i="8"/>
  <c r="G159" i="8" s="1"/>
  <c r="G158" i="8" s="1"/>
  <c r="G157" i="8" s="1"/>
  <c r="G156" i="8" s="1"/>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G4" i="8" s="1"/>
  <c r="B90" i="2"/>
  <c r="B3" i="8" s="1"/>
  <c r="B159" i="8" s="1"/>
  <c r="B158" i="8" s="1"/>
  <c r="B157" i="8" s="1"/>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B9" i="8" s="1"/>
  <c r="B8" i="8" s="1"/>
  <c r="B7" i="8" s="1"/>
  <c r="B6" i="8" s="1"/>
  <c r="B4" i="8" s="1"/>
  <c r="B131" i="2"/>
  <c r="J136" i="3" s="1"/>
  <c r="AK10" i="4"/>
  <c r="B19" i="4"/>
  <c r="B34" i="3"/>
  <c r="AR34" i="3"/>
  <c r="AQ34" i="3"/>
  <c r="AQ24" i="3"/>
  <c r="B248" i="2"/>
  <c r="B18" i="4"/>
  <c r="AK24" i="4"/>
  <c r="AJ173" i="3"/>
  <c r="AJ565" i="3"/>
  <c r="AK57" i="4"/>
  <c r="C273" i="2"/>
  <c r="AJ19" i="3"/>
  <c r="AJ175" i="3"/>
  <c r="AJ150" i="3"/>
  <c r="R4" i="8"/>
  <c r="S4" i="8" s="1"/>
  <c r="E13" i="1" s="1"/>
  <c r="B23" i="2"/>
  <c r="B85" i="2" s="1"/>
  <c r="AJ264" i="3"/>
  <c r="AJ522" i="3"/>
  <c r="AJ512" i="3"/>
  <c r="AJ71" i="3"/>
  <c r="AJ553" i="3"/>
  <c r="AJ136" i="3"/>
  <c r="AJ545" i="3"/>
  <c r="AJ195" i="3"/>
  <c r="AJ281" i="3"/>
  <c r="AJ634" i="3"/>
  <c r="AJ384" i="3"/>
  <c r="AJ475" i="3"/>
  <c r="AJ322" i="3"/>
  <c r="AJ434" i="3"/>
  <c r="AJ463" i="3"/>
  <c r="AJ328" i="3"/>
  <c r="AJ200" i="3"/>
  <c r="AJ72" i="3"/>
  <c r="AJ241" i="3"/>
  <c r="AJ639" i="3"/>
  <c r="AJ394" i="3"/>
  <c r="AJ511" i="3"/>
  <c r="AJ105" i="3"/>
  <c r="AJ437" i="3"/>
  <c r="AJ666" i="3"/>
  <c r="AJ576" i="3"/>
  <c r="AJ448" i="3"/>
  <c r="AJ303" i="3"/>
  <c r="AJ603" i="3"/>
  <c r="AJ347" i="3"/>
  <c r="AJ236" i="3"/>
  <c r="AJ66" i="3"/>
  <c r="AJ18" i="3"/>
  <c r="AJ606" i="3"/>
  <c r="AJ187" i="3"/>
  <c r="AJ253" i="3"/>
  <c r="AJ296" i="3"/>
  <c r="AJ232" i="3"/>
  <c r="AJ168" i="3"/>
  <c r="AJ104" i="3"/>
  <c r="AJ40" i="3"/>
  <c r="AJ85" i="3"/>
  <c r="AJ417" i="3"/>
  <c r="AJ671" i="3"/>
  <c r="AJ586" i="3"/>
  <c r="AJ458" i="3"/>
  <c r="AJ323" i="3"/>
  <c r="R10" i="8"/>
  <c r="S10" i="8" s="1"/>
  <c r="AJ383" i="3"/>
  <c r="AJ41" i="3"/>
  <c r="AJ153" i="3"/>
  <c r="AJ373" i="3"/>
  <c r="AJ501" i="3"/>
  <c r="AJ674" i="3"/>
  <c r="AJ650" i="3"/>
  <c r="AJ608" i="3"/>
  <c r="AJ544" i="3"/>
  <c r="AJ480" i="3"/>
  <c r="AJ416" i="3"/>
  <c r="AJ352" i="3"/>
  <c r="AJ239" i="3"/>
  <c r="AJ91" i="3"/>
  <c r="AJ539" i="3"/>
  <c r="AJ411" i="3"/>
  <c r="AJ229" i="3"/>
  <c r="AJ278" i="3"/>
  <c r="AJ194" i="3"/>
  <c r="AJ108" i="3"/>
  <c r="AJ28" i="3"/>
  <c r="AJ377" i="3"/>
  <c r="AJ659" i="3"/>
  <c r="AJ518" i="3"/>
  <c r="AJ141" i="3"/>
  <c r="AJ688" i="3"/>
  <c r="AK25" i="4"/>
  <c r="F64" i="1"/>
  <c r="N159" i="8"/>
  <c r="N158" i="8" s="1"/>
  <c r="N157" i="8" s="1"/>
  <c r="N156" i="8" s="1"/>
  <c r="N155" i="8" s="1"/>
  <c r="N154" i="8" s="1"/>
  <c r="N153" i="8" s="1"/>
  <c r="N152" i="8" s="1"/>
  <c r="N151" i="8" s="1"/>
  <c r="N150" i="8" s="1"/>
  <c r="N149" i="8" s="1"/>
  <c r="N148" i="8" s="1"/>
  <c r="N147" i="8" s="1"/>
  <c r="N146" i="8" s="1"/>
  <c r="N145" i="8" s="1"/>
  <c r="N144" i="8" s="1"/>
  <c r="N143" i="8" s="1"/>
  <c r="N142" i="8" s="1"/>
  <c r="N141" i="8" s="1"/>
  <c r="N140" i="8" s="1"/>
  <c r="N139" i="8" s="1"/>
  <c r="N138" i="8" s="1"/>
  <c r="N137" i="8" s="1"/>
  <c r="N136" i="8" s="1"/>
  <c r="N135" i="8" s="1"/>
  <c r="N134" i="8" s="1"/>
  <c r="N133" i="8" s="1"/>
  <c r="N132" i="8" s="1"/>
  <c r="N131" i="8" s="1"/>
  <c r="N130" i="8" s="1"/>
  <c r="N129" i="8" s="1"/>
  <c r="N128" i="8" s="1"/>
  <c r="N127" i="8" s="1"/>
  <c r="N126" i="8" s="1"/>
  <c r="N125" i="8" s="1"/>
  <c r="N124" i="8" s="1"/>
  <c r="N123" i="8" s="1"/>
  <c r="N122" i="8" s="1"/>
  <c r="N121" i="8" s="1"/>
  <c r="N120" i="8" s="1"/>
  <c r="N119" i="8" s="1"/>
  <c r="N118" i="8" s="1"/>
  <c r="N117" i="8" s="1"/>
  <c r="N116" i="8" s="1"/>
  <c r="N115" i="8" s="1"/>
  <c r="N114" i="8" s="1"/>
  <c r="N113" i="8" s="1"/>
  <c r="N112" i="8" s="1"/>
  <c r="N111" i="8" s="1"/>
  <c r="N110" i="8" s="1"/>
  <c r="N109" i="8" s="1"/>
  <c r="N108" i="8" s="1"/>
  <c r="N107" i="8" s="1"/>
  <c r="N106" i="8" s="1"/>
  <c r="N105" i="8" s="1"/>
  <c r="N104" i="8" s="1"/>
  <c r="N103" i="8" s="1"/>
  <c r="N102" i="8" s="1"/>
  <c r="N101" i="8" s="1"/>
  <c r="N100" i="8" s="1"/>
  <c r="N99" i="8" s="1"/>
  <c r="N98" i="8" s="1"/>
  <c r="N97" i="8" s="1"/>
  <c r="N96" i="8" s="1"/>
  <c r="N95" i="8" s="1"/>
  <c r="N94" i="8" s="1"/>
  <c r="N93" i="8" s="1"/>
  <c r="N92" i="8" s="1"/>
  <c r="N91" i="8" s="1"/>
  <c r="N90" i="8" s="1"/>
  <c r="N89" i="8" s="1"/>
  <c r="N88" i="8" s="1"/>
  <c r="N87" i="8" s="1"/>
  <c r="N86" i="8" s="1"/>
  <c r="N85" i="8" s="1"/>
  <c r="N84" i="8" s="1"/>
  <c r="N83" i="8" s="1"/>
  <c r="N82" i="8" s="1"/>
  <c r="N81" i="8" s="1"/>
  <c r="N80" i="8" s="1"/>
  <c r="N79" i="8" s="1"/>
  <c r="N78" i="8" s="1"/>
  <c r="N77" i="8" s="1"/>
  <c r="N76" i="8" s="1"/>
  <c r="N75" i="8" s="1"/>
  <c r="N74" i="8" s="1"/>
  <c r="N73" i="8" s="1"/>
  <c r="N72" i="8" s="1"/>
  <c r="N71" i="8" s="1"/>
  <c r="N70" i="8" s="1"/>
  <c r="N69" i="8" s="1"/>
  <c r="N68" i="8" s="1"/>
  <c r="N67" i="8" s="1"/>
  <c r="N66" i="8" s="1"/>
  <c r="N65" i="8" s="1"/>
  <c r="N64" i="8" s="1"/>
  <c r="N63" i="8" s="1"/>
  <c r="N62" i="8" s="1"/>
  <c r="N61" i="8" s="1"/>
  <c r="N60" i="8" s="1"/>
  <c r="N59" i="8" s="1"/>
  <c r="N58" i="8" s="1"/>
  <c r="N57" i="8" s="1"/>
  <c r="N56" i="8" s="1"/>
  <c r="N55" i="8" s="1"/>
  <c r="N54" i="8" s="1"/>
  <c r="N53" i="8" s="1"/>
  <c r="N52" i="8" s="1"/>
  <c r="N51" i="8" s="1"/>
  <c r="N50" i="8" s="1"/>
  <c r="N49" i="8" s="1"/>
  <c r="N48" i="8" s="1"/>
  <c r="N47" i="8" s="1"/>
  <c r="N46" i="8" s="1"/>
  <c r="N45" i="8" s="1"/>
  <c r="N44" i="8" s="1"/>
  <c r="N43" i="8" s="1"/>
  <c r="N42" i="8" s="1"/>
  <c r="N41" i="8" s="1"/>
  <c r="N40" i="8" s="1"/>
  <c r="N39" i="8" s="1"/>
  <c r="N38" i="8" s="1"/>
  <c r="N37" i="8" s="1"/>
  <c r="N36" i="8" s="1"/>
  <c r="N35" i="8" s="1"/>
  <c r="N34" i="8" s="1"/>
  <c r="N33" i="8" s="1"/>
  <c r="N32" i="8" s="1"/>
  <c r="N31" i="8" s="1"/>
  <c r="N30" i="8" s="1"/>
  <c r="N29" i="8" s="1"/>
  <c r="N28" i="8" s="1"/>
  <c r="N27" i="8" s="1"/>
  <c r="N26" i="8" s="1"/>
  <c r="N25" i="8" s="1"/>
  <c r="N24" i="8" s="1"/>
  <c r="N23" i="8" s="1"/>
  <c r="N22" i="8" s="1"/>
  <c r="N21" i="8" s="1"/>
  <c r="N20" i="8" s="1"/>
  <c r="N19" i="8" s="1"/>
  <c r="N18" i="8" s="1"/>
  <c r="N17" i="8" s="1"/>
  <c r="N16" i="8" s="1"/>
  <c r="N15" i="8" s="1"/>
  <c r="N14" i="8" s="1"/>
  <c r="N13" i="8" s="1"/>
  <c r="N12" i="8" s="1"/>
  <c r="N11" i="8" s="1"/>
  <c r="N10" i="8" s="1"/>
  <c r="N9" i="8" s="1"/>
  <c r="N8" i="8" s="1"/>
  <c r="N7" i="8" s="1"/>
  <c r="N6" i="8" s="1"/>
  <c r="B53" i="4"/>
  <c r="B22" i="4"/>
  <c r="B194" i="2"/>
  <c r="B45" i="4" s="1"/>
  <c r="B14" i="4"/>
  <c r="AJ375" i="3"/>
  <c r="AJ551" i="3"/>
  <c r="B127" i="2"/>
  <c r="B153" i="2" s="1"/>
  <c r="B146" i="2" s="1"/>
  <c r="AJ312" i="3"/>
  <c r="AJ280" i="3"/>
  <c r="AJ248" i="3"/>
  <c r="AJ216" i="3"/>
  <c r="AJ184" i="3"/>
  <c r="AJ152" i="3"/>
  <c r="AJ120" i="3"/>
  <c r="AJ88" i="3"/>
  <c r="AJ56" i="3"/>
  <c r="AJ29" i="3"/>
  <c r="AJ16" i="3"/>
  <c r="AJ95" i="3"/>
  <c r="AJ353" i="3"/>
  <c r="AJ481" i="3"/>
  <c r="AJ609" i="3"/>
  <c r="AJ655" i="3"/>
  <c r="AJ618" i="3"/>
  <c r="AJ554" i="3"/>
  <c r="AJ490" i="3"/>
  <c r="AJ426" i="3"/>
  <c r="AJ362" i="3"/>
  <c r="AJ259" i="3"/>
  <c r="AJ131" i="3"/>
  <c r="AJ575" i="3"/>
  <c r="AJ447" i="3"/>
  <c r="AJ301" i="3"/>
  <c r="AJ73" i="3"/>
  <c r="AJ47" i="3"/>
  <c r="AJ217" i="3"/>
  <c r="AJ341" i="3"/>
  <c r="AJ405" i="3"/>
  <c r="AJ469" i="3"/>
  <c r="AJ533" i="3"/>
  <c r="AJ597" i="3"/>
  <c r="AJ687" i="3"/>
  <c r="AJ658" i="3"/>
  <c r="AJ642" i="3"/>
  <c r="AJ624" i="3"/>
  <c r="AJ592" i="3"/>
  <c r="AJ560" i="3"/>
  <c r="AJ528" i="3"/>
  <c r="AJ496" i="3"/>
  <c r="AJ464" i="3"/>
  <c r="AJ432" i="3"/>
  <c r="AJ400" i="3"/>
  <c r="AJ368" i="3"/>
  <c r="AJ335" i="3"/>
  <c r="AJ271" i="3"/>
  <c r="AJ207" i="3"/>
  <c r="AJ143" i="3"/>
  <c r="AJ14" i="3"/>
  <c r="AJ571" i="3"/>
  <c r="AJ507" i="3"/>
  <c r="AJ443" i="3"/>
  <c r="AJ379" i="3"/>
  <c r="AJ293" i="3"/>
  <c r="AJ165" i="3"/>
  <c r="AJ300" i="3"/>
  <c r="AJ258" i="3"/>
  <c r="AJ214" i="3"/>
  <c r="AJ172" i="3"/>
  <c r="AJ130" i="3"/>
  <c r="AJ86" i="3"/>
  <c r="AJ44" i="3"/>
  <c r="AJ13" i="3"/>
  <c r="AJ61" i="3"/>
  <c r="AJ257" i="3"/>
  <c r="AJ465" i="3"/>
  <c r="AJ675" i="3"/>
  <c r="AJ637" i="3"/>
  <c r="AJ562" i="3"/>
  <c r="AJ478" i="3"/>
  <c r="AJ390" i="3"/>
  <c r="AJ275" i="3"/>
  <c r="AJ83" i="3"/>
  <c r="AK67" i="4"/>
  <c r="AK89" i="4"/>
  <c r="AK15" i="4"/>
  <c r="AJ583" i="3"/>
  <c r="B25" i="4"/>
  <c r="B171" i="2"/>
  <c r="AJ333" i="3"/>
  <c r="AJ423" i="3"/>
  <c r="AJ503" i="3"/>
  <c r="AJ591" i="3"/>
  <c r="AJ336" i="3"/>
  <c r="AJ320" i="3"/>
  <c r="AJ304" i="3"/>
  <c r="AJ288" i="3"/>
  <c r="AJ272" i="3"/>
  <c r="AJ256" i="3"/>
  <c r="AJ240" i="3"/>
  <c r="AJ224" i="3"/>
  <c r="AJ208" i="3"/>
  <c r="AJ192" i="3"/>
  <c r="AJ176" i="3"/>
  <c r="AJ160" i="3"/>
  <c r="AJ144" i="3"/>
  <c r="AJ128" i="3"/>
  <c r="AJ112" i="3"/>
  <c r="AJ96" i="3"/>
  <c r="AJ80" i="3"/>
  <c r="AJ64" i="3"/>
  <c r="AJ48" i="3"/>
  <c r="AJ35" i="3"/>
  <c r="AJ24" i="3"/>
  <c r="AJ11" i="3"/>
  <c r="AJ53" i="3"/>
  <c r="AJ117" i="3"/>
  <c r="AJ177" i="3"/>
  <c r="AJ305" i="3"/>
  <c r="AJ385" i="3"/>
  <c r="AJ449" i="3"/>
  <c r="AJ513" i="3"/>
  <c r="AJ577" i="3"/>
  <c r="AJ682" i="3"/>
  <c r="AJ663" i="3"/>
  <c r="AJ647" i="3"/>
  <c r="AJ631" i="3"/>
  <c r="AJ602" i="3"/>
  <c r="AJ570" i="3"/>
  <c r="AJ538" i="3"/>
  <c r="AJ506" i="3"/>
  <c r="AJ474" i="3"/>
  <c r="AJ442" i="3"/>
  <c r="AJ410" i="3"/>
  <c r="AJ378" i="3"/>
  <c r="AJ346" i="3"/>
  <c r="AJ291" i="3"/>
  <c r="AJ227" i="3"/>
  <c r="AJ163" i="3"/>
  <c r="AJ67" i="3"/>
  <c r="AJ607" i="3"/>
  <c r="AJ543" i="3"/>
  <c r="AJ479" i="3"/>
  <c r="AJ415" i="3"/>
  <c r="AJ351" i="3"/>
  <c r="AJ237" i="3"/>
  <c r="AJ87" i="3"/>
  <c r="AJ57" i="3"/>
  <c r="AJ89" i="3"/>
  <c r="AJ121" i="3"/>
  <c r="AJ111" i="3"/>
  <c r="AJ185" i="3"/>
  <c r="AJ249" i="3"/>
  <c r="AJ313" i="3"/>
  <c r="AJ357" i="3"/>
  <c r="AJ389" i="3"/>
  <c r="AJ421" i="3"/>
  <c r="AJ453" i="3"/>
  <c r="AJ485" i="3"/>
  <c r="AJ517" i="3"/>
  <c r="AJ549" i="3"/>
  <c r="AJ581" i="3"/>
  <c r="AJ613" i="3"/>
  <c r="AJ683" i="3"/>
  <c r="AJ670" i="3"/>
  <c r="AJ662" i="3"/>
  <c r="AJ654" i="3"/>
  <c r="AJ646" i="3"/>
  <c r="AJ638" i="3"/>
  <c r="AJ630" i="3"/>
  <c r="AJ616" i="3"/>
  <c r="AJ600" i="3"/>
  <c r="AJ584" i="3"/>
  <c r="AJ568" i="3"/>
  <c r="AJ552" i="3"/>
  <c r="AJ536" i="3"/>
  <c r="AJ520" i="3"/>
  <c r="AJ504" i="3"/>
  <c r="AJ488" i="3"/>
  <c r="AJ472" i="3"/>
  <c r="AJ456" i="3"/>
  <c r="AJ440" i="3"/>
  <c r="AJ424" i="3"/>
  <c r="AJ408" i="3"/>
  <c r="AJ392" i="3"/>
  <c r="AJ376" i="3"/>
  <c r="AJ360" i="3"/>
  <c r="AJ344" i="3"/>
  <c r="AJ319" i="3"/>
  <c r="AJ287" i="3"/>
  <c r="AJ255" i="3"/>
  <c r="AJ223" i="3"/>
  <c r="AJ191" i="3"/>
  <c r="AJ159" i="3"/>
  <c r="AJ123" i="3"/>
  <c r="AJ59" i="3"/>
  <c r="AJ619" i="3"/>
  <c r="AJ587" i="3"/>
  <c r="AJ555" i="3"/>
  <c r="AJ523" i="3"/>
  <c r="AJ491" i="3"/>
  <c r="AJ459" i="3"/>
  <c r="AJ427" i="3"/>
  <c r="AJ395" i="3"/>
  <c r="AJ363" i="3"/>
  <c r="AJ325" i="3"/>
  <c r="AJ261" i="3"/>
  <c r="AJ197" i="3"/>
  <c r="AJ133" i="3"/>
  <c r="AJ34" i="3"/>
  <c r="AK98" i="4"/>
  <c r="AJ332" i="3"/>
  <c r="AJ310" i="3"/>
  <c r="AJ290" i="3"/>
  <c r="AJ268" i="3"/>
  <c r="AJ246" i="3"/>
  <c r="AJ226" i="3"/>
  <c r="AJ204" i="3"/>
  <c r="AJ182" i="3"/>
  <c r="AJ162" i="3"/>
  <c r="AJ140" i="3"/>
  <c r="AJ118" i="3"/>
  <c r="AJ98" i="3"/>
  <c r="AJ76" i="3"/>
  <c r="AJ54" i="3"/>
  <c r="AJ36" i="3"/>
  <c r="AJ21" i="3"/>
  <c r="AJ101" i="3"/>
  <c r="AJ161" i="3"/>
  <c r="AJ337" i="3"/>
  <c r="AJ425" i="3"/>
  <c r="AJ505" i="3"/>
  <c r="AJ593" i="3"/>
  <c r="AJ669" i="3"/>
  <c r="AJ649" i="3"/>
  <c r="AJ626" i="3"/>
  <c r="AJ582" i="3"/>
  <c r="AJ542" i="3"/>
  <c r="AJ498" i="3"/>
  <c r="AJ454" i="3"/>
  <c r="AJ414" i="3"/>
  <c r="AJ370" i="3"/>
  <c r="AJ315" i="3"/>
  <c r="AJ235" i="3"/>
  <c r="AJ147" i="3"/>
  <c r="AK77" i="4"/>
  <c r="AK45" i="4"/>
  <c r="AK90" i="4"/>
  <c r="AK78" i="4"/>
  <c r="AK36" i="4"/>
  <c r="AJ359" i="3"/>
  <c r="AJ471" i="3"/>
  <c r="AK106" i="4"/>
  <c r="AK38" i="4"/>
  <c r="AK108" i="4"/>
  <c r="AK14" i="4"/>
  <c r="AK35" i="4"/>
  <c r="AK56" i="4"/>
  <c r="AK79" i="4"/>
  <c r="AK100" i="4"/>
  <c r="AK42" i="4"/>
  <c r="AK34" i="4"/>
  <c r="AK96" i="4"/>
  <c r="AK68" i="4"/>
  <c r="AK47" i="4"/>
  <c r="B54" i="4"/>
  <c r="B224" i="2"/>
  <c r="B39" i="4"/>
  <c r="B77" i="4"/>
  <c r="B223" i="2"/>
  <c r="AJ55" i="3"/>
  <c r="AJ205" i="3"/>
  <c r="AJ317" i="3"/>
  <c r="AJ391" i="3"/>
  <c r="AJ439" i="3"/>
  <c r="AJ495" i="3"/>
  <c r="AJ559" i="3"/>
  <c r="AJ615" i="3"/>
  <c r="AJ26" i="3"/>
  <c r="AJ115" i="3"/>
  <c r="AJ171" i="3"/>
  <c r="AJ211" i="3"/>
  <c r="AJ251" i="3"/>
  <c r="AJ299" i="3"/>
  <c r="AJ338" i="3"/>
  <c r="AJ358" i="3"/>
  <c r="AJ382" i="3"/>
  <c r="AJ402" i="3"/>
  <c r="AJ422" i="3"/>
  <c r="AJ446" i="3"/>
  <c r="AJ466" i="3"/>
  <c r="AJ486" i="3"/>
  <c r="AJ510" i="3"/>
  <c r="AJ530" i="3"/>
  <c r="AJ550" i="3"/>
  <c r="AJ574" i="3"/>
  <c r="AJ594" i="3"/>
  <c r="AJ614" i="3"/>
  <c r="AJ633" i="3"/>
  <c r="AJ643" i="3"/>
  <c r="AJ653" i="3"/>
  <c r="AJ665" i="3"/>
  <c r="AJ686" i="3"/>
  <c r="AJ617" i="3"/>
  <c r="AJ569" i="3"/>
  <c r="AJ529" i="3"/>
  <c r="AJ489" i="3"/>
  <c r="AJ441" i="3"/>
  <c r="AJ401" i="3"/>
  <c r="AJ361" i="3"/>
  <c r="AJ289" i="3"/>
  <c r="AJ209" i="3"/>
  <c r="AJ127" i="3"/>
  <c r="AJ125" i="3"/>
  <c r="AJ77" i="3"/>
  <c r="AJ30" i="3"/>
  <c r="AJ17" i="3"/>
  <c r="AJ25" i="3"/>
  <c r="AJ32" i="3"/>
  <c r="AJ38" i="3"/>
  <c r="AJ50" i="3"/>
  <c r="AJ60" i="3"/>
  <c r="AJ70" i="3"/>
  <c r="AJ82" i="3"/>
  <c r="AJ92" i="3"/>
  <c r="AJ102" i="3"/>
  <c r="AJ114" i="3"/>
  <c r="AJ124" i="3"/>
  <c r="AJ134" i="3"/>
  <c r="AJ146" i="3"/>
  <c r="AJ156" i="3"/>
  <c r="AJ166" i="3"/>
  <c r="AJ178" i="3"/>
  <c r="AJ188" i="3"/>
  <c r="AJ198" i="3"/>
  <c r="AJ210" i="3"/>
  <c r="AJ220" i="3"/>
  <c r="AJ230" i="3"/>
  <c r="AJ242" i="3"/>
  <c r="AJ252" i="3"/>
  <c r="AJ262" i="3"/>
  <c r="AJ274" i="3"/>
  <c r="AJ284" i="3"/>
  <c r="AJ294" i="3"/>
  <c r="AJ306" i="3"/>
  <c r="AJ316" i="3"/>
  <c r="AJ326" i="3"/>
  <c r="AJ39" i="3"/>
  <c r="AJ103" i="3"/>
  <c r="AJ149" i="3"/>
  <c r="AJ181" i="3"/>
  <c r="AJ213" i="3"/>
  <c r="AJ245" i="3"/>
  <c r="AJ277" i="3"/>
  <c r="AJ309" i="3"/>
  <c r="AJ339" i="3"/>
  <c r="AJ355" i="3"/>
  <c r="AJ371" i="3"/>
  <c r="AJ387" i="3"/>
  <c r="AJ403" i="3"/>
  <c r="AJ419" i="3"/>
  <c r="AJ435" i="3"/>
  <c r="AJ451" i="3"/>
  <c r="AJ467" i="3"/>
  <c r="AJ483" i="3"/>
  <c r="AJ499" i="3"/>
  <c r="AJ515" i="3"/>
  <c r="AJ531" i="3"/>
  <c r="AJ547" i="3"/>
  <c r="AJ563" i="3"/>
  <c r="AJ579" i="3"/>
  <c r="AJ595" i="3"/>
  <c r="AJ611" i="3"/>
  <c r="AJ627" i="3"/>
  <c r="AJ43" i="3"/>
  <c r="AJ75" i="3"/>
  <c r="AJ107" i="3"/>
  <c r="AJ135" i="3"/>
  <c r="AJ151" i="3"/>
  <c r="AJ167" i="3"/>
  <c r="AJ183" i="3"/>
  <c r="AJ199" i="3"/>
  <c r="AJ215" i="3"/>
  <c r="AJ231" i="3"/>
  <c r="AJ247" i="3"/>
  <c r="AJ263" i="3"/>
  <c r="AJ279" i="3"/>
  <c r="AJ295" i="3"/>
  <c r="AJ311" i="3"/>
  <c r="AJ327" i="3"/>
  <c r="AJ340" i="3"/>
  <c r="AJ348" i="3"/>
  <c r="AJ356" i="3"/>
  <c r="AJ364" i="3"/>
  <c r="AJ372" i="3"/>
  <c r="AJ380" i="3"/>
  <c r="AJ388" i="3"/>
  <c r="AJ396" i="3"/>
  <c r="AJ404" i="3"/>
  <c r="AJ412" i="3"/>
  <c r="AJ420" i="3"/>
  <c r="AJ428" i="3"/>
  <c r="AJ436" i="3"/>
  <c r="AJ444" i="3"/>
  <c r="AJ452" i="3"/>
  <c r="AJ460" i="3"/>
  <c r="AJ468" i="3"/>
  <c r="AJ476" i="3"/>
  <c r="AJ484" i="3"/>
  <c r="AJ492" i="3"/>
  <c r="AJ500" i="3"/>
  <c r="AJ508" i="3"/>
  <c r="AJ516" i="3"/>
  <c r="AJ524" i="3"/>
  <c r="AJ532" i="3"/>
  <c r="AJ540" i="3"/>
  <c r="AJ548" i="3"/>
  <c r="AJ556" i="3"/>
  <c r="AJ564" i="3"/>
  <c r="AJ572" i="3"/>
  <c r="AJ580" i="3"/>
  <c r="AJ588" i="3"/>
  <c r="AJ596" i="3"/>
  <c r="AJ604" i="3"/>
  <c r="AJ612" i="3"/>
  <c r="AJ620" i="3"/>
  <c r="AJ628" i="3"/>
  <c r="AJ632" i="3"/>
  <c r="AJ636" i="3"/>
  <c r="AJ640" i="3"/>
  <c r="AJ644" i="3"/>
  <c r="AJ648" i="3"/>
  <c r="AJ652" i="3"/>
  <c r="AJ656" i="3"/>
  <c r="AJ660" i="3"/>
  <c r="AJ664" i="3"/>
  <c r="AJ668" i="3"/>
  <c r="AJ672" i="3"/>
  <c r="AJ685" i="3"/>
  <c r="AJ676" i="3"/>
  <c r="AJ621" i="3"/>
  <c r="AJ605" i="3"/>
  <c r="AJ589" i="3"/>
  <c r="AJ573" i="3"/>
  <c r="AJ557" i="3"/>
  <c r="AJ541" i="3"/>
  <c r="AJ525" i="3"/>
  <c r="AJ509" i="3"/>
  <c r="AJ493" i="3"/>
  <c r="AJ477" i="3"/>
  <c r="AJ461" i="3"/>
  <c r="AJ445" i="3"/>
  <c r="AJ429" i="3"/>
  <c r="AJ413" i="3"/>
  <c r="AJ397" i="3"/>
  <c r="AJ381" i="3"/>
  <c r="AJ365" i="3"/>
  <c r="AJ349" i="3"/>
  <c r="AJ329" i="3"/>
  <c r="AJ297" i="3"/>
  <c r="AJ265" i="3"/>
  <c r="AJ233" i="3"/>
  <c r="AJ201" i="3"/>
  <c r="AJ169" i="3"/>
  <c r="AJ137" i="3"/>
  <c r="AJ79" i="3"/>
  <c r="AJ129" i="3"/>
  <c r="AJ113" i="3"/>
  <c r="AJ97" i="3"/>
  <c r="AJ81" i="3"/>
  <c r="AJ65" i="3"/>
  <c r="AJ49" i="3"/>
  <c r="AK74" i="4"/>
  <c r="AK20" i="4"/>
  <c r="AK31" i="4"/>
  <c r="AK41" i="4"/>
  <c r="AK52" i="4"/>
  <c r="AK63" i="4"/>
  <c r="AK73" i="4"/>
  <c r="AK84" i="4"/>
  <c r="AK101" i="4"/>
  <c r="AK58" i="4"/>
  <c r="AK18" i="4"/>
  <c r="AK22" i="4"/>
  <c r="AK82" i="4"/>
  <c r="AK107" i="4"/>
  <c r="AK95" i="4"/>
  <c r="AK83" i="4"/>
  <c r="AK72" i="4"/>
  <c r="AK61" i="4"/>
  <c r="AK51" i="4"/>
  <c r="AK40" i="4"/>
  <c r="AK29" i="4"/>
  <c r="AK19" i="4"/>
  <c r="AK103" i="4"/>
  <c r="AK104" i="4"/>
  <c r="AK87" i="4"/>
  <c r="AK66" i="4"/>
  <c r="D145" i="2"/>
  <c r="B24" i="4"/>
  <c r="B12" i="4"/>
  <c r="AJ527" i="3"/>
  <c r="AJ407" i="3"/>
  <c r="AJ269" i="3"/>
  <c r="M159" i="8"/>
  <c r="M158" i="8" s="1"/>
  <c r="M157" i="8" s="1"/>
  <c r="M156" i="8" s="1"/>
  <c r="M155" i="8" s="1"/>
  <c r="M154" i="8" s="1"/>
  <c r="M153" i="8" s="1"/>
  <c r="M152" i="8" s="1"/>
  <c r="M151" i="8" s="1"/>
  <c r="M150" i="8" s="1"/>
  <c r="M149" i="8" s="1"/>
  <c r="M148" i="8" s="1"/>
  <c r="M147" i="8" s="1"/>
  <c r="M146" i="8" s="1"/>
  <c r="M145" i="8" s="1"/>
  <c r="M144" i="8" s="1"/>
  <c r="M143" i="8" s="1"/>
  <c r="M142" i="8" s="1"/>
  <c r="M141" i="8" s="1"/>
  <c r="M140" i="8" s="1"/>
  <c r="M139" i="8" s="1"/>
  <c r="M138" i="8" s="1"/>
  <c r="M137" i="8" s="1"/>
  <c r="M136" i="8" s="1"/>
  <c r="M135" i="8" s="1"/>
  <c r="M134" i="8" s="1"/>
  <c r="M133" i="8" s="1"/>
  <c r="M132" i="8" s="1"/>
  <c r="M131" i="8" s="1"/>
  <c r="M130" i="8" s="1"/>
  <c r="M129" i="8" s="1"/>
  <c r="M128" i="8" s="1"/>
  <c r="M127" i="8" s="1"/>
  <c r="M126" i="8" s="1"/>
  <c r="M125" i="8" s="1"/>
  <c r="M124" i="8" s="1"/>
  <c r="M123" i="8" s="1"/>
  <c r="M122" i="8" s="1"/>
  <c r="M121" i="8" s="1"/>
  <c r="M120" i="8" s="1"/>
  <c r="M119" i="8" s="1"/>
  <c r="M118" i="8" s="1"/>
  <c r="M117" i="8" s="1"/>
  <c r="M116" i="8" s="1"/>
  <c r="M115" i="8" s="1"/>
  <c r="M114" i="8" s="1"/>
  <c r="M113" i="8" s="1"/>
  <c r="M112" i="8" s="1"/>
  <c r="M111" i="8" s="1"/>
  <c r="M110" i="8" s="1"/>
  <c r="M109" i="8" s="1"/>
  <c r="M108" i="8" s="1"/>
  <c r="M107" i="8" s="1"/>
  <c r="M106" i="8" s="1"/>
  <c r="M105" i="8" s="1"/>
  <c r="M104" i="8" s="1"/>
  <c r="M103" i="8" s="1"/>
  <c r="M102" i="8" s="1"/>
  <c r="M101" i="8" s="1"/>
  <c r="M100" i="8" s="1"/>
  <c r="M99" i="8" s="1"/>
  <c r="M98" i="8" s="1"/>
  <c r="M97" i="8" s="1"/>
  <c r="M96" i="8" s="1"/>
  <c r="M95" i="8" s="1"/>
  <c r="M94" i="8" s="1"/>
  <c r="M93" i="8" s="1"/>
  <c r="M92" i="8" s="1"/>
  <c r="M91" i="8" s="1"/>
  <c r="M90" i="8" s="1"/>
  <c r="M89" i="8" s="1"/>
  <c r="M88" i="8" s="1"/>
  <c r="M87" i="8" s="1"/>
  <c r="M86" i="8" s="1"/>
  <c r="M85" i="8" s="1"/>
  <c r="M84" i="8" s="1"/>
  <c r="M83" i="8" s="1"/>
  <c r="M82" i="8" s="1"/>
  <c r="M81" i="8" s="1"/>
  <c r="M80" i="8" s="1"/>
  <c r="M79" i="8" s="1"/>
  <c r="M78" i="8" s="1"/>
  <c r="M77" i="8" s="1"/>
  <c r="M76" i="8" s="1"/>
  <c r="M75" i="8" s="1"/>
  <c r="M74" i="8" s="1"/>
  <c r="M73" i="8" s="1"/>
  <c r="M72" i="8" s="1"/>
  <c r="M71" i="8" s="1"/>
  <c r="M70" i="8" s="1"/>
  <c r="M69" i="8" s="1"/>
  <c r="M68" i="8" s="1"/>
  <c r="M67" i="8" s="1"/>
  <c r="M66" i="8" s="1"/>
  <c r="M65" i="8" s="1"/>
  <c r="M64" i="8" s="1"/>
  <c r="M63" i="8" s="1"/>
  <c r="M62" i="8" s="1"/>
  <c r="M61" i="8" s="1"/>
  <c r="M60" i="8" s="1"/>
  <c r="M59" i="8" s="1"/>
  <c r="M58" i="8" s="1"/>
  <c r="M57" i="8" s="1"/>
  <c r="M56" i="8" s="1"/>
  <c r="M55" i="8" s="1"/>
  <c r="M54" i="8" s="1"/>
  <c r="M53" i="8" s="1"/>
  <c r="M52" i="8" s="1"/>
  <c r="M51" i="8" s="1"/>
  <c r="M50" i="8" s="1"/>
  <c r="M49" i="8" s="1"/>
  <c r="M48" i="8" s="1"/>
  <c r="M47" i="8" s="1"/>
  <c r="M46" i="8" s="1"/>
  <c r="M45" i="8" s="1"/>
  <c r="M44" i="8" s="1"/>
  <c r="M43" i="8" s="1"/>
  <c r="M42" i="8" s="1"/>
  <c r="M41" i="8" s="1"/>
  <c r="M40" i="8" s="1"/>
  <c r="M39" i="8" s="1"/>
  <c r="M38" i="8" s="1"/>
  <c r="M37" i="8" s="1"/>
  <c r="M36" i="8" s="1"/>
  <c r="M35" i="8" s="1"/>
  <c r="M34" i="8" s="1"/>
  <c r="M33" i="8" s="1"/>
  <c r="M32" i="8" s="1"/>
  <c r="M31" i="8" s="1"/>
  <c r="M30" i="8" s="1"/>
  <c r="M29" i="8" s="1"/>
  <c r="M28" i="8" s="1"/>
  <c r="M27" i="8" s="1"/>
  <c r="M26" i="8" s="1"/>
  <c r="M25" i="8" s="1"/>
  <c r="M24" i="8" s="1"/>
  <c r="M23" i="8" s="1"/>
  <c r="M22" i="8" s="1"/>
  <c r="M21" i="8" s="1"/>
  <c r="M20" i="8" s="1"/>
  <c r="M19" i="8" s="1"/>
  <c r="M18" i="8" s="1"/>
  <c r="M17" i="8" s="1"/>
  <c r="M16" i="8" s="1"/>
  <c r="M15" i="8" s="1"/>
  <c r="M14" i="8" s="1"/>
  <c r="M13" i="8" s="1"/>
  <c r="M12" i="8" s="1"/>
  <c r="M11" i="8" s="1"/>
  <c r="M10" i="8" s="1"/>
  <c r="M9" i="8" s="1"/>
  <c r="M8" i="8" s="1"/>
  <c r="M7" i="8" s="1"/>
  <c r="M6" i="8" s="1"/>
  <c r="M4" i="8" s="1"/>
  <c r="J159" i="8"/>
  <c r="J158" i="8" s="1"/>
  <c r="J157" i="8" s="1"/>
  <c r="J156" i="8" s="1"/>
  <c r="J155" i="8" s="1"/>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L159" i="8"/>
  <c r="L158" i="8" s="1"/>
  <c r="L157" i="8" s="1"/>
  <c r="L156" i="8" s="1"/>
  <c r="L155" i="8" s="1"/>
  <c r="L154" i="8" s="1"/>
  <c r="L153" i="8" s="1"/>
  <c r="L152" i="8" s="1"/>
  <c r="L151" i="8" s="1"/>
  <c r="L150" i="8" s="1"/>
  <c r="L149" i="8" s="1"/>
  <c r="L148" i="8" s="1"/>
  <c r="L147" i="8" s="1"/>
  <c r="L146" i="8" s="1"/>
  <c r="L145" i="8" s="1"/>
  <c r="L144" i="8" s="1"/>
  <c r="L143" i="8" s="1"/>
  <c r="L142" i="8" s="1"/>
  <c r="L141" i="8" s="1"/>
  <c r="L140" i="8" s="1"/>
  <c r="L139" i="8" s="1"/>
  <c r="L138" i="8" s="1"/>
  <c r="L137" i="8" s="1"/>
  <c r="L136" i="8" s="1"/>
  <c r="L135" i="8" s="1"/>
  <c r="L134" i="8" s="1"/>
  <c r="L133" i="8" s="1"/>
  <c r="L132" i="8" s="1"/>
  <c r="L131" i="8" s="1"/>
  <c r="L130" i="8" s="1"/>
  <c r="L129" i="8" s="1"/>
  <c r="L128" i="8" s="1"/>
  <c r="L127" i="8" s="1"/>
  <c r="L126" i="8" s="1"/>
  <c r="L125" i="8" s="1"/>
  <c r="L124" i="8" s="1"/>
  <c r="L123" i="8" s="1"/>
  <c r="L122" i="8" s="1"/>
  <c r="L121" i="8" s="1"/>
  <c r="L120" i="8" s="1"/>
  <c r="L119" i="8" s="1"/>
  <c r="L118" i="8" s="1"/>
  <c r="L117" i="8" s="1"/>
  <c r="L116" i="8" s="1"/>
  <c r="L115" i="8" s="1"/>
  <c r="L114" i="8" s="1"/>
  <c r="L113" i="8" s="1"/>
  <c r="L112" i="8" s="1"/>
  <c r="L111" i="8" s="1"/>
  <c r="L110" i="8" s="1"/>
  <c r="L109" i="8" s="1"/>
  <c r="L108" i="8" s="1"/>
  <c r="L107" i="8" s="1"/>
  <c r="L106" i="8" s="1"/>
  <c r="L105" i="8" s="1"/>
  <c r="L104" i="8" s="1"/>
  <c r="L103" i="8" s="1"/>
  <c r="L102" i="8" s="1"/>
  <c r="L101" i="8" s="1"/>
  <c r="L100" i="8" s="1"/>
  <c r="L99" i="8" s="1"/>
  <c r="L98" i="8" s="1"/>
  <c r="L97" i="8" s="1"/>
  <c r="L96" i="8" s="1"/>
  <c r="L95" i="8" s="1"/>
  <c r="L94" i="8" s="1"/>
  <c r="L93" i="8" s="1"/>
  <c r="L92" i="8" s="1"/>
  <c r="L91" i="8" s="1"/>
  <c r="L90" i="8" s="1"/>
  <c r="L89" i="8" s="1"/>
  <c r="L88" i="8" s="1"/>
  <c r="L87" i="8" s="1"/>
  <c r="L86" i="8" s="1"/>
  <c r="L85" i="8" s="1"/>
  <c r="L84" i="8" s="1"/>
  <c r="L83" i="8" s="1"/>
  <c r="L82" i="8" s="1"/>
  <c r="L81" i="8" s="1"/>
  <c r="L80" i="8" s="1"/>
  <c r="L79" i="8" s="1"/>
  <c r="L78" i="8" s="1"/>
  <c r="L77" i="8" s="1"/>
  <c r="L76" i="8" s="1"/>
  <c r="L75" i="8" s="1"/>
  <c r="L74" i="8" s="1"/>
  <c r="L73" i="8" s="1"/>
  <c r="L72" i="8" s="1"/>
  <c r="L71" i="8" s="1"/>
  <c r="L70" i="8" s="1"/>
  <c r="L69" i="8" s="1"/>
  <c r="L68" i="8" s="1"/>
  <c r="L67" i="8" s="1"/>
  <c r="L66" i="8" s="1"/>
  <c r="L65" i="8" s="1"/>
  <c r="L64" i="8" s="1"/>
  <c r="L63" i="8" s="1"/>
  <c r="L62" i="8" s="1"/>
  <c r="L61" i="8" s="1"/>
  <c r="L60" i="8" s="1"/>
  <c r="L59" i="8" s="1"/>
  <c r="L58" i="8" s="1"/>
  <c r="L57" i="8" s="1"/>
  <c r="L56" i="8" s="1"/>
  <c r="L55" i="8" s="1"/>
  <c r="L54" i="8" s="1"/>
  <c r="L53" i="8" s="1"/>
  <c r="L52" i="8" s="1"/>
  <c r="L51" i="8" s="1"/>
  <c r="L50" i="8" s="1"/>
  <c r="L49" i="8" s="1"/>
  <c r="L48" i="8" s="1"/>
  <c r="L47" i="8" s="1"/>
  <c r="L46" i="8" s="1"/>
  <c r="L45" i="8" s="1"/>
  <c r="L44" i="8" s="1"/>
  <c r="L43" i="8" s="1"/>
  <c r="L42" i="8" s="1"/>
  <c r="L41" i="8" s="1"/>
  <c r="L40" i="8" s="1"/>
  <c r="L39" i="8" s="1"/>
  <c r="L38" i="8" s="1"/>
  <c r="L37" i="8" s="1"/>
  <c r="L36" i="8" s="1"/>
  <c r="L35" i="8" s="1"/>
  <c r="L34" i="8" s="1"/>
  <c r="L33" i="8" s="1"/>
  <c r="L32" i="8" s="1"/>
  <c r="L31" i="8" s="1"/>
  <c r="L30" i="8" s="1"/>
  <c r="L29" i="8" s="1"/>
  <c r="L28" i="8" s="1"/>
  <c r="L27" i="8" s="1"/>
  <c r="L26" i="8" s="1"/>
  <c r="L25" i="8" s="1"/>
  <c r="L24" i="8" s="1"/>
  <c r="L23" i="8" s="1"/>
  <c r="L22" i="8" s="1"/>
  <c r="L21" i="8" s="1"/>
  <c r="L20" i="8" s="1"/>
  <c r="L19" i="8" s="1"/>
  <c r="L18" i="8" s="1"/>
  <c r="L17" i="8" s="1"/>
  <c r="L16" i="8" s="1"/>
  <c r="L15" i="8" s="1"/>
  <c r="L14" i="8" s="1"/>
  <c r="L13" i="8" s="1"/>
  <c r="L12" i="8" s="1"/>
  <c r="L11" i="8" s="1"/>
  <c r="L10" i="8" s="1"/>
  <c r="L9" i="8" s="1"/>
  <c r="L8" i="8" s="1"/>
  <c r="L7" i="8" s="1"/>
  <c r="L6" i="8" s="1"/>
  <c r="L4" i="8" s="1"/>
  <c r="I159" i="8"/>
  <c r="I158" i="8" s="1"/>
  <c r="I157" i="8" s="1"/>
  <c r="I156" i="8" s="1"/>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I4" i="8" s="1"/>
  <c r="K159" i="8"/>
  <c r="K158" i="8" s="1"/>
  <c r="K157" i="8" s="1"/>
  <c r="K156" i="8" s="1"/>
  <c r="K155" i="8" s="1"/>
  <c r="K154" i="8" s="1"/>
  <c r="K153" i="8" s="1"/>
  <c r="K152" i="8" s="1"/>
  <c r="K151" i="8" s="1"/>
  <c r="K150" i="8" s="1"/>
  <c r="K149" i="8" s="1"/>
  <c r="K148" i="8" s="1"/>
  <c r="K147" i="8" s="1"/>
  <c r="K146" i="8" s="1"/>
  <c r="K145" i="8" s="1"/>
  <c r="K144" i="8" s="1"/>
  <c r="K143" i="8" s="1"/>
  <c r="K142" i="8" s="1"/>
  <c r="K141" i="8" s="1"/>
  <c r="K140" i="8" s="1"/>
  <c r="K139" i="8" s="1"/>
  <c r="K138" i="8" s="1"/>
  <c r="K137" i="8" s="1"/>
  <c r="K136" i="8" s="1"/>
  <c r="K135" i="8" s="1"/>
  <c r="K134" i="8" s="1"/>
  <c r="K133" i="8" s="1"/>
  <c r="K132" i="8" s="1"/>
  <c r="K131" i="8" s="1"/>
  <c r="K130" i="8" s="1"/>
  <c r="K129" i="8" s="1"/>
  <c r="K128" i="8" s="1"/>
  <c r="K127" i="8" s="1"/>
  <c r="K126" i="8" s="1"/>
  <c r="K125" i="8" s="1"/>
  <c r="K124" i="8" s="1"/>
  <c r="K123" i="8" s="1"/>
  <c r="K122" i="8" s="1"/>
  <c r="K121" i="8" s="1"/>
  <c r="K120" i="8" s="1"/>
  <c r="K119" i="8" s="1"/>
  <c r="K118" i="8" s="1"/>
  <c r="K117" i="8" s="1"/>
  <c r="K116" i="8" s="1"/>
  <c r="K115" i="8" s="1"/>
  <c r="K114" i="8" s="1"/>
  <c r="K113" i="8" s="1"/>
  <c r="K112" i="8" s="1"/>
  <c r="K111" i="8" s="1"/>
  <c r="K110" i="8" s="1"/>
  <c r="K109" i="8" s="1"/>
  <c r="K108" i="8" s="1"/>
  <c r="K107" i="8" s="1"/>
  <c r="K106" i="8" s="1"/>
  <c r="K105" i="8" s="1"/>
  <c r="K104" i="8" s="1"/>
  <c r="K103" i="8" s="1"/>
  <c r="K102" i="8" s="1"/>
  <c r="K101" i="8" s="1"/>
  <c r="K100" i="8" s="1"/>
  <c r="K99" i="8" s="1"/>
  <c r="K98" i="8" s="1"/>
  <c r="K97" i="8" s="1"/>
  <c r="K96" i="8" s="1"/>
  <c r="K95" i="8" s="1"/>
  <c r="K94" i="8" s="1"/>
  <c r="K93" i="8" s="1"/>
  <c r="K92" i="8" s="1"/>
  <c r="K91" i="8" s="1"/>
  <c r="K90" i="8" s="1"/>
  <c r="K89" i="8" s="1"/>
  <c r="K88" i="8" s="1"/>
  <c r="K87" i="8" s="1"/>
  <c r="K86" i="8" s="1"/>
  <c r="K85" i="8" s="1"/>
  <c r="K84" i="8" s="1"/>
  <c r="K83" i="8" s="1"/>
  <c r="K82" i="8" s="1"/>
  <c r="K81" i="8" s="1"/>
  <c r="K80" i="8" s="1"/>
  <c r="K79" i="8" s="1"/>
  <c r="K78" i="8" s="1"/>
  <c r="K77" i="8" s="1"/>
  <c r="K76" i="8" s="1"/>
  <c r="K75" i="8" s="1"/>
  <c r="K74" i="8" s="1"/>
  <c r="K73" i="8" s="1"/>
  <c r="K72" i="8" s="1"/>
  <c r="K71" i="8" s="1"/>
  <c r="K70" i="8" s="1"/>
  <c r="K69" i="8" s="1"/>
  <c r="K68" i="8" s="1"/>
  <c r="K67" i="8" s="1"/>
  <c r="K66" i="8" s="1"/>
  <c r="K65" i="8" s="1"/>
  <c r="K64" i="8" s="1"/>
  <c r="K63" i="8" s="1"/>
  <c r="K62" i="8" s="1"/>
  <c r="K61" i="8" s="1"/>
  <c r="K60" i="8" s="1"/>
  <c r="K59" i="8" s="1"/>
  <c r="K58" i="8" s="1"/>
  <c r="K57" i="8" s="1"/>
  <c r="K56" i="8" s="1"/>
  <c r="K55" i="8" s="1"/>
  <c r="K54" i="8" s="1"/>
  <c r="K53" i="8" s="1"/>
  <c r="K52" i="8" s="1"/>
  <c r="K51" i="8" s="1"/>
  <c r="K50" i="8" s="1"/>
  <c r="K49" i="8" s="1"/>
  <c r="K48" i="8" s="1"/>
  <c r="K47" i="8" s="1"/>
  <c r="K46" i="8" s="1"/>
  <c r="K45" i="8" s="1"/>
  <c r="K44" i="8" s="1"/>
  <c r="K43" i="8" s="1"/>
  <c r="K42" i="8" s="1"/>
  <c r="K41" i="8" s="1"/>
  <c r="K40" i="8" s="1"/>
  <c r="K39" i="8" s="1"/>
  <c r="K38" i="8" s="1"/>
  <c r="K37" i="8" s="1"/>
  <c r="K36" i="8" s="1"/>
  <c r="K35" i="8" s="1"/>
  <c r="K34" i="8" s="1"/>
  <c r="K33" i="8" s="1"/>
  <c r="K32" i="8" s="1"/>
  <c r="K31" i="8" s="1"/>
  <c r="K30" i="8" s="1"/>
  <c r="K29" i="8" s="1"/>
  <c r="K28" i="8" s="1"/>
  <c r="K27" i="8" s="1"/>
  <c r="K26" i="8" s="1"/>
  <c r="K25" i="8" s="1"/>
  <c r="K24" i="8" s="1"/>
  <c r="K23" i="8" s="1"/>
  <c r="K22" i="8" s="1"/>
  <c r="K21" i="8" s="1"/>
  <c r="K20" i="8" s="1"/>
  <c r="K19" i="8" s="1"/>
  <c r="K18" i="8" s="1"/>
  <c r="K17" i="8" s="1"/>
  <c r="K16" i="8" s="1"/>
  <c r="K15" i="8" s="1"/>
  <c r="K14" i="8" s="1"/>
  <c r="K13" i="8" s="1"/>
  <c r="K12" i="8" s="1"/>
  <c r="K11" i="8" s="1"/>
  <c r="K10" i="8" s="1"/>
  <c r="K9" i="8" s="1"/>
  <c r="K8" i="8" s="1"/>
  <c r="K7" i="8" s="1"/>
  <c r="K6" i="8" s="1"/>
  <c r="K4" i="8" s="1"/>
  <c r="AJ157" i="3"/>
  <c r="AJ119" i="3"/>
  <c r="AJ189" i="3"/>
  <c r="AJ221" i="3"/>
  <c r="AJ285" i="3"/>
  <c r="AJ343" i="3"/>
  <c r="AJ367" i="3"/>
  <c r="AJ399" i="3"/>
  <c r="AJ431" i="3"/>
  <c r="AJ455" i="3"/>
  <c r="AJ487" i="3"/>
  <c r="AJ519" i="3"/>
  <c r="AJ535" i="3"/>
  <c r="AJ567" i="3"/>
  <c r="AJ599" i="3"/>
  <c r="AJ623" i="3"/>
  <c r="AJ12" i="3"/>
  <c r="AJ51" i="3"/>
  <c r="AJ99" i="3"/>
  <c r="AJ139" i="3"/>
  <c r="AJ155" i="3"/>
  <c r="AJ179" i="3"/>
  <c r="AJ203" i="3"/>
  <c r="AJ219" i="3"/>
  <c r="AJ243" i="3"/>
  <c r="AJ267" i="3"/>
  <c r="AJ283" i="3"/>
  <c r="AJ307" i="3"/>
  <c r="AJ331" i="3"/>
  <c r="AJ342" i="3"/>
  <c r="AJ354" i="3"/>
  <c r="AJ366" i="3"/>
  <c r="AJ374" i="3"/>
  <c r="AJ386" i="3"/>
  <c r="AJ398" i="3"/>
  <c r="AJ406" i="3"/>
  <c r="AJ418" i="3"/>
  <c r="AJ430" i="3"/>
  <c r="AJ438" i="3"/>
  <c r="AJ450" i="3"/>
  <c r="AJ462" i="3"/>
  <c r="AJ470" i="3"/>
  <c r="AJ482" i="3"/>
  <c r="AJ494" i="3"/>
  <c r="AJ502" i="3"/>
  <c r="AJ514" i="3"/>
  <c r="AJ526" i="3"/>
  <c r="AJ534" i="3"/>
  <c r="AJ546" i="3"/>
  <c r="AJ558" i="3"/>
  <c r="AJ566" i="3"/>
  <c r="AJ578" i="3"/>
  <c r="AJ590" i="3"/>
  <c r="AJ598" i="3"/>
  <c r="AJ610" i="3"/>
  <c r="AJ622" i="3"/>
  <c r="AJ629" i="3"/>
  <c r="AJ635" i="3"/>
  <c r="AJ641" i="3"/>
  <c r="AJ645" i="3"/>
  <c r="AJ651" i="3"/>
  <c r="AJ657" i="3"/>
  <c r="AJ661" i="3"/>
  <c r="AJ667" i="3"/>
  <c r="AJ673" i="3"/>
  <c r="AJ684" i="3"/>
  <c r="AJ625" i="3"/>
  <c r="AJ601" i="3"/>
  <c r="AJ585" i="3"/>
  <c r="AJ561" i="3"/>
  <c r="AJ537" i="3"/>
  <c r="AJ521" i="3"/>
  <c r="AJ497" i="3"/>
  <c r="AJ473" i="3"/>
  <c r="AJ457" i="3"/>
  <c r="AJ433" i="3"/>
  <c r="AJ409" i="3"/>
  <c r="AJ393" i="3"/>
  <c r="AJ369" i="3"/>
  <c r="AJ345" i="3"/>
  <c r="AJ321" i="3"/>
  <c r="AJ273" i="3"/>
  <c r="AJ225" i="3"/>
  <c r="AJ193" i="3"/>
  <c r="AJ145" i="3"/>
  <c r="AJ63" i="3"/>
  <c r="AJ109" i="3"/>
  <c r="AJ93" i="3"/>
  <c r="AJ69" i="3"/>
  <c r="AJ45" i="3"/>
  <c r="AJ22" i="3"/>
  <c r="AJ10" i="3"/>
  <c r="AJ15" i="3"/>
  <c r="AJ20" i="3"/>
  <c r="AJ23" i="3"/>
  <c r="AJ27" i="3"/>
  <c r="AJ31" i="3"/>
  <c r="AJ33" i="3"/>
  <c r="AJ37" i="3"/>
  <c r="AJ42" i="3"/>
  <c r="AJ46" i="3"/>
  <c r="AJ52" i="3"/>
  <c r="AJ58" i="3"/>
  <c r="AJ62" i="3"/>
  <c r="AJ68" i="3"/>
  <c r="AJ74" i="3"/>
  <c r="AJ78" i="3"/>
  <c r="AJ84" i="3"/>
  <c r="AJ90" i="3"/>
  <c r="AJ94" i="3"/>
  <c r="AJ100" i="3"/>
  <c r="AJ106" i="3"/>
  <c r="AJ110" i="3"/>
  <c r="AJ116" i="3"/>
  <c r="AJ122" i="3"/>
  <c r="AJ126" i="3"/>
  <c r="AJ132" i="3"/>
  <c r="AJ138" i="3"/>
  <c r="AJ142" i="3"/>
  <c r="AJ148" i="3"/>
  <c r="AJ154" i="3"/>
  <c r="AJ158" i="3"/>
  <c r="AJ164" i="3"/>
  <c r="AJ170" i="3"/>
  <c r="AJ174" i="3"/>
  <c r="AJ180" i="3"/>
  <c r="AJ186" i="3"/>
  <c r="AJ190" i="3"/>
  <c r="AJ196" i="3"/>
  <c r="AJ202" i="3"/>
  <c r="AJ206" i="3"/>
  <c r="AJ212" i="3"/>
  <c r="AJ218" i="3"/>
  <c r="AJ222" i="3"/>
  <c r="AJ228" i="3"/>
  <c r="AJ234" i="3"/>
  <c r="AJ238" i="3"/>
  <c r="AJ244" i="3"/>
  <c r="AJ250" i="3"/>
  <c r="AJ254" i="3"/>
  <c r="AJ260" i="3"/>
  <c r="AJ266" i="3"/>
  <c r="AJ270" i="3"/>
  <c r="AJ276" i="3"/>
  <c r="AJ282" i="3"/>
  <c r="AJ286" i="3"/>
  <c r="AJ292" i="3"/>
  <c r="AJ298" i="3"/>
  <c r="AJ302" i="3"/>
  <c r="AJ308" i="3"/>
  <c r="AJ314" i="3"/>
  <c r="AJ318" i="3"/>
  <c r="AJ324" i="3"/>
  <c r="AJ330" i="3"/>
  <c r="AJ334" i="3"/>
  <c r="AK93" i="4"/>
  <c r="B280" i="2"/>
  <c r="AK9" i="4"/>
  <c r="AK17" i="4"/>
  <c r="AK23" i="4"/>
  <c r="AK28" i="4"/>
  <c r="AK33" i="4"/>
  <c r="AK39" i="4"/>
  <c r="AK44" i="4"/>
  <c r="AK49" i="4"/>
  <c r="AK55" i="4"/>
  <c r="AK60" i="4"/>
  <c r="AK65" i="4"/>
  <c r="AK71" i="4"/>
  <c r="AK76" i="4"/>
  <c r="AK80" i="4"/>
  <c r="AK94" i="4"/>
  <c r="AK99" i="4"/>
  <c r="AK62" i="4"/>
  <c r="AK46" i="4"/>
  <c r="AK26" i="4"/>
  <c r="AK12" i="4"/>
  <c r="AK13" i="4"/>
  <c r="AK30" i="4"/>
  <c r="B11" i="4"/>
  <c r="AK102" i="4"/>
  <c r="AK97" i="4"/>
  <c r="AK85" i="4"/>
  <c r="AK81" i="4"/>
  <c r="AK75" i="4"/>
  <c r="AK69" i="4"/>
  <c r="AK64" i="4"/>
  <c r="AK59" i="4"/>
  <c r="AK53" i="4"/>
  <c r="AK48" i="4"/>
  <c r="AK43" i="4"/>
  <c r="AK37" i="4"/>
  <c r="AK32" i="4"/>
  <c r="AK27" i="4"/>
  <c r="AK21" i="4"/>
  <c r="AK16" i="4"/>
  <c r="AK109" i="4"/>
  <c r="AK92" i="4"/>
  <c r="AK54" i="4"/>
  <c r="AK105" i="4"/>
  <c r="AK88" i="4"/>
  <c r="AK86" i="4"/>
  <c r="AK70" i="4"/>
  <c r="AK50" i="4"/>
  <c r="AK11" i="4"/>
  <c r="B78" i="4"/>
  <c r="B4" i="6"/>
  <c r="B12" i="6" s="1"/>
  <c r="B13" i="6" s="1"/>
  <c r="B13" i="4"/>
  <c r="AJ9" i="3"/>
  <c r="AM10" i="4"/>
  <c r="B44" i="2"/>
  <c r="B42" i="4"/>
  <c r="B43" i="2"/>
  <c r="AK91" i="4"/>
  <c r="B148" i="2"/>
  <c r="E69" i="1" s="1"/>
  <c r="B89" i="2"/>
  <c r="F3" i="8"/>
  <c r="F159" i="8" s="1"/>
  <c r="F158" i="8" s="1"/>
  <c r="F157" i="8" s="1"/>
  <c r="F156" i="8" s="1"/>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AQ37" i="3"/>
  <c r="A38" i="3"/>
  <c r="B37" i="3"/>
  <c r="AR29" i="3"/>
  <c r="B29" i="3"/>
  <c r="AQ31" i="3"/>
  <c r="AR31" i="3"/>
  <c r="AR36" i="3"/>
  <c r="B36" i="3"/>
  <c r="B27" i="3"/>
  <c r="AQ32" i="3" l="1"/>
  <c r="AR32" i="3"/>
  <c r="B32" i="3"/>
  <c r="E68" i="1"/>
  <c r="B28" i="3"/>
  <c r="AR28" i="3"/>
  <c r="AQ28" i="3"/>
  <c r="AR33" i="3"/>
  <c r="B33" i="3"/>
  <c r="AQ33" i="3"/>
  <c r="B35" i="3"/>
  <c r="AQ35" i="3"/>
  <c r="AR35" i="3"/>
  <c r="AN20" i="4"/>
  <c r="AJ157" i="4"/>
  <c r="AJ204" i="4"/>
  <c r="I132" i="4"/>
  <c r="J132" i="4" s="1"/>
  <c r="K132" i="4" s="1"/>
  <c r="AP138" i="4"/>
  <c r="AJ186" i="4"/>
  <c r="AP157" i="4"/>
  <c r="AJ208" i="4"/>
  <c r="I202" i="4"/>
  <c r="J202" i="4" s="1"/>
  <c r="AJ115" i="4"/>
  <c r="AP173" i="4"/>
  <c r="AP127" i="4"/>
  <c r="AJ122" i="4"/>
  <c r="AJ170" i="4"/>
  <c r="AP125" i="4"/>
  <c r="AJ192" i="4"/>
  <c r="AJ118" i="4"/>
  <c r="I166" i="4"/>
  <c r="J166" i="4" s="1"/>
  <c r="K166" i="4" s="1"/>
  <c r="AJ120" i="4"/>
  <c r="AP150" i="4"/>
  <c r="AP124" i="4"/>
  <c r="AJ188" i="4"/>
  <c r="I184" i="4"/>
  <c r="J184" i="4" s="1"/>
  <c r="K184" i="4" s="1"/>
  <c r="I180" i="4"/>
  <c r="J180" i="4" s="1"/>
  <c r="AJ166" i="4"/>
  <c r="AJ153" i="4"/>
  <c r="I201" i="4"/>
  <c r="J201" i="4" s="1"/>
  <c r="K201" i="4" s="1"/>
  <c r="AJ171" i="4"/>
  <c r="I198" i="4"/>
  <c r="J198" i="4" s="1"/>
  <c r="K198" i="4" s="1"/>
  <c r="I207" i="4"/>
  <c r="J207" i="4" s="1"/>
  <c r="AJ184" i="4"/>
  <c r="I153" i="4"/>
  <c r="J153" i="4" s="1"/>
  <c r="K153" i="4" s="1"/>
  <c r="AP166" i="4"/>
  <c r="AP134" i="4"/>
  <c r="AP192" i="4"/>
  <c r="AP116" i="4"/>
  <c r="AJ151" i="4"/>
  <c r="AJ134" i="4"/>
  <c r="I116" i="4"/>
  <c r="J116" i="4" s="1"/>
  <c r="AJ179" i="4"/>
  <c r="AJ137" i="4"/>
  <c r="AP179" i="4"/>
  <c r="AP180" i="4"/>
  <c r="AP151" i="4"/>
  <c r="I151" i="4"/>
  <c r="J151" i="4" s="1"/>
  <c r="AJ198" i="4"/>
  <c r="AJ169" i="4"/>
  <c r="AJ207" i="4"/>
  <c r="I121" i="4"/>
  <c r="J121" i="4" s="1"/>
  <c r="K121" i="4" s="1"/>
  <c r="I169" i="4"/>
  <c r="J169" i="4" s="1"/>
  <c r="I192" i="4"/>
  <c r="J192" i="4" s="1"/>
  <c r="K192" i="4" s="1"/>
  <c r="AJ116" i="4"/>
  <c r="AP121" i="4"/>
  <c r="AP129" i="4"/>
  <c r="AP132" i="4"/>
  <c r="AJ177" i="4"/>
  <c r="AJ167" i="4"/>
  <c r="AN137" i="4"/>
  <c r="AN185" i="4"/>
  <c r="AN191" i="4"/>
  <c r="I127" i="4"/>
  <c r="J127" i="4" s="1"/>
  <c r="K127" i="4" s="1"/>
  <c r="I186" i="4"/>
  <c r="J186" i="4" s="1"/>
  <c r="K186" i="4" s="1"/>
  <c r="AJ125" i="4"/>
  <c r="AJ196" i="4"/>
  <c r="AJ200" i="4"/>
  <c r="I138" i="4"/>
  <c r="J138" i="4" s="1"/>
  <c r="K138" i="4" s="1"/>
  <c r="I208" i="4"/>
  <c r="J208" i="4" s="1"/>
  <c r="K208" i="4" s="1"/>
  <c r="I200" i="4"/>
  <c r="J200" i="4" s="1"/>
  <c r="K200" i="4" s="1"/>
  <c r="I154" i="4"/>
  <c r="J154" i="4" s="1"/>
  <c r="K154" i="4" s="1"/>
  <c r="I141" i="4"/>
  <c r="J141" i="4" s="1"/>
  <c r="K141" i="4" s="1"/>
  <c r="AJ144" i="4"/>
  <c r="AP186" i="4"/>
  <c r="AP205" i="4"/>
  <c r="AP183" i="4"/>
  <c r="AP208" i="4"/>
  <c r="I173" i="4"/>
  <c r="J173" i="4" s="1"/>
  <c r="I170" i="4"/>
  <c r="J170" i="4" s="1"/>
  <c r="K170" i="4" s="1"/>
  <c r="I183" i="4"/>
  <c r="J183" i="4" s="1"/>
  <c r="K183" i="4" s="1"/>
  <c r="I157" i="4"/>
  <c r="J157" i="4" s="1"/>
  <c r="I125" i="4"/>
  <c r="J125" i="4" s="1"/>
  <c r="K125" i="4" s="1"/>
  <c r="AP170" i="4"/>
  <c r="AP144" i="4"/>
  <c r="AP196" i="4"/>
  <c r="AN139" i="4"/>
  <c r="AN163" i="4"/>
  <c r="AN192" i="4"/>
  <c r="AN132" i="4"/>
  <c r="I171" i="4"/>
  <c r="J171" i="4" s="1"/>
  <c r="K171" i="4" s="1"/>
  <c r="I150" i="4"/>
  <c r="J150" i="4" s="1"/>
  <c r="K150" i="4" s="1"/>
  <c r="I118" i="4"/>
  <c r="J118" i="4" s="1"/>
  <c r="K118" i="4" s="1"/>
  <c r="AJ185" i="4"/>
  <c r="AJ150" i="4"/>
  <c r="AJ182" i="4"/>
  <c r="I110" i="4"/>
  <c r="J110" i="4" s="1"/>
  <c r="K110" i="4" s="1"/>
  <c r="AJ201" i="4"/>
  <c r="AJ124" i="4"/>
  <c r="I185" i="4"/>
  <c r="J185" i="4" s="1"/>
  <c r="AJ180" i="4"/>
  <c r="I120" i="4"/>
  <c r="J120" i="4" s="1"/>
  <c r="AP153" i="4"/>
  <c r="AP169" i="4"/>
  <c r="AP171" i="4"/>
  <c r="AP185" i="4"/>
  <c r="AP139" i="4"/>
  <c r="AP207" i="4"/>
  <c r="AP184" i="4"/>
  <c r="I134" i="4"/>
  <c r="J134" i="4" s="1"/>
  <c r="K134" i="4" s="1"/>
  <c r="AJ121" i="4"/>
  <c r="I139" i="4"/>
  <c r="J139" i="4" s="1"/>
  <c r="K139" i="4" s="1"/>
  <c r="AJ139" i="4"/>
  <c r="I188" i="4"/>
  <c r="J188" i="4" s="1"/>
  <c r="K188" i="4" s="1"/>
  <c r="I179" i="4"/>
  <c r="J179" i="4" s="1"/>
  <c r="K179" i="4" s="1"/>
  <c r="I137" i="4"/>
  <c r="J137" i="4" s="1"/>
  <c r="I182" i="4"/>
  <c r="J182" i="4" s="1"/>
  <c r="AJ128" i="4"/>
  <c r="AJ119" i="4"/>
  <c r="I128" i="4"/>
  <c r="J128" i="4" s="1"/>
  <c r="K128" i="4" s="1"/>
  <c r="I119" i="4"/>
  <c r="J119" i="4" s="1"/>
  <c r="K119" i="4" s="1"/>
  <c r="AP118" i="4"/>
  <c r="AP198" i="4"/>
  <c r="AP201" i="4"/>
  <c r="AP182" i="4"/>
  <c r="AP128" i="4"/>
  <c r="AP119" i="4"/>
  <c r="AP137" i="4"/>
  <c r="AP188" i="4"/>
  <c r="AP165" i="4"/>
  <c r="AP120" i="4"/>
  <c r="AN129" i="4"/>
  <c r="AN187" i="4"/>
  <c r="AN167" i="4"/>
  <c r="AN136" i="4"/>
  <c r="AN177" i="4"/>
  <c r="AN118" i="4"/>
  <c r="AN135" i="4"/>
  <c r="AJ159" i="4"/>
  <c r="AJ147" i="4"/>
  <c r="AJ138" i="4"/>
  <c r="I159" i="4"/>
  <c r="J159" i="4" s="1"/>
  <c r="K159" i="4" s="1"/>
  <c r="AJ202" i="4"/>
  <c r="AJ141" i="4"/>
  <c r="I178" i="4"/>
  <c r="J178" i="4" s="1"/>
  <c r="K178" i="4" s="1"/>
  <c r="I189" i="4"/>
  <c r="J189" i="4" s="1"/>
  <c r="K189" i="4" s="1"/>
  <c r="AJ183" i="4"/>
  <c r="I140" i="4"/>
  <c r="J140" i="4" s="1"/>
  <c r="I204" i="4"/>
  <c r="J204" i="4" s="1"/>
  <c r="K204" i="4" s="1"/>
  <c r="I144" i="4"/>
  <c r="J144" i="4" s="1"/>
  <c r="K144" i="4" s="1"/>
  <c r="AJ140" i="4"/>
  <c r="I115" i="4"/>
  <c r="J115" i="4" s="1"/>
  <c r="K115" i="4" s="1"/>
  <c r="AJ132" i="4"/>
  <c r="AP159" i="4"/>
  <c r="AP122" i="4"/>
  <c r="AP189" i="4"/>
  <c r="AP141" i="4"/>
  <c r="AP147" i="4"/>
  <c r="AP115" i="4"/>
  <c r="I187" i="4"/>
  <c r="J187" i="4" s="1"/>
  <c r="K187" i="4" s="1"/>
  <c r="I205" i="4"/>
  <c r="J205" i="4" s="1"/>
  <c r="K205" i="4" s="1"/>
  <c r="AJ205" i="4"/>
  <c r="I122" i="4"/>
  <c r="J122" i="4" s="1"/>
  <c r="AJ187" i="4"/>
  <c r="AJ154" i="4"/>
  <c r="I196" i="4"/>
  <c r="J196" i="4" s="1"/>
  <c r="K196" i="4" s="1"/>
  <c r="I147" i="4"/>
  <c r="J147" i="4" s="1"/>
  <c r="K147" i="4" s="1"/>
  <c r="AJ189" i="4"/>
  <c r="AJ173" i="4"/>
  <c r="I136" i="4"/>
  <c r="J136" i="4" s="1"/>
  <c r="K136" i="4" s="1"/>
  <c r="AJ127" i="4"/>
  <c r="AJ136" i="4"/>
  <c r="AP154" i="4"/>
  <c r="AP187" i="4"/>
  <c r="AP202" i="4"/>
  <c r="AN200" i="4"/>
  <c r="AN119" i="4"/>
  <c r="AJ145" i="4"/>
  <c r="AJ158" i="4"/>
  <c r="I124" i="4"/>
  <c r="J124" i="4" s="1"/>
  <c r="AP123" i="4"/>
  <c r="AJ129" i="4"/>
  <c r="I129" i="4"/>
  <c r="J129" i="4" s="1"/>
  <c r="K129" i="4" s="1"/>
  <c r="I190" i="4"/>
  <c r="J190" i="4" s="1"/>
  <c r="AJ209" i="4"/>
  <c r="AP174" i="4"/>
  <c r="AP167" i="4"/>
  <c r="AP113" i="4"/>
  <c r="AP135" i="4"/>
  <c r="I193" i="4"/>
  <c r="J193" i="4" s="1"/>
  <c r="K193" i="4" s="1"/>
  <c r="I126" i="4"/>
  <c r="J126" i="4" s="1"/>
  <c r="AJ191" i="4"/>
  <c r="AP152" i="4"/>
  <c r="AN150" i="4"/>
  <c r="AN123" i="4"/>
  <c r="AN208" i="4"/>
  <c r="AN126" i="4"/>
  <c r="AN166" i="4"/>
  <c r="AN196" i="4"/>
  <c r="AN209" i="4"/>
  <c r="AN138" i="4"/>
  <c r="AN149" i="4"/>
  <c r="AN140" i="4"/>
  <c r="AN110" i="4"/>
  <c r="AN124" i="4"/>
  <c r="AP204" i="4"/>
  <c r="AP148" i="4"/>
  <c r="AN197" i="4"/>
  <c r="AN158" i="4"/>
  <c r="AN113" i="4"/>
  <c r="AN127" i="4"/>
  <c r="AP175" i="4"/>
  <c r="AN193" i="4"/>
  <c r="AN199" i="4"/>
  <c r="I199" i="4"/>
  <c r="J199" i="4" s="1"/>
  <c r="K199" i="4" s="1"/>
  <c r="AJ113" i="4"/>
  <c r="AJ206" i="4"/>
  <c r="I165" i="4"/>
  <c r="J165" i="4" s="1"/>
  <c r="I177" i="4"/>
  <c r="J177" i="4" s="1"/>
  <c r="I113" i="4"/>
  <c r="J113" i="4" s="1"/>
  <c r="I172" i="4"/>
  <c r="J172" i="4" s="1"/>
  <c r="AJ195" i="4"/>
  <c r="AJ123" i="4"/>
  <c r="I123" i="4"/>
  <c r="J123" i="4" s="1"/>
  <c r="AP161" i="4"/>
  <c r="AP190" i="4"/>
  <c r="AP206" i="4"/>
  <c r="AP209" i="4"/>
  <c r="AP156" i="4"/>
  <c r="AP140" i="4"/>
  <c r="I164" i="4"/>
  <c r="J164" i="4" s="1"/>
  <c r="K164" i="4" s="1"/>
  <c r="AJ130" i="4"/>
  <c r="AJ174" i="4"/>
  <c r="I130" i="4"/>
  <c r="J130" i="4" s="1"/>
  <c r="I167" i="4"/>
  <c r="J167" i="4" s="1"/>
  <c r="I197" i="4"/>
  <c r="J197" i="4" s="1"/>
  <c r="K197" i="4" s="1"/>
  <c r="AJ156" i="4"/>
  <c r="I145" i="4"/>
  <c r="J145" i="4" s="1"/>
  <c r="I206" i="4"/>
  <c r="J206" i="4" s="1"/>
  <c r="K206" i="4" s="1"/>
  <c r="AJ142" i="4"/>
  <c r="I191" i="4"/>
  <c r="J191" i="4" s="1"/>
  <c r="I152" i="4"/>
  <c r="J152" i="4" s="1"/>
  <c r="AJ148" i="4"/>
  <c r="AP111" i="4"/>
  <c r="AP191" i="4"/>
  <c r="AP195" i="4"/>
  <c r="AP145" i="4"/>
  <c r="AN207" i="4"/>
  <c r="AN203" i="4"/>
  <c r="AN154" i="4"/>
  <c r="AN186" i="4"/>
  <c r="AN134" i="4"/>
  <c r="AN143" i="4"/>
  <c r="AN184" i="4"/>
  <c r="AN147" i="4"/>
  <c r="AN195" i="4"/>
  <c r="AN182" i="4"/>
  <c r="AN202" i="4"/>
  <c r="AN157" i="4"/>
  <c r="AN175" i="4"/>
  <c r="AN116" i="4"/>
  <c r="AN148" i="4"/>
  <c r="AN190" i="4"/>
  <c r="AN179" i="4"/>
  <c r="AN156" i="4"/>
  <c r="AN206" i="4"/>
  <c r="AN201" i="4"/>
  <c r="AN194" i="4"/>
  <c r="AN174" i="4"/>
  <c r="AN159" i="4"/>
  <c r="AN152" i="4"/>
  <c r="AN170" i="4"/>
  <c r="AN131" i="4"/>
  <c r="AN115" i="4"/>
  <c r="AN180" i="4"/>
  <c r="AN155" i="4"/>
  <c r="AN205" i="4"/>
  <c r="AN142" i="4"/>
  <c r="AN122" i="4"/>
  <c r="AJ114" i="4"/>
  <c r="AJ117" i="4"/>
  <c r="AJ199" i="4"/>
  <c r="I149" i="4"/>
  <c r="J149" i="4" s="1"/>
  <c r="AJ194" i="4"/>
  <c r="AP197" i="4"/>
  <c r="AP181" i="4"/>
  <c r="AJ160" i="4"/>
  <c r="I117" i="4"/>
  <c r="J117" i="4" s="1"/>
  <c r="K117" i="4" s="1"/>
  <c r="AJ163" i="4"/>
  <c r="AJ178" i="4"/>
  <c r="I163" i="4"/>
  <c r="J163" i="4" s="1"/>
  <c r="I160" i="4"/>
  <c r="J160" i="4" s="1"/>
  <c r="I143" i="4"/>
  <c r="J143" i="4" s="1"/>
  <c r="AJ190" i="4"/>
  <c r="I162" i="4"/>
  <c r="J162" i="4" s="1"/>
  <c r="X162" i="4" s="1"/>
  <c r="Y162" i="4" s="1"/>
  <c r="I209" i="4"/>
  <c r="J209" i="4" s="1"/>
  <c r="AJ162" i="4"/>
  <c r="AJ203" i="4"/>
  <c r="I203" i="4"/>
  <c r="J203" i="4" s="1"/>
  <c r="AJ176" i="4"/>
  <c r="AJ172" i="4"/>
  <c r="AJ168" i="4"/>
  <c r="AJ164" i="4"/>
  <c r="I148" i="4"/>
  <c r="J148" i="4" s="1"/>
  <c r="K148" i="4" s="1"/>
  <c r="I135" i="4"/>
  <c r="J135" i="4" s="1"/>
  <c r="I131" i="4"/>
  <c r="J131" i="4" s="1"/>
  <c r="I111" i="4"/>
  <c r="J111" i="4" s="1"/>
  <c r="L111" i="4" s="1"/>
  <c r="AP163" i="4"/>
  <c r="AP155" i="4"/>
  <c r="AP126" i="4"/>
  <c r="AP110" i="4"/>
  <c r="AP158" i="4"/>
  <c r="AP177" i="4"/>
  <c r="AP162" i="4"/>
  <c r="AP133" i="4"/>
  <c r="AP193" i="4"/>
  <c r="AP112" i="4"/>
  <c r="AP164" i="4"/>
  <c r="AP172" i="4"/>
  <c r="AP200" i="4"/>
  <c r="AP136" i="4"/>
  <c r="I114" i="4"/>
  <c r="J114" i="4" s="1"/>
  <c r="R114" i="4" s="1"/>
  <c r="S114" i="4" s="1"/>
  <c r="T114" i="4" s="1"/>
  <c r="AJ143" i="4"/>
  <c r="I175" i="4"/>
  <c r="J175" i="4" s="1"/>
  <c r="AJ149" i="4"/>
  <c r="I181" i="4"/>
  <c r="J181" i="4" s="1"/>
  <c r="I176" i="4"/>
  <c r="J176" i="4" s="1"/>
  <c r="K176" i="4" s="1"/>
  <c r="I168" i="4"/>
  <c r="J168" i="4" s="1"/>
  <c r="AJ165" i="4"/>
  <c r="AJ112" i="4"/>
  <c r="AP114" i="4"/>
  <c r="AP199" i="4"/>
  <c r="AP143" i="4"/>
  <c r="I133" i="4"/>
  <c r="J133" i="4" s="1"/>
  <c r="AJ193" i="4"/>
  <c r="AJ110" i="4"/>
  <c r="I155" i="4"/>
  <c r="J155" i="4" s="1"/>
  <c r="K155" i="4" s="1"/>
  <c r="I174" i="4"/>
  <c r="J174" i="4" s="1"/>
  <c r="K174" i="4" s="1"/>
  <c r="AJ126" i="4"/>
  <c r="I146" i="4"/>
  <c r="J146" i="4" s="1"/>
  <c r="AJ146" i="4"/>
  <c r="I156" i="4"/>
  <c r="J156" i="4" s="1"/>
  <c r="K156" i="4" s="1"/>
  <c r="AJ197" i="4"/>
  <c r="I194" i="4"/>
  <c r="J194" i="4" s="1"/>
  <c r="AJ133" i="4"/>
  <c r="AJ175" i="4"/>
  <c r="I142" i="4"/>
  <c r="J142" i="4" s="1"/>
  <c r="K142" i="4" s="1"/>
  <c r="AJ161" i="4"/>
  <c r="I158" i="4"/>
  <c r="J158" i="4" s="1"/>
  <c r="AJ181" i="4"/>
  <c r="AJ155" i="4"/>
  <c r="I161" i="4"/>
  <c r="J161" i="4" s="1"/>
  <c r="K161" i="4" s="1"/>
  <c r="I195" i="4"/>
  <c r="J195" i="4" s="1"/>
  <c r="AJ152" i="4"/>
  <c r="AJ131" i="4"/>
  <c r="AJ135" i="4"/>
  <c r="I112" i="4"/>
  <c r="J112" i="4" s="1"/>
  <c r="AJ111" i="4"/>
  <c r="AP117" i="4"/>
  <c r="AP203" i="4"/>
  <c r="AP146" i="4"/>
  <c r="AP142" i="4"/>
  <c r="AP130" i="4"/>
  <c r="AP160" i="4"/>
  <c r="AP149" i="4"/>
  <c r="AP178" i="4"/>
  <c r="AP194" i="4"/>
  <c r="AP131" i="4"/>
  <c r="AP176" i="4"/>
  <c r="AP168" i="4"/>
  <c r="C243" i="2"/>
  <c r="F243" i="2" s="1"/>
  <c r="C44" i="16" s="1"/>
  <c r="B244" i="2"/>
  <c r="D44" i="16" s="1"/>
  <c r="D242" i="2"/>
  <c r="B245" i="2" s="1"/>
  <c r="D243" i="2" s="1"/>
  <c r="AN120" i="4"/>
  <c r="AN173" i="4"/>
  <c r="AN165" i="4"/>
  <c r="AN172" i="4"/>
  <c r="AN161" i="4"/>
  <c r="AN183" i="4"/>
  <c r="AN178" i="4"/>
  <c r="AN160" i="4"/>
  <c r="AN153" i="4"/>
  <c r="AN146" i="4"/>
  <c r="AN141" i="4"/>
  <c r="AN128" i="4"/>
  <c r="AN125" i="4"/>
  <c r="AN112" i="4"/>
  <c r="AN204" i="4"/>
  <c r="AN130" i="4"/>
  <c r="AN181" i="4"/>
  <c r="AN176" i="4"/>
  <c r="AN198" i="4"/>
  <c r="AN145" i="4"/>
  <c r="AN114" i="4"/>
  <c r="AN111" i="4"/>
  <c r="AN189" i="4"/>
  <c r="AN168" i="4"/>
  <c r="AN171" i="4"/>
  <c r="AN144" i="4"/>
  <c r="AN164" i="4"/>
  <c r="AN188" i="4"/>
  <c r="AN169" i="4"/>
  <c r="AN162" i="4"/>
  <c r="AN151" i="4"/>
  <c r="AN121" i="4"/>
  <c r="AN117" i="4"/>
  <c r="AN133" i="4"/>
  <c r="AJ43" i="4"/>
  <c r="AP98" i="4"/>
  <c r="AJ13" i="4"/>
  <c r="AJ80" i="4"/>
  <c r="AP109" i="4"/>
  <c r="AJ78" i="4"/>
  <c r="AJ40" i="4"/>
  <c r="AJ97" i="4"/>
  <c r="AJ19" i="4"/>
  <c r="AJ61" i="4"/>
  <c r="AP22" i="4"/>
  <c r="AP85" i="4"/>
  <c r="AI38" i="4"/>
  <c r="AP73" i="4"/>
  <c r="AJ84" i="4"/>
  <c r="AI86" i="4"/>
  <c r="AJ29" i="4"/>
  <c r="I107" i="4"/>
  <c r="J107" i="4" s="1"/>
  <c r="K107" i="4" s="1"/>
  <c r="AI25" i="4"/>
  <c r="I30" i="4"/>
  <c r="J30" i="4" s="1"/>
  <c r="K30" i="4" s="1"/>
  <c r="AJ94" i="4"/>
  <c r="AP88" i="4"/>
  <c r="AI26" i="4"/>
  <c r="I37" i="4"/>
  <c r="J37" i="4" s="1"/>
  <c r="K37" i="4" s="1"/>
  <c r="AJ41" i="4"/>
  <c r="AP66" i="4"/>
  <c r="AJ39" i="4"/>
  <c r="AP76" i="4"/>
  <c r="I51" i="4"/>
  <c r="J51" i="4" s="1"/>
  <c r="K51" i="4" s="1"/>
  <c r="AP12" i="4"/>
  <c r="AP17" i="4"/>
  <c r="AI70" i="4"/>
  <c r="I16" i="4"/>
  <c r="J16" i="4" s="1"/>
  <c r="K16" i="4" s="1"/>
  <c r="AP104" i="4"/>
  <c r="AJ87" i="4"/>
  <c r="AJ52" i="4"/>
  <c r="AP15" i="4"/>
  <c r="AI100" i="4"/>
  <c r="AP18" i="4"/>
  <c r="AJ67" i="4"/>
  <c r="AJ45" i="4"/>
  <c r="AP62" i="4"/>
  <c r="AP56" i="4"/>
  <c r="I20" i="4"/>
  <c r="J20" i="4" s="1"/>
  <c r="K20" i="4" s="1"/>
  <c r="AI34" i="4"/>
  <c r="AI103" i="4"/>
  <c r="AJ44" i="4"/>
  <c r="AI21" i="4"/>
  <c r="AP31" i="4"/>
  <c r="AP69" i="4"/>
  <c r="AJ42" i="4"/>
  <c r="AP49" i="4"/>
  <c r="I99" i="4"/>
  <c r="J99" i="4" s="1"/>
  <c r="K99" i="4" s="1"/>
  <c r="AP24" i="4"/>
  <c r="AJ64" i="4"/>
  <c r="AI28" i="4"/>
  <c r="AP53" i="4"/>
  <c r="AJ96" i="4"/>
  <c r="AP68" i="4"/>
  <c r="AI32" i="4"/>
  <c r="AP106" i="4"/>
  <c r="AP11" i="4"/>
  <c r="AI9" i="4"/>
  <c r="I75" i="4"/>
  <c r="J75" i="4" s="1"/>
  <c r="K75" i="4" s="1"/>
  <c r="AI82" i="4"/>
  <c r="AP92" i="4"/>
  <c r="AI48" i="4"/>
  <c r="AP23" i="4"/>
  <c r="I27" i="4"/>
  <c r="J27" i="4" s="1"/>
  <c r="K27" i="4" s="1"/>
  <c r="AI89" i="4"/>
  <c r="AJ91" i="4"/>
  <c r="AP58" i="4"/>
  <c r="AI10" i="4"/>
  <c r="I33" i="4"/>
  <c r="J33" i="4" s="1"/>
  <c r="K33" i="4" s="1"/>
  <c r="AP105" i="4"/>
  <c r="AJ79" i="4"/>
  <c r="AI46" i="4"/>
  <c r="I72" i="4"/>
  <c r="J72" i="4" s="1"/>
  <c r="K72" i="4" s="1"/>
  <c r="AJ101" i="4"/>
  <c r="AJ50" i="4"/>
  <c r="AJ71" i="4"/>
  <c r="AI81" i="4"/>
  <c r="AI60" i="4"/>
  <c r="AJ83" i="4"/>
  <c r="AJ57" i="4"/>
  <c r="AJ95" i="4"/>
  <c r="AI102" i="4"/>
  <c r="AI59" i="4"/>
  <c r="I74" i="4"/>
  <c r="J74" i="4" s="1"/>
  <c r="K74" i="4" s="1"/>
  <c r="AP93" i="4"/>
  <c r="AP35" i="4"/>
  <c r="AP77" i="4"/>
  <c r="AI90" i="4"/>
  <c r="AJ36" i="4"/>
  <c r="AJ54" i="4"/>
  <c r="I55" i="4"/>
  <c r="J55" i="4" s="1"/>
  <c r="K55" i="4" s="1"/>
  <c r="AP63" i="4"/>
  <c r="AI14" i="4"/>
  <c r="L66" i="2"/>
  <c r="G243" i="2" s="1"/>
  <c r="B39" i="2"/>
  <c r="B17" i="2"/>
  <c r="B37" i="2"/>
  <c r="B18" i="2" s="1"/>
  <c r="B62" i="2"/>
  <c r="R14" i="8" s="1"/>
  <c r="AP10" i="4"/>
  <c r="B125" i="2"/>
  <c r="B132" i="2" s="1"/>
  <c r="I10" i="4"/>
  <c r="J10" i="4" s="1"/>
  <c r="K10" i="4" s="1"/>
  <c r="AJ10" i="4"/>
  <c r="AI18" i="4"/>
  <c r="B273" i="2"/>
  <c r="I28" i="4"/>
  <c r="J28" i="4" s="1"/>
  <c r="K28" i="4" s="1"/>
  <c r="AP45" i="4"/>
  <c r="AN10" i="4"/>
  <c r="AI16" i="4"/>
  <c r="AN93" i="4"/>
  <c r="AN24" i="4"/>
  <c r="I45" i="4"/>
  <c r="J45" i="4" s="1"/>
  <c r="K45" i="4" s="1"/>
  <c r="AI45" i="4"/>
  <c r="B80" i="2"/>
  <c r="E41" i="1" s="1"/>
  <c r="B30" i="2"/>
  <c r="E16" i="1" s="1"/>
  <c r="I104" i="4"/>
  <c r="J104" i="4" s="1"/>
  <c r="K104" i="4" s="1"/>
  <c r="AP28" i="4"/>
  <c r="I58" i="4"/>
  <c r="J58" i="4" s="1"/>
  <c r="K58" i="4" s="1"/>
  <c r="AP91" i="4"/>
  <c r="AI104" i="4"/>
  <c r="AI55" i="4"/>
  <c r="AI96" i="4"/>
  <c r="I36" i="4"/>
  <c r="J36" i="4" s="1"/>
  <c r="K36" i="4" s="1"/>
  <c r="J668" i="3"/>
  <c r="AN57" i="4"/>
  <c r="I77" i="4"/>
  <c r="J77" i="4" s="1"/>
  <c r="K77" i="4" s="1"/>
  <c r="J640" i="3"/>
  <c r="J95" i="3"/>
  <c r="AJ93" i="4"/>
  <c r="AJ32" i="4"/>
  <c r="I68" i="4"/>
  <c r="J68" i="4" s="1"/>
  <c r="K68" i="4" s="1"/>
  <c r="AP36" i="4"/>
  <c r="J526" i="3"/>
  <c r="J660" i="3"/>
  <c r="AP44" i="4"/>
  <c r="AI20" i="4"/>
  <c r="AJ27" i="4"/>
  <c r="AI74" i="4"/>
  <c r="AJ51" i="4"/>
  <c r="I32" i="4"/>
  <c r="J32" i="4" s="1"/>
  <c r="K32" i="4" s="1"/>
  <c r="J265" i="3"/>
  <c r="J393" i="3"/>
  <c r="J300" i="3"/>
  <c r="J665" i="3"/>
  <c r="AP67" i="4"/>
  <c r="J409" i="3"/>
  <c r="B24" i="2"/>
  <c r="AP89" i="4"/>
  <c r="AN23" i="4"/>
  <c r="J13" i="3"/>
  <c r="J317" i="3"/>
  <c r="AJ88" i="4"/>
  <c r="AJ74" i="4"/>
  <c r="J173" i="3"/>
  <c r="J643" i="3"/>
  <c r="J267" i="3"/>
  <c r="J537" i="3"/>
  <c r="J140" i="3"/>
  <c r="J480" i="3"/>
  <c r="J233" i="3"/>
  <c r="J19" i="3"/>
  <c r="J332" i="3"/>
  <c r="J286" i="3"/>
  <c r="J397" i="3"/>
  <c r="J511" i="3"/>
  <c r="AJ48" i="4"/>
  <c r="AI95" i="4"/>
  <c r="AP94" i="4"/>
  <c r="I91" i="4"/>
  <c r="J91" i="4" s="1"/>
  <c r="K91" i="4" s="1"/>
  <c r="I54" i="4"/>
  <c r="J54" i="4" s="1"/>
  <c r="K54" i="4" s="1"/>
  <c r="AJ55" i="4"/>
  <c r="I64" i="4"/>
  <c r="J64" i="4" s="1"/>
  <c r="K64" i="4" s="1"/>
  <c r="J423" i="3"/>
  <c r="J110" i="3"/>
  <c r="J280" i="3"/>
  <c r="J106" i="3"/>
  <c r="J309" i="3"/>
  <c r="J179" i="3"/>
  <c r="J621" i="3"/>
  <c r="J463" i="3"/>
  <c r="J174" i="3"/>
  <c r="J224" i="3"/>
  <c r="J354" i="3"/>
  <c r="J552" i="3"/>
  <c r="J197" i="3"/>
  <c r="J384" i="3"/>
  <c r="J111" i="3"/>
  <c r="J636" i="3"/>
  <c r="J395" i="3"/>
  <c r="AI63" i="4"/>
  <c r="J337" i="3"/>
  <c r="J427" i="3"/>
  <c r="J125" i="3"/>
  <c r="J687" i="3"/>
  <c r="J604" i="3"/>
  <c r="J595" i="3"/>
  <c r="J346" i="3"/>
  <c r="AP42" i="4"/>
  <c r="AP54" i="4"/>
  <c r="AI54" i="4"/>
  <c r="I96" i="4"/>
  <c r="J96" i="4" s="1"/>
  <c r="K96" i="4" s="1"/>
  <c r="AI101" i="4"/>
  <c r="I92" i="4"/>
  <c r="J92" i="4" s="1"/>
  <c r="K92" i="4" s="1"/>
  <c r="I9" i="4"/>
  <c r="J9" i="4" s="1"/>
  <c r="K9" i="4" s="1"/>
  <c r="I87" i="4"/>
  <c r="J87" i="4" s="1"/>
  <c r="K87" i="4" s="1"/>
  <c r="I19" i="4"/>
  <c r="J19" i="4" s="1"/>
  <c r="K19" i="4" s="1"/>
  <c r="I53" i="4"/>
  <c r="J53" i="4" s="1"/>
  <c r="K53" i="4" s="1"/>
  <c r="I42" i="4"/>
  <c r="J42" i="4" s="1"/>
  <c r="K42" i="4" s="1"/>
  <c r="AP78" i="4"/>
  <c r="AI53" i="4"/>
  <c r="AI52" i="4"/>
  <c r="I24" i="4"/>
  <c r="J24" i="4" s="1"/>
  <c r="K24" i="4" s="1"/>
  <c r="AJ15" i="4"/>
  <c r="AI67" i="4"/>
  <c r="I52" i="4"/>
  <c r="J52" i="4" s="1"/>
  <c r="K52" i="4" s="1"/>
  <c r="AI22" i="4"/>
  <c r="I76" i="4"/>
  <c r="J76" i="4" s="1"/>
  <c r="K76" i="4" s="1"/>
  <c r="AP21" i="4"/>
  <c r="I12" i="4"/>
  <c r="J12" i="4" s="1"/>
  <c r="K12" i="4" s="1"/>
  <c r="AP55" i="4"/>
  <c r="I93" i="4"/>
  <c r="J93" i="4" s="1"/>
  <c r="K93" i="4" s="1"/>
  <c r="AI91" i="4"/>
  <c r="AJ90" i="4"/>
  <c r="AJ58" i="4"/>
  <c r="I21" i="4"/>
  <c r="J21" i="4" s="1"/>
  <c r="K21" i="4" s="1"/>
  <c r="AI98" i="4"/>
  <c r="I94" i="4"/>
  <c r="J94" i="4" s="1"/>
  <c r="K94" i="4" s="1"/>
  <c r="I102" i="4"/>
  <c r="J102" i="4" s="1"/>
  <c r="K102" i="4" s="1"/>
  <c r="I39" i="4"/>
  <c r="J39" i="4" s="1"/>
  <c r="K39" i="4" s="1"/>
  <c r="I90" i="4"/>
  <c r="J90" i="4" s="1"/>
  <c r="K90" i="4" s="1"/>
  <c r="AJ35" i="4"/>
  <c r="I35" i="4"/>
  <c r="J35" i="4" s="1"/>
  <c r="K35" i="4" s="1"/>
  <c r="AJ98" i="4"/>
  <c r="AN70" i="4"/>
  <c r="AN39" i="4"/>
  <c r="AJ12" i="4"/>
  <c r="AI77" i="4"/>
  <c r="AI27" i="4"/>
  <c r="I63" i="4"/>
  <c r="J63" i="4" s="1"/>
  <c r="K63" i="4" s="1"/>
  <c r="B275" i="2"/>
  <c r="AJ17" i="4"/>
  <c r="AJ14" i="4"/>
  <c r="I81" i="4"/>
  <c r="J81" i="4" s="1"/>
  <c r="K81" i="4" s="1"/>
  <c r="AP16" i="4"/>
  <c r="AP96" i="4"/>
  <c r="AJ18" i="4"/>
  <c r="AI61" i="4"/>
  <c r="AJ22" i="4"/>
  <c r="AP83" i="4"/>
  <c r="AJ85" i="4"/>
  <c r="AP40" i="4"/>
  <c r="AP32" i="4"/>
  <c r="I80" i="4"/>
  <c r="J80" i="4" s="1"/>
  <c r="J113" i="3"/>
  <c r="J11" i="3"/>
  <c r="J307" i="3"/>
  <c r="J533" i="3"/>
  <c r="J146" i="3"/>
  <c r="J440" i="3"/>
  <c r="J611" i="3"/>
  <c r="J437" i="3"/>
  <c r="J353" i="3"/>
  <c r="J658" i="3"/>
  <c r="J223" i="3"/>
  <c r="J139" i="3"/>
  <c r="J24" i="3"/>
  <c r="J577" i="3"/>
  <c r="J507" i="3"/>
  <c r="J388" i="3"/>
  <c r="J254" i="3"/>
  <c r="J50" i="3"/>
  <c r="J184" i="3"/>
  <c r="J268" i="3"/>
  <c r="J310" i="3"/>
  <c r="J418" i="3"/>
  <c r="J524" i="3"/>
  <c r="J594" i="3"/>
  <c r="J14" i="3"/>
  <c r="J407" i="3"/>
  <c r="I49" i="4"/>
  <c r="J49" i="4" s="1"/>
  <c r="K49" i="4" s="1"/>
  <c r="I57" i="4"/>
  <c r="J57" i="4" s="1"/>
  <c r="K57" i="4" s="1"/>
  <c r="I67" i="4"/>
  <c r="J67" i="4" s="1"/>
  <c r="K67" i="4" s="1"/>
  <c r="I14" i="4"/>
  <c r="J14" i="4" s="1"/>
  <c r="K14" i="4" s="1"/>
  <c r="I18" i="4"/>
  <c r="J18" i="4" s="1"/>
  <c r="K18" i="4" s="1"/>
  <c r="AI99" i="4"/>
  <c r="J109" i="3"/>
  <c r="J505" i="3"/>
  <c r="J18" i="3"/>
  <c r="J553" i="3"/>
  <c r="J124" i="3"/>
  <c r="J422" i="3"/>
  <c r="J598" i="3"/>
  <c r="J225" i="3"/>
  <c r="AI49" i="4"/>
  <c r="AJ106" i="4"/>
  <c r="AI24" i="4"/>
  <c r="AP70" i="4"/>
  <c r="J241" i="3"/>
  <c r="J664" i="3"/>
  <c r="J663" i="3"/>
  <c r="J656" i="3"/>
  <c r="J183" i="3"/>
  <c r="J166" i="3"/>
  <c r="J490" i="3"/>
  <c r="J48" i="3"/>
  <c r="J227" i="3"/>
  <c r="J291" i="3"/>
  <c r="J81" i="3"/>
  <c r="AN15" i="4"/>
  <c r="AN46" i="4"/>
  <c r="J615" i="3"/>
  <c r="J582" i="3"/>
  <c r="J403" i="3"/>
  <c r="J467" i="3"/>
  <c r="J67" i="3"/>
  <c r="AJ68" i="4"/>
  <c r="AJ69" i="4"/>
  <c r="J182" i="3"/>
  <c r="J509" i="3"/>
  <c r="J287" i="3"/>
  <c r="I69" i="4"/>
  <c r="J69" i="4" s="1"/>
  <c r="K69" i="4" s="1"/>
  <c r="AP14" i="4"/>
  <c r="AI80" i="4"/>
  <c r="AI68" i="4"/>
  <c r="AI37" i="4"/>
  <c r="AP90" i="4"/>
  <c r="J683" i="3"/>
  <c r="R11" i="8"/>
  <c r="S11" i="8" s="1"/>
  <c r="B128" i="2" s="1"/>
  <c r="AI64" i="4"/>
  <c r="AJ70" i="4"/>
  <c r="AJ104" i="4"/>
  <c r="AJ28" i="4"/>
  <c r="AJ100" i="4"/>
  <c r="C25" i="3"/>
  <c r="AJ86" i="4"/>
  <c r="AI29" i="4"/>
  <c r="AI58" i="4"/>
  <c r="AJ63" i="4"/>
  <c r="AI93" i="4"/>
  <c r="C55" i="16"/>
  <c r="D55" i="16" s="1"/>
  <c r="AJ89" i="4"/>
  <c r="AP38" i="4"/>
  <c r="AP86" i="4"/>
  <c r="AJ24" i="4"/>
  <c r="AP95" i="4"/>
  <c r="I29" i="4"/>
  <c r="J29" i="4" s="1"/>
  <c r="K29" i="4" s="1"/>
  <c r="I89" i="4"/>
  <c r="J89" i="4" s="1"/>
  <c r="K89" i="4" s="1"/>
  <c r="I23" i="4"/>
  <c r="J23" i="4" s="1"/>
  <c r="K23" i="4" s="1"/>
  <c r="AP46" i="4"/>
  <c r="AP27" i="4"/>
  <c r="AJ59" i="4"/>
  <c r="AI73" i="4"/>
  <c r="AP71" i="4"/>
  <c r="AP81" i="4"/>
  <c r="AJ60" i="4"/>
  <c r="AJ9" i="4"/>
  <c r="AP72" i="4"/>
  <c r="AI57" i="4"/>
  <c r="AP29" i="4"/>
  <c r="I50" i="4"/>
  <c r="J50" i="4" s="1"/>
  <c r="K50" i="4" s="1"/>
  <c r="AP48" i="4"/>
  <c r="AP97" i="4"/>
  <c r="I97" i="4"/>
  <c r="J97" i="4" s="1"/>
  <c r="K97" i="4" s="1"/>
  <c r="I84" i="4"/>
  <c r="J84" i="4" s="1"/>
  <c r="K84" i="4" s="1"/>
  <c r="AI36" i="4"/>
  <c r="I78" i="4"/>
  <c r="J78" i="4" s="1"/>
  <c r="K78" i="4" s="1"/>
  <c r="I86" i="4"/>
  <c r="J86" i="4" s="1"/>
  <c r="K86" i="4" s="1"/>
  <c r="I61" i="4"/>
  <c r="J61" i="4" s="1"/>
  <c r="K61" i="4" s="1"/>
  <c r="AP82" i="4"/>
  <c r="AI19" i="4"/>
  <c r="AN63" i="4"/>
  <c r="AN34" i="4"/>
  <c r="AN109" i="4"/>
  <c r="AN21" i="4"/>
  <c r="AN85" i="4"/>
  <c r="AN71" i="4"/>
  <c r="AN60" i="4"/>
  <c r="AP79" i="4"/>
  <c r="AP102" i="4"/>
  <c r="AP74" i="4"/>
  <c r="AP84" i="4"/>
  <c r="AI35" i="4"/>
  <c r="AJ77" i="4"/>
  <c r="AJ38" i="4"/>
  <c r="AN25" i="4"/>
  <c r="AI84" i="4"/>
  <c r="AN45" i="4"/>
  <c r="AJ102" i="4"/>
  <c r="AI44" i="4"/>
  <c r="AJ56" i="4"/>
  <c r="AI94" i="4"/>
  <c r="AJ31" i="4"/>
  <c r="AJ76" i="4"/>
  <c r="AP51" i="4"/>
  <c r="AP80" i="4"/>
  <c r="AP87" i="4"/>
  <c r="AP64" i="4"/>
  <c r="AJ37" i="4"/>
  <c r="AP20" i="4"/>
  <c r="AI39" i="4"/>
  <c r="I103" i="4"/>
  <c r="J103" i="4" s="1"/>
  <c r="K103" i="4" s="1"/>
  <c r="AI51" i="4"/>
  <c r="AI56" i="4"/>
  <c r="I26" i="4"/>
  <c r="J26" i="4" s="1"/>
  <c r="K26" i="4" s="1"/>
  <c r="AJ16" i="4"/>
  <c r="AJ49" i="4"/>
  <c r="I15" i="4"/>
  <c r="J15" i="4" s="1"/>
  <c r="K15" i="4" s="1"/>
  <c r="I13" i="4"/>
  <c r="J13" i="4" s="1"/>
  <c r="K13" i="4" s="1"/>
  <c r="I34" i="4"/>
  <c r="J34" i="4" s="1"/>
  <c r="K34" i="4" s="1"/>
  <c r="J477" i="3"/>
  <c r="J273" i="3"/>
  <c r="J493" i="3"/>
  <c r="J93" i="3"/>
  <c r="J269" i="3"/>
  <c r="J387" i="3"/>
  <c r="J599" i="3"/>
  <c r="J416" i="3"/>
  <c r="J138" i="3"/>
  <c r="J226" i="3"/>
  <c r="J360" i="3"/>
  <c r="J497" i="3"/>
  <c r="J563" i="3"/>
  <c r="J53" i="3"/>
  <c r="J457" i="3"/>
  <c r="J417" i="3"/>
  <c r="J373" i="3"/>
  <c r="J329" i="3"/>
  <c r="J289" i="3"/>
  <c r="J26" i="3"/>
  <c r="J243" i="3"/>
  <c r="J203" i="3"/>
  <c r="J159" i="3"/>
  <c r="J115" i="3"/>
  <c r="J75" i="3"/>
  <c r="J685" i="3"/>
  <c r="J601" i="3"/>
  <c r="J557" i="3"/>
  <c r="J527" i="3"/>
  <c r="J487" i="3"/>
  <c r="J428" i="3"/>
  <c r="J340" i="3"/>
  <c r="J648" i="3"/>
  <c r="J214" i="3"/>
  <c r="J126" i="3"/>
  <c r="J116" i="3"/>
  <c r="J160" i="3"/>
  <c r="J204" i="3"/>
  <c r="J248" i="3"/>
  <c r="J29" i="3"/>
  <c r="J290" i="3"/>
  <c r="J334" i="3"/>
  <c r="J374" i="3"/>
  <c r="J460" i="3"/>
  <c r="J502" i="3"/>
  <c r="J671" i="3"/>
  <c r="J574" i="3"/>
  <c r="J616" i="3"/>
  <c r="J39" i="3"/>
  <c r="J331" i="3"/>
  <c r="J27" i="3"/>
  <c r="J97" i="3"/>
  <c r="J74" i="3"/>
  <c r="I31" i="4"/>
  <c r="J31" i="4" s="1"/>
  <c r="K31" i="4" s="1"/>
  <c r="I100" i="4"/>
  <c r="J100" i="4" s="1"/>
  <c r="K100" i="4" s="1"/>
  <c r="AI43" i="4"/>
  <c r="AI42" i="4"/>
  <c r="AI12" i="4"/>
  <c r="AP99" i="4"/>
  <c r="AP52" i="4"/>
  <c r="I17" i="4"/>
  <c r="J17" i="4" s="1"/>
  <c r="K17" i="4" s="1"/>
  <c r="I41" i="4"/>
  <c r="J41" i="4" s="1"/>
  <c r="K41" i="4" s="1"/>
  <c r="J295" i="3"/>
  <c r="J419" i="3"/>
  <c r="J258" i="3"/>
  <c r="J36" i="3"/>
  <c r="J325" i="3"/>
  <c r="J195" i="3"/>
  <c r="J661" i="3"/>
  <c r="J479" i="3"/>
  <c r="J206" i="3"/>
  <c r="J208" i="3"/>
  <c r="J338" i="3"/>
  <c r="J484" i="3"/>
  <c r="J554" i="3"/>
  <c r="J673" i="3"/>
  <c r="J85" i="3"/>
  <c r="J304" i="3"/>
  <c r="AI31" i="4"/>
  <c r="J210" i="3"/>
  <c r="J57" i="3"/>
  <c r="J156" i="3"/>
  <c r="J454" i="3"/>
  <c r="J614" i="3"/>
  <c r="J279" i="3"/>
  <c r="J591" i="3"/>
  <c r="J567" i="3"/>
  <c r="J603" i="3"/>
  <c r="J666" i="3"/>
  <c r="J32" i="3"/>
  <c r="J380" i="3"/>
  <c r="J180" i="3"/>
  <c r="J394" i="3"/>
  <c r="J540" i="3"/>
  <c r="J89" i="3"/>
  <c r="J638" i="3"/>
  <c r="AI15" i="4"/>
  <c r="I98" i="4"/>
  <c r="J98" i="4" s="1"/>
  <c r="K98" i="4" s="1"/>
  <c r="J17" i="3"/>
  <c r="J357" i="3"/>
  <c r="J130" i="3"/>
  <c r="AN105" i="4"/>
  <c r="AN64" i="4"/>
  <c r="AN13" i="4"/>
  <c r="AN26" i="4"/>
  <c r="AN49" i="4"/>
  <c r="J163" i="3"/>
  <c r="J390" i="3"/>
  <c r="J439" i="3"/>
  <c r="J153" i="3"/>
  <c r="J521" i="3"/>
  <c r="J103" i="3"/>
  <c r="J132" i="3"/>
  <c r="J530" i="3"/>
  <c r="J161" i="3"/>
  <c r="AI13" i="4"/>
  <c r="AJ53" i="4"/>
  <c r="AP100" i="4"/>
  <c r="AP43" i="4"/>
  <c r="J237" i="3"/>
  <c r="J560" i="3"/>
  <c r="J62" i="3"/>
  <c r="I70" i="4"/>
  <c r="J70" i="4" s="1"/>
  <c r="K70" i="4" s="1"/>
  <c r="AI87" i="4"/>
  <c r="J263" i="3"/>
  <c r="AJ99" i="4"/>
  <c r="J375" i="3"/>
  <c r="AI69" i="4"/>
  <c r="AP13" i="4"/>
  <c r="AJ26" i="4"/>
  <c r="AJ20" i="4"/>
  <c r="AI17" i="4"/>
  <c r="AP34" i="4"/>
  <c r="J688" i="3"/>
  <c r="I48" i="4"/>
  <c r="J48" i="4" s="1"/>
  <c r="I22" i="4"/>
  <c r="J22" i="4" s="1"/>
  <c r="K22" i="4" s="1"/>
  <c r="AJ46" i="4"/>
  <c r="AP59" i="4"/>
  <c r="AP101" i="4"/>
  <c r="AJ73" i="4"/>
  <c r="I71" i="4"/>
  <c r="J71" i="4" s="1"/>
  <c r="K71" i="4" s="1"/>
  <c r="AP61" i="4"/>
  <c r="AJ81" i="4"/>
  <c r="AI92" i="4"/>
  <c r="AP60" i="4"/>
  <c r="I83" i="4"/>
  <c r="J83" i="4" s="1"/>
  <c r="K83" i="4" s="1"/>
  <c r="I85" i="4"/>
  <c r="J85" i="4" s="1"/>
  <c r="K85" i="4" s="1"/>
  <c r="AP9" i="4"/>
  <c r="I40" i="4"/>
  <c r="J40" i="4" s="1"/>
  <c r="K40" i="4" s="1"/>
  <c r="AP57" i="4"/>
  <c r="I82" i="4"/>
  <c r="J82" i="4" s="1"/>
  <c r="K82" i="4" s="1"/>
  <c r="AP19" i="4"/>
  <c r="AJ82" i="4"/>
  <c r="AJ23" i="4"/>
  <c r="I101" i="4"/>
  <c r="J101" i="4" s="1"/>
  <c r="K101" i="4" s="1"/>
  <c r="I38" i="4"/>
  <c r="J38" i="4" s="1"/>
  <c r="K38" i="4" s="1"/>
  <c r="I46" i="4"/>
  <c r="J46" i="4" s="1"/>
  <c r="K46" i="4" s="1"/>
  <c r="I73" i="4"/>
  <c r="J73" i="4" s="1"/>
  <c r="K73" i="4" s="1"/>
  <c r="AI75" i="4"/>
  <c r="I95" i="4"/>
  <c r="J95" i="4" s="1"/>
  <c r="K95" i="4" s="1"/>
  <c r="I59" i="4"/>
  <c r="J59" i="4" s="1"/>
  <c r="K59" i="4" s="1"/>
  <c r="I105" i="4"/>
  <c r="J105" i="4" s="1"/>
  <c r="K105" i="4" s="1"/>
  <c r="AI50" i="4"/>
  <c r="AI23" i="4"/>
  <c r="AI97" i="4"/>
  <c r="AI83" i="4"/>
  <c r="AP75" i="4"/>
  <c r="AI72" i="4"/>
  <c r="B217" i="2"/>
  <c r="AP50" i="4"/>
  <c r="I60" i="4"/>
  <c r="J60" i="4" s="1"/>
  <c r="K60" i="4" s="1"/>
  <c r="AI40" i="4"/>
  <c r="AJ92" i="4"/>
  <c r="AN82" i="4"/>
  <c r="AN74" i="4"/>
  <c r="AI78" i="4"/>
  <c r="AN96" i="4"/>
  <c r="AN42" i="4"/>
  <c r="AI71" i="4"/>
  <c r="AJ72" i="4"/>
  <c r="AI11" i="4"/>
  <c r="AN68" i="4"/>
  <c r="AN38" i="4"/>
  <c r="AN52" i="4"/>
  <c r="I79" i="4"/>
  <c r="J79" i="4" s="1"/>
  <c r="K79" i="4" s="1"/>
  <c r="AI79" i="4"/>
  <c r="AN89" i="4"/>
  <c r="AJ75" i="4"/>
  <c r="I11" i="4"/>
  <c r="J11" i="4" s="1"/>
  <c r="K11" i="4" s="1"/>
  <c r="AJ11" i="4"/>
  <c r="AN19" i="4"/>
  <c r="AP37" i="4"/>
  <c r="AP39" i="4"/>
  <c r="AJ103" i="4"/>
  <c r="B73" i="4"/>
  <c r="AJ21" i="4"/>
  <c r="I88" i="4"/>
  <c r="J88" i="4" s="1"/>
  <c r="K88" i="4" s="1"/>
  <c r="I56" i="4"/>
  <c r="J56" i="4" s="1"/>
  <c r="K56" i="4" s="1"/>
  <c r="AP26" i="4"/>
  <c r="AI66" i="4"/>
  <c r="I62" i="4"/>
  <c r="J62" i="4" s="1"/>
  <c r="K62" i="4" s="1"/>
  <c r="I44" i="4"/>
  <c r="J44" i="4" s="1"/>
  <c r="K44" i="4" s="1"/>
  <c r="I66" i="4"/>
  <c r="J66" i="4" s="1"/>
  <c r="K66" i="4" s="1"/>
  <c r="AJ34" i="4"/>
  <c r="AI76" i="4"/>
  <c r="AP41" i="4"/>
  <c r="B216" i="2"/>
  <c r="AP103" i="4"/>
  <c r="AJ66" i="4"/>
  <c r="I43" i="4"/>
  <c r="J43" i="4" s="1"/>
  <c r="K43" i="4" s="1"/>
  <c r="AI41" i="4"/>
  <c r="AI88" i="4"/>
  <c r="AJ62" i="4"/>
  <c r="AN107" i="4"/>
  <c r="AJ109" i="4"/>
  <c r="AJ107" i="4"/>
  <c r="AI107" i="4"/>
  <c r="AP107" i="4"/>
  <c r="AJ108" i="4"/>
  <c r="I108" i="4"/>
  <c r="J108" i="4" s="1"/>
  <c r="K108" i="4" s="1"/>
  <c r="J432" i="3"/>
  <c r="J118" i="3"/>
  <c r="J628" i="3"/>
  <c r="J682" i="3"/>
  <c r="J431" i="3"/>
  <c r="J76" i="3"/>
  <c r="J377" i="3"/>
  <c r="J315" i="3"/>
  <c r="J284" i="3"/>
  <c r="J320" i="3"/>
  <c r="J602" i="3"/>
  <c r="J170" i="3"/>
  <c r="J670" i="3"/>
  <c r="J378" i="3"/>
  <c r="J412" i="3"/>
  <c r="J285" i="3"/>
  <c r="J637" i="3"/>
  <c r="J129" i="3"/>
  <c r="J63" i="3"/>
  <c r="J488" i="3"/>
  <c r="J220" i="3"/>
  <c r="J635" i="3"/>
  <c r="J555" i="3"/>
  <c r="J60" i="3"/>
  <c r="J336" i="3"/>
  <c r="J443" i="3"/>
  <c r="J612" i="3"/>
  <c r="J548" i="3"/>
  <c r="J498" i="3"/>
  <c r="J410" i="3"/>
  <c r="J282" i="3"/>
  <c r="J196" i="3"/>
  <c r="J134" i="3"/>
  <c r="J348" i="3"/>
  <c r="J531" i="3"/>
  <c r="J65" i="3"/>
  <c r="J167" i="3"/>
  <c r="J634" i="3"/>
  <c r="J381" i="3"/>
  <c r="J653" i="3"/>
  <c r="J328" i="3"/>
  <c r="J517" i="3"/>
  <c r="J189" i="3"/>
  <c r="J68" i="3"/>
  <c r="J319" i="3"/>
  <c r="J213" i="3"/>
  <c r="J624" i="3"/>
  <c r="J538" i="3"/>
  <c r="J468" i="3"/>
  <c r="J306" i="3"/>
  <c r="J176" i="3"/>
  <c r="J270" i="3"/>
  <c r="J605" i="3"/>
  <c r="J293" i="3"/>
  <c r="J344" i="3"/>
  <c r="J543" i="3"/>
  <c r="J201" i="3"/>
  <c r="J359" i="3"/>
  <c r="J157" i="3"/>
  <c r="J451" i="3"/>
  <c r="J288" i="3"/>
  <c r="J33" i="3"/>
  <c r="J529" i="3"/>
  <c r="J114" i="3"/>
  <c r="J401" i="3"/>
  <c r="J313" i="3"/>
  <c r="J271" i="3"/>
  <c r="J187" i="3"/>
  <c r="J99" i="3"/>
  <c r="J625" i="3"/>
  <c r="J541" i="3"/>
  <c r="J471" i="3"/>
  <c r="J86" i="3"/>
  <c r="J52" i="3"/>
  <c r="J669" i="3"/>
  <c r="J165" i="3"/>
  <c r="J379" i="3"/>
  <c r="J51" i="3"/>
  <c r="J620" i="3"/>
  <c r="J588" i="3"/>
  <c r="J556" i="3"/>
  <c r="J647" i="3"/>
  <c r="J506" i="3"/>
  <c r="J474" i="3"/>
  <c r="J426" i="3"/>
  <c r="J362" i="3"/>
  <c r="J298" i="3"/>
  <c r="J276" i="3"/>
  <c r="J212" i="3"/>
  <c r="J148" i="3"/>
  <c r="J80" i="3"/>
  <c r="J230" i="3"/>
  <c r="J316" i="3"/>
  <c r="J444" i="3"/>
  <c r="J515" i="3"/>
  <c r="J565" i="3"/>
  <c r="J629" i="3"/>
  <c r="J87" i="3"/>
  <c r="J151" i="3"/>
  <c r="J215" i="3"/>
  <c r="J9" i="3"/>
  <c r="J301" i="3"/>
  <c r="J365" i="3"/>
  <c r="J429" i="3"/>
  <c r="J20" i="3"/>
  <c r="J539" i="3"/>
  <c r="J392" i="3"/>
  <c r="J178" i="3"/>
  <c r="J448" i="3"/>
  <c r="J78" i="3"/>
  <c r="J253" i="3"/>
  <c r="J672" i="3"/>
  <c r="J177" i="3"/>
  <c r="J70" i="3"/>
  <c r="J368" i="3"/>
  <c r="J461" i="3"/>
  <c r="J662" i="3"/>
  <c r="J367" i="3"/>
  <c r="J649" i="3"/>
  <c r="J592" i="3"/>
  <c r="J550" i="3"/>
  <c r="J520" i="3"/>
  <c r="J478" i="3"/>
  <c r="J414" i="3"/>
  <c r="J326" i="3"/>
  <c r="J21" i="3"/>
  <c r="J200" i="3"/>
  <c r="J100" i="3"/>
  <c r="J222" i="3"/>
  <c r="J356" i="3"/>
  <c r="J561" i="3"/>
  <c r="J123" i="3"/>
  <c r="J34" i="3"/>
  <c r="J421" i="3"/>
  <c r="J481" i="3"/>
  <c r="J469" i="3"/>
  <c r="J77" i="3"/>
  <c r="J169" i="3"/>
  <c r="J38" i="3"/>
  <c r="J343" i="3"/>
  <c r="J120" i="3"/>
  <c r="J181" i="3"/>
  <c r="J299" i="3"/>
  <c r="J94" i="3"/>
  <c r="J55" i="3"/>
  <c r="J633" i="3"/>
  <c r="J608" i="3"/>
  <c r="J586" i="3"/>
  <c r="J566" i="3"/>
  <c r="J544" i="3"/>
  <c r="J639" i="3"/>
  <c r="J516" i="3"/>
  <c r="J494" i="3"/>
  <c r="J472" i="3"/>
  <c r="J446" i="3"/>
  <c r="J402" i="3"/>
  <c r="J358" i="3"/>
  <c r="J318" i="3"/>
  <c r="J676" i="3"/>
  <c r="J272" i="3"/>
  <c r="J232" i="3"/>
  <c r="J188" i="3"/>
  <c r="J144" i="3"/>
  <c r="J84" i="3"/>
  <c r="J158" i="3"/>
  <c r="J246" i="3"/>
  <c r="J292" i="3"/>
  <c r="J372" i="3"/>
  <c r="J459" i="3"/>
  <c r="J503" i="3"/>
  <c r="J667" i="3"/>
  <c r="J573" i="3"/>
  <c r="J617" i="3"/>
  <c r="J41" i="3"/>
  <c r="J91" i="3"/>
  <c r="J131" i="3"/>
  <c r="J175" i="3"/>
  <c r="J219" i="3"/>
  <c r="J259" i="3"/>
  <c r="J650" i="3"/>
  <c r="J305" i="3"/>
  <c r="J345" i="3"/>
  <c r="J389" i="3"/>
  <c r="J433" i="3"/>
  <c r="J90" i="3"/>
  <c r="J619" i="3"/>
  <c r="J675" i="3"/>
  <c r="J465" i="3"/>
  <c r="J296" i="3"/>
  <c r="J162" i="3"/>
  <c r="J266" i="3"/>
  <c r="J501" i="3"/>
  <c r="J28" i="3"/>
  <c r="J323" i="3"/>
  <c r="J205" i="3"/>
  <c r="J40" i="3"/>
  <c r="J455" i="3"/>
  <c r="J145" i="3"/>
  <c r="J351" i="3"/>
  <c r="J249" i="3"/>
  <c r="J105" i="3"/>
  <c r="J383" i="3"/>
  <c r="J154" i="3"/>
  <c r="J193" i="3"/>
  <c r="J311" i="3"/>
  <c r="J58" i="3"/>
  <c r="J250" i="3"/>
  <c r="J54" i="3"/>
  <c r="J149" i="3"/>
  <c r="J245" i="3"/>
  <c r="J283" i="3"/>
  <c r="J363" i="3"/>
  <c r="J15" i="3"/>
  <c r="J303" i="3"/>
  <c r="J623" i="3"/>
  <c r="J47" i="3"/>
  <c r="J71" i="3"/>
  <c r="J641" i="3"/>
  <c r="J622" i="3"/>
  <c r="J610" i="3"/>
  <c r="J600" i="3"/>
  <c r="J590" i="3"/>
  <c r="J578" i="3"/>
  <c r="J568" i="3"/>
  <c r="J558" i="3"/>
  <c r="J546" i="3"/>
  <c r="J536" i="3"/>
  <c r="J655" i="3"/>
  <c r="J528" i="3"/>
  <c r="J518" i="3"/>
  <c r="J508" i="3"/>
  <c r="J496" i="3"/>
  <c r="J486" i="3"/>
  <c r="J476" i="3"/>
  <c r="J464" i="3"/>
  <c r="J450" i="3"/>
  <c r="J430" i="3"/>
  <c r="J406" i="3"/>
  <c r="J386" i="3"/>
  <c r="AJ47" i="4"/>
  <c r="AP47" i="4"/>
  <c r="AI47" i="4"/>
  <c r="I47" i="4"/>
  <c r="J47" i="4" s="1"/>
  <c r="K47" i="4" s="1"/>
  <c r="AP30" i="4"/>
  <c r="AI30" i="4"/>
  <c r="AJ30" i="4"/>
  <c r="J137" i="3"/>
  <c r="J415" i="3"/>
  <c r="J35" i="3"/>
  <c r="J209" i="3"/>
  <c r="J327" i="3"/>
  <c r="J102" i="3"/>
  <c r="J186" i="3"/>
  <c r="J56" i="3"/>
  <c r="J141" i="3"/>
  <c r="J221" i="3"/>
  <c r="J646" i="3"/>
  <c r="J355" i="3"/>
  <c r="J435" i="3"/>
  <c r="J61" i="3"/>
  <c r="J551" i="3"/>
  <c r="J485" i="3"/>
  <c r="J352" i="3"/>
  <c r="J202" i="3"/>
  <c r="J66" i="3"/>
  <c r="J194" i="3"/>
  <c r="J274" i="3"/>
  <c r="J312" i="3"/>
  <c r="J408" i="3"/>
  <c r="J473" i="3"/>
  <c r="J513" i="3"/>
  <c r="J547" i="3"/>
  <c r="J587" i="3"/>
  <c r="J627" i="3"/>
  <c r="J122" i="3"/>
  <c r="J82" i="3"/>
  <c r="J449" i="3"/>
  <c r="J425" i="3"/>
  <c r="J405" i="3"/>
  <c r="J385" i="3"/>
  <c r="J361" i="3"/>
  <c r="J341" i="3"/>
  <c r="J321" i="3"/>
  <c r="J297" i="3"/>
  <c r="J686" i="3"/>
  <c r="J642" i="3"/>
  <c r="J275" i="3"/>
  <c r="J255" i="3"/>
  <c r="J235" i="3"/>
  <c r="J211" i="3"/>
  <c r="J191" i="3"/>
  <c r="J171" i="3"/>
  <c r="J147" i="3"/>
  <c r="J127" i="3"/>
  <c r="J107" i="3"/>
  <c r="J83" i="3"/>
  <c r="J23" i="3"/>
  <c r="J49" i="3"/>
  <c r="J645" i="3"/>
  <c r="J609" i="3"/>
  <c r="J589" i="3"/>
  <c r="J569" i="3"/>
  <c r="J545" i="3"/>
  <c r="J651" i="3"/>
  <c r="J519" i="3"/>
  <c r="J495" i="3"/>
  <c r="J475" i="3"/>
  <c r="J452" i="3"/>
  <c r="J404" i="3"/>
  <c r="J364" i="3"/>
  <c r="J324" i="3"/>
  <c r="J684" i="3"/>
  <c r="J10" i="3"/>
  <c r="J238" i="3"/>
  <c r="J190" i="3"/>
  <c r="J150" i="3"/>
  <c r="J96" i="3"/>
  <c r="J92" i="3"/>
  <c r="J128" i="3"/>
  <c r="J152" i="3"/>
  <c r="J172" i="3"/>
  <c r="J192" i="3"/>
  <c r="J216" i="3"/>
  <c r="J236" i="3"/>
  <c r="J256" i="3"/>
  <c r="J12" i="3"/>
  <c r="J644" i="3"/>
  <c r="J278" i="3"/>
  <c r="J302" i="3"/>
  <c r="J322" i="3"/>
  <c r="J342" i="3"/>
  <c r="J366" i="3"/>
  <c r="J398" i="3"/>
  <c r="J438" i="3"/>
  <c r="J470" i="3"/>
  <c r="J492" i="3"/>
  <c r="J512" i="3"/>
  <c r="J631" i="3"/>
  <c r="J542" i="3"/>
  <c r="J562" i="3"/>
  <c r="J584" i="3"/>
  <c r="J606" i="3"/>
  <c r="J626" i="3"/>
  <c r="J59" i="3"/>
  <c r="J185" i="3"/>
  <c r="J411" i="3"/>
  <c r="J277" i="3"/>
  <c r="J117" i="3"/>
  <c r="J525" i="3"/>
  <c r="J257" i="3"/>
  <c r="J659" i="3"/>
  <c r="J559" i="3"/>
  <c r="J16" i="3"/>
  <c r="J400" i="3"/>
  <c r="J22" i="3"/>
  <c r="J583" i="3"/>
  <c r="J31" i="3"/>
  <c r="J376" i="3"/>
  <c r="J579" i="3"/>
  <c r="J453" i="3"/>
  <c r="J369" i="3"/>
  <c r="J281" i="3"/>
  <c r="J239" i="3"/>
  <c r="J155" i="3"/>
  <c r="J46" i="3"/>
  <c r="J593" i="3"/>
  <c r="J523" i="3"/>
  <c r="J420" i="3"/>
  <c r="J25" i="3"/>
  <c r="J112" i="3"/>
  <c r="J168" i="3"/>
  <c r="J252" i="3"/>
  <c r="J294" i="3"/>
  <c r="J382" i="3"/>
  <c r="J462" i="3"/>
  <c r="J504" i="3"/>
  <c r="J534" i="3"/>
  <c r="J576" i="3"/>
  <c r="J618" i="3"/>
  <c r="J44" i="3"/>
  <c r="J261" i="3"/>
  <c r="J575" i="3"/>
  <c r="J447" i="3"/>
  <c r="J371" i="3"/>
  <c r="J69" i="3"/>
  <c r="J207" i="3"/>
  <c r="J491" i="3"/>
  <c r="J142" i="3"/>
  <c r="J240" i="3"/>
  <c r="J370" i="3"/>
  <c r="J500" i="3"/>
  <c r="J570" i="3"/>
  <c r="J43" i="3"/>
  <c r="J133" i="3"/>
  <c r="J218" i="3"/>
  <c r="J121" i="3"/>
  <c r="J391" i="3"/>
  <c r="J339" i="3"/>
  <c r="J234" i="3"/>
  <c r="J489" i="3"/>
  <c r="J42" i="3"/>
  <c r="J333" i="3"/>
  <c r="J247" i="3"/>
  <c r="J119" i="3"/>
  <c r="J597" i="3"/>
  <c r="J483" i="3"/>
  <c r="J632" i="3"/>
  <c r="J108" i="3"/>
  <c r="J244" i="3"/>
  <c r="J330" i="3"/>
  <c r="J458" i="3"/>
  <c r="J522" i="3"/>
  <c r="J572" i="3"/>
  <c r="J657" i="3"/>
  <c r="J630" i="3"/>
  <c r="J30" i="3"/>
  <c r="J88" i="3"/>
  <c r="J396" i="3"/>
  <c r="J585" i="3"/>
  <c r="J143" i="3"/>
  <c r="J674" i="3"/>
  <c r="J441" i="3"/>
  <c r="J424" i="3"/>
  <c r="J535" i="3"/>
  <c r="AN54" i="4"/>
  <c r="AN32" i="4"/>
  <c r="AN43" i="4"/>
  <c r="AN97" i="4"/>
  <c r="AN51" i="4"/>
  <c r="AN28" i="4"/>
  <c r="J73" i="3"/>
  <c r="J436" i="3"/>
  <c r="J264" i="3"/>
  <c r="J510" i="3"/>
  <c r="J399" i="3"/>
  <c r="J607" i="3"/>
  <c r="J104" i="3"/>
  <c r="J445" i="3"/>
  <c r="J231" i="3"/>
  <c r="J581" i="3"/>
  <c r="J262" i="3"/>
  <c r="J260" i="3"/>
  <c r="J466" i="3"/>
  <c r="J580" i="3"/>
  <c r="J229" i="3"/>
  <c r="J251" i="3"/>
  <c r="J350" i="3"/>
  <c r="J347" i="3"/>
  <c r="J571" i="3"/>
  <c r="J164" i="3"/>
  <c r="J45" i="3"/>
  <c r="J217" i="3"/>
  <c r="J442" i="3"/>
  <c r="J456" i="3"/>
  <c r="J314" i="3"/>
  <c r="J532" i="3"/>
  <c r="AJ25" i="4"/>
  <c r="AN106" i="4"/>
  <c r="AN35" i="4"/>
  <c r="AN86" i="4"/>
  <c r="AN92" i="4"/>
  <c r="AN108" i="4"/>
  <c r="AN84" i="4"/>
  <c r="AN41" i="4"/>
  <c r="AN67" i="4"/>
  <c r="AI62" i="4"/>
  <c r="AN36" i="4"/>
  <c r="AI105" i="4"/>
  <c r="I109" i="4"/>
  <c r="J109" i="4" s="1"/>
  <c r="K109" i="4" s="1"/>
  <c r="I106" i="4"/>
  <c r="J106" i="4" s="1"/>
  <c r="K106" i="4" s="1"/>
  <c r="AJ105" i="4"/>
  <c r="AN101" i="4"/>
  <c r="AN87" i="4"/>
  <c r="AI109" i="4"/>
  <c r="AN77" i="4"/>
  <c r="AI106" i="4"/>
  <c r="AN90" i="4"/>
  <c r="AN98" i="4"/>
  <c r="J72" i="3"/>
  <c r="J242" i="3"/>
  <c r="J413" i="3"/>
  <c r="J199" i="3"/>
  <c r="J549" i="3"/>
  <c r="J198" i="3"/>
  <c r="J37" i="3"/>
  <c r="J482" i="3"/>
  <c r="J596" i="3"/>
  <c r="J101" i="3"/>
  <c r="J79" i="3"/>
  <c r="J434" i="3"/>
  <c r="J64" i="3"/>
  <c r="J654" i="3"/>
  <c r="J98" i="3"/>
  <c r="J613" i="3"/>
  <c r="J228" i="3"/>
  <c r="J564" i="3"/>
  <c r="J335" i="3"/>
  <c r="J652" i="3"/>
  <c r="J135" i="3"/>
  <c r="J514" i="3"/>
  <c r="J308" i="3"/>
  <c r="J349" i="3"/>
  <c r="J499" i="3"/>
  <c r="AN61" i="4"/>
  <c r="AN78" i="4"/>
  <c r="AN14" i="4"/>
  <c r="AN72" i="4"/>
  <c r="AN47" i="4"/>
  <c r="AN79" i="4"/>
  <c r="AP108" i="4"/>
  <c r="AI108" i="4"/>
  <c r="AP25" i="4"/>
  <c r="I25" i="4"/>
  <c r="J25" i="4" s="1"/>
  <c r="K25" i="4" s="1"/>
  <c r="AN48" i="4"/>
  <c r="AN59" i="4"/>
  <c r="AN30" i="4"/>
  <c r="AN44" i="4"/>
  <c r="AN95" i="4"/>
  <c r="AN65" i="4"/>
  <c r="AN31" i="4"/>
  <c r="AN76" i="4"/>
  <c r="AN29" i="4"/>
  <c r="AN27" i="4"/>
  <c r="AN81" i="4"/>
  <c r="AN12" i="4"/>
  <c r="AN94" i="4"/>
  <c r="AN33" i="4"/>
  <c r="AN9" i="4"/>
  <c r="AN103" i="4"/>
  <c r="AN40" i="4"/>
  <c r="AN56" i="4"/>
  <c r="AN100" i="4"/>
  <c r="AN80" i="4"/>
  <c r="AN17" i="4"/>
  <c r="B35" i="2"/>
  <c r="B159" i="2" s="1"/>
  <c r="B42" i="2"/>
  <c r="B51" i="2" s="1"/>
  <c r="AN11" i="4"/>
  <c r="AN88" i="4"/>
  <c r="AN53" i="4"/>
  <c r="AN75" i="4"/>
  <c r="AN62" i="4"/>
  <c r="AN99" i="4"/>
  <c r="AN83" i="4"/>
  <c r="AN18" i="4"/>
  <c r="AN66" i="4"/>
  <c r="AN73" i="4"/>
  <c r="AN69" i="4"/>
  <c r="AN102" i="4"/>
  <c r="AN37" i="4"/>
  <c r="AN16" i="4"/>
  <c r="AN104" i="4"/>
  <c r="AN50" i="4"/>
  <c r="AN55" i="4"/>
  <c r="C34" i="3"/>
  <c r="A683" i="3"/>
  <c r="AN22" i="4"/>
  <c r="AN58" i="4"/>
  <c r="D25" i="3"/>
  <c r="A682" i="3"/>
  <c r="D682" i="3" s="1"/>
  <c r="AP33" i="4"/>
  <c r="AJ33" i="4"/>
  <c r="AI33" i="4"/>
  <c r="D33" i="3"/>
  <c r="D24" i="3"/>
  <c r="E60" i="1"/>
  <c r="C12" i="3"/>
  <c r="D11" i="3"/>
  <c r="C32" i="3"/>
  <c r="D13" i="3"/>
  <c r="C29" i="3"/>
  <c r="C15" i="3"/>
  <c r="AN91" i="4"/>
  <c r="AM76" i="4"/>
  <c r="AM103" i="4"/>
  <c r="AM87" i="4"/>
  <c r="AM69" i="4"/>
  <c r="AM75" i="4"/>
  <c r="AM21" i="4"/>
  <c r="AM73" i="4"/>
  <c r="BG17" i="4"/>
  <c r="AM13" i="4"/>
  <c r="AM91" i="4"/>
  <c r="AM86" i="4"/>
  <c r="AM14" i="4"/>
  <c r="BG11" i="4"/>
  <c r="AM37" i="4"/>
  <c r="AM41" i="4"/>
  <c r="AM51" i="4"/>
  <c r="BG16" i="4"/>
  <c r="AM26" i="4"/>
  <c r="AM54" i="4"/>
  <c r="AM39" i="4"/>
  <c r="AM29" i="4"/>
  <c r="AM109" i="4"/>
  <c r="AM100" i="4"/>
  <c r="AM12" i="4"/>
  <c r="AM45" i="4"/>
  <c r="AM25" i="4"/>
  <c r="AM52" i="4"/>
  <c r="AM97" i="4"/>
  <c r="AM84" i="4"/>
  <c r="AM20" i="4"/>
  <c r="AM30" i="4"/>
  <c r="AM93" i="4"/>
  <c r="AM96" i="4"/>
  <c r="AM58" i="4"/>
  <c r="AM17" i="4"/>
  <c r="AM48" i="4"/>
  <c r="AM92" i="4"/>
  <c r="AM70" i="4"/>
  <c r="AM90" i="4"/>
  <c r="AM79" i="4"/>
  <c r="BG9" i="4"/>
  <c r="AM107" i="4"/>
  <c r="AM67" i="4"/>
  <c r="AM61" i="4"/>
  <c r="AM59" i="4"/>
  <c r="AM62" i="4"/>
  <c r="AM68" i="4"/>
  <c r="AM108" i="4"/>
  <c r="AM56" i="4"/>
  <c r="AM101" i="4"/>
  <c r="AM40" i="4"/>
  <c r="AM50" i="4"/>
  <c r="AM89" i="4"/>
  <c r="AM66" i="4"/>
  <c r="AM38" i="4"/>
  <c r="B72" i="4"/>
  <c r="AM74" i="4"/>
  <c r="AM11" i="4"/>
  <c r="AM15" i="4"/>
  <c r="AM85" i="4"/>
  <c r="AM71" i="4"/>
  <c r="BG15" i="4"/>
  <c r="AM19" i="4"/>
  <c r="AM72" i="4"/>
  <c r="AM88" i="4"/>
  <c r="AM47" i="4"/>
  <c r="BG13" i="4"/>
  <c r="AM16" i="4"/>
  <c r="AM18" i="4"/>
  <c r="BG14" i="4"/>
  <c r="AM44" i="4"/>
  <c r="AM78" i="4"/>
  <c r="AM102" i="4"/>
  <c r="AM46" i="4"/>
  <c r="BG12" i="4"/>
  <c r="AM9" i="4"/>
  <c r="AM77" i="4"/>
  <c r="AM57" i="4"/>
  <c r="AM43" i="4"/>
  <c r="AM34" i="4"/>
  <c r="AM95" i="4"/>
  <c r="AM49" i="4"/>
  <c r="AM55" i="4"/>
  <c r="AM94" i="4"/>
  <c r="AM83" i="4"/>
  <c r="AM23" i="4"/>
  <c r="AM32" i="4"/>
  <c r="AM99" i="4"/>
  <c r="AM24" i="4"/>
  <c r="AM80" i="4"/>
  <c r="AM104" i="4"/>
  <c r="AM31" i="4"/>
  <c r="AM105" i="4"/>
  <c r="AM22" i="4"/>
  <c r="AM81" i="4"/>
  <c r="AM64" i="4"/>
  <c r="AM28" i="4"/>
  <c r="AM42" i="4"/>
  <c r="AM82" i="4"/>
  <c r="AM98" i="4"/>
  <c r="AM65" i="4"/>
  <c r="AM36" i="4"/>
  <c r="AM63" i="4"/>
  <c r="AM27" i="4"/>
  <c r="AM53" i="4"/>
  <c r="AM33" i="4"/>
  <c r="AM60" i="4"/>
  <c r="AM106" i="4"/>
  <c r="AM35" i="4"/>
  <c r="D32" i="3"/>
  <c r="C31" i="3"/>
  <c r="D16" i="3"/>
  <c r="D26" i="3"/>
  <c r="C37" i="3"/>
  <c r="D30" i="3"/>
  <c r="C36" i="3"/>
  <c r="C11" i="3"/>
  <c r="D35" i="3"/>
  <c r="D34" i="3"/>
  <c r="D20" i="3"/>
  <c r="D10" i="3"/>
  <c r="D29" i="3"/>
  <c r="D27" i="3"/>
  <c r="C10" i="3"/>
  <c r="B147" i="2"/>
  <c r="G17" i="3" s="1"/>
  <c r="H17" i="3" s="1"/>
  <c r="E59" i="1"/>
  <c r="AI65" i="4"/>
  <c r="I65" i="4"/>
  <c r="AJ65" i="4"/>
  <c r="AP65" i="4"/>
  <c r="C24" i="3"/>
  <c r="B91" i="2"/>
  <c r="B276" i="2"/>
  <c r="C33" i="3"/>
  <c r="D23" i="3"/>
  <c r="D36" i="3"/>
  <c r="C9" i="3"/>
  <c r="C17" i="3"/>
  <c r="C16" i="3"/>
  <c r="D31" i="3"/>
  <c r="D18" i="3"/>
  <c r="C20" i="3"/>
  <c r="C18" i="3"/>
  <c r="D28" i="3"/>
  <c r="C28" i="3"/>
  <c r="C27" i="3"/>
  <c r="D15" i="3"/>
  <c r="D17" i="3"/>
  <c r="C22" i="3"/>
  <c r="C35" i="3"/>
  <c r="D19" i="3"/>
  <c r="C19" i="3"/>
  <c r="C23" i="3"/>
  <c r="D37" i="3"/>
  <c r="C14" i="3"/>
  <c r="D22" i="3"/>
  <c r="D9" i="3"/>
  <c r="C26" i="3"/>
  <c r="C30" i="3"/>
  <c r="D14" i="3"/>
  <c r="D12" i="3"/>
  <c r="C21" i="3"/>
  <c r="D21" i="3"/>
  <c r="C13" i="3"/>
  <c r="AQ38" i="3"/>
  <c r="A39" i="3"/>
  <c r="B38" i="3"/>
  <c r="AR38" i="3"/>
  <c r="C38" i="3"/>
  <c r="D38" i="3"/>
  <c r="E110" i="1" l="1"/>
  <c r="E109" i="1"/>
  <c r="B221" i="2"/>
  <c r="B222" i="2" s="1"/>
  <c r="AD132" i="4"/>
  <c r="AE132" i="4" s="1"/>
  <c r="L132" i="4"/>
  <c r="Z132" i="4" s="1"/>
  <c r="U132" i="4"/>
  <c r="V132" i="4" s="1"/>
  <c r="W132" i="4" s="1"/>
  <c r="N132" i="4"/>
  <c r="O132" i="4" s="1"/>
  <c r="Q132" i="4" s="1"/>
  <c r="X132" i="4"/>
  <c r="Y132" i="4" s="1"/>
  <c r="R132" i="4"/>
  <c r="S132" i="4" s="1"/>
  <c r="T132" i="4" s="1"/>
  <c r="R198" i="4"/>
  <c r="S198" i="4" s="1"/>
  <c r="T198" i="4" s="1"/>
  <c r="N184" i="4"/>
  <c r="O184" i="4" s="1"/>
  <c r="Q184" i="4" s="1"/>
  <c r="N192" i="4"/>
  <c r="O192" i="4" s="1"/>
  <c r="Q192" i="4" s="1"/>
  <c r="L201" i="4"/>
  <c r="AF201" i="4" s="1"/>
  <c r="X184" i="4"/>
  <c r="Y184" i="4" s="1"/>
  <c r="AD184" i="4"/>
  <c r="AE184" i="4" s="1"/>
  <c r="X201" i="4"/>
  <c r="Y201" i="4" s="1"/>
  <c r="AD192" i="4"/>
  <c r="AE192" i="4" s="1"/>
  <c r="X192" i="4"/>
  <c r="Y192" i="4" s="1"/>
  <c r="R201" i="4"/>
  <c r="S201" i="4" s="1"/>
  <c r="T201" i="4" s="1"/>
  <c r="R184" i="4"/>
  <c r="S184" i="4" s="1"/>
  <c r="T184" i="4" s="1"/>
  <c r="R192" i="4"/>
  <c r="S192" i="4" s="1"/>
  <c r="T192" i="4" s="1"/>
  <c r="U184" i="4"/>
  <c r="V184" i="4" s="1"/>
  <c r="W184" i="4" s="1"/>
  <c r="U201" i="4"/>
  <c r="V201" i="4" s="1"/>
  <c r="W201" i="4" s="1"/>
  <c r="N201" i="4"/>
  <c r="O201" i="4" s="1"/>
  <c r="Q201" i="4" s="1"/>
  <c r="L184" i="4"/>
  <c r="AB184" i="4" s="1"/>
  <c r="L192" i="4"/>
  <c r="AB192" i="4" s="1"/>
  <c r="U192" i="4"/>
  <c r="V192" i="4" s="1"/>
  <c r="W192" i="4" s="1"/>
  <c r="AD201" i="4"/>
  <c r="AE201" i="4" s="1"/>
  <c r="U198" i="4"/>
  <c r="V198" i="4" s="1"/>
  <c r="W198" i="4" s="1"/>
  <c r="AD121" i="4"/>
  <c r="AE121" i="4" s="1"/>
  <c r="N121" i="4"/>
  <c r="O121" i="4" s="1"/>
  <c r="Q121" i="4" s="1"/>
  <c r="AD166" i="4"/>
  <c r="AE166" i="4" s="1"/>
  <c r="N166" i="4"/>
  <c r="O166" i="4" s="1"/>
  <c r="Q166" i="4" s="1"/>
  <c r="U166" i="4"/>
  <c r="V166" i="4" s="1"/>
  <c r="W166" i="4" s="1"/>
  <c r="R166" i="4"/>
  <c r="S166" i="4" s="1"/>
  <c r="T166" i="4" s="1"/>
  <c r="X166" i="4"/>
  <c r="Y166" i="4" s="1"/>
  <c r="L166" i="4"/>
  <c r="AF166" i="4" s="1"/>
  <c r="AD198" i="4"/>
  <c r="AE198" i="4" s="1"/>
  <c r="R121" i="4"/>
  <c r="S121" i="4" s="1"/>
  <c r="T121" i="4" s="1"/>
  <c r="U121" i="4"/>
  <c r="V121" i="4" s="1"/>
  <c r="W121" i="4" s="1"/>
  <c r="X198" i="4"/>
  <c r="Y198" i="4" s="1"/>
  <c r="L198" i="4"/>
  <c r="Z198" i="4" s="1"/>
  <c r="X121" i="4"/>
  <c r="Y121" i="4" s="1"/>
  <c r="L121" i="4"/>
  <c r="M121" i="4" s="1"/>
  <c r="AA121" i="4" s="1"/>
  <c r="N198" i="4"/>
  <c r="O198" i="4" s="1"/>
  <c r="Q198" i="4" s="1"/>
  <c r="X170" i="4"/>
  <c r="Y170" i="4" s="1"/>
  <c r="X125" i="4"/>
  <c r="Y125" i="4" s="1"/>
  <c r="L125" i="4"/>
  <c r="AF125" i="4" s="1"/>
  <c r="R138" i="4"/>
  <c r="S138" i="4" s="1"/>
  <c r="T138" i="4" s="1"/>
  <c r="R200" i="4"/>
  <c r="S200" i="4" s="1"/>
  <c r="T200" i="4" s="1"/>
  <c r="AD200" i="4"/>
  <c r="AE200" i="4" s="1"/>
  <c r="L200" i="4"/>
  <c r="M200" i="4" s="1"/>
  <c r="AA200" i="4" s="1"/>
  <c r="X200" i="4"/>
  <c r="Y200" i="4" s="1"/>
  <c r="L186" i="4"/>
  <c r="M186" i="4" s="1"/>
  <c r="AA186" i="4" s="1"/>
  <c r="R183" i="4"/>
  <c r="S183" i="4" s="1"/>
  <c r="T183" i="4" s="1"/>
  <c r="N208" i="4"/>
  <c r="O208" i="4" s="1"/>
  <c r="Q208" i="4" s="1"/>
  <c r="U138" i="4"/>
  <c r="V138" i="4" s="1"/>
  <c r="W138" i="4" s="1"/>
  <c r="U208" i="4"/>
  <c r="V208" i="4" s="1"/>
  <c r="W208" i="4" s="1"/>
  <c r="X208" i="4"/>
  <c r="Y208" i="4" s="1"/>
  <c r="L208" i="4"/>
  <c r="AB208" i="4" s="1"/>
  <c r="AD208" i="4"/>
  <c r="AE208" i="4" s="1"/>
  <c r="R208" i="4"/>
  <c r="S208" i="4" s="1"/>
  <c r="T208" i="4" s="1"/>
  <c r="N170" i="4"/>
  <c r="O170" i="4" s="1"/>
  <c r="Q170" i="4" s="1"/>
  <c r="N125" i="4"/>
  <c r="O125" i="4" s="1"/>
  <c r="Q125" i="4" s="1"/>
  <c r="AD138" i="4"/>
  <c r="AE138" i="4" s="1"/>
  <c r="X138" i="4"/>
  <c r="Y138" i="4" s="1"/>
  <c r="N183" i="4"/>
  <c r="O183" i="4" s="1"/>
  <c r="Q183" i="4" s="1"/>
  <c r="N141" i="4"/>
  <c r="O141" i="4" s="1"/>
  <c r="Q141" i="4" s="1"/>
  <c r="X154" i="4"/>
  <c r="Y154" i="4" s="1"/>
  <c r="U186" i="4"/>
  <c r="V186" i="4" s="1"/>
  <c r="W186" i="4" s="1"/>
  <c r="R186" i="4"/>
  <c r="S186" i="4" s="1"/>
  <c r="T186" i="4" s="1"/>
  <c r="AD141" i="4"/>
  <c r="AE141" i="4" s="1"/>
  <c r="U127" i="4"/>
  <c r="V127" i="4" s="1"/>
  <c r="W127" i="4" s="1"/>
  <c r="U183" i="4"/>
  <c r="V183" i="4" s="1"/>
  <c r="W183" i="4" s="1"/>
  <c r="L138" i="4"/>
  <c r="M138" i="4" s="1"/>
  <c r="AA138" i="4" s="1"/>
  <c r="X183" i="4"/>
  <c r="Y183" i="4" s="1"/>
  <c r="R141" i="4"/>
  <c r="S141" i="4" s="1"/>
  <c r="T141" i="4" s="1"/>
  <c r="AD186" i="4"/>
  <c r="AE186" i="4" s="1"/>
  <c r="N186" i="4"/>
  <c r="O186" i="4" s="1"/>
  <c r="Q186" i="4" s="1"/>
  <c r="U141" i="4"/>
  <c r="V141" i="4" s="1"/>
  <c r="W141" i="4" s="1"/>
  <c r="X186" i="4"/>
  <c r="Y186" i="4" s="1"/>
  <c r="R154" i="4"/>
  <c r="S154" i="4" s="1"/>
  <c r="T154" i="4" s="1"/>
  <c r="X141" i="4"/>
  <c r="Y141" i="4" s="1"/>
  <c r="L127" i="4"/>
  <c r="AF127" i="4" s="1"/>
  <c r="AD183" i="4"/>
  <c r="AE183" i="4" s="1"/>
  <c r="N138" i="4"/>
  <c r="O138" i="4" s="1"/>
  <c r="Q138" i="4" s="1"/>
  <c r="L183" i="4"/>
  <c r="M183" i="4" s="1"/>
  <c r="AA183" i="4" s="1"/>
  <c r="L141" i="4"/>
  <c r="Z141" i="4" s="1"/>
  <c r="R170" i="4"/>
  <c r="S170" i="4" s="1"/>
  <c r="T170" i="4" s="1"/>
  <c r="U125" i="4"/>
  <c r="V125" i="4" s="1"/>
  <c r="W125" i="4" s="1"/>
  <c r="N154" i="4"/>
  <c r="O154" i="4" s="1"/>
  <c r="Q154" i="4" s="1"/>
  <c r="U170" i="4"/>
  <c r="V170" i="4" s="1"/>
  <c r="W170" i="4" s="1"/>
  <c r="AD125" i="4"/>
  <c r="AE125" i="4" s="1"/>
  <c r="R127" i="4"/>
  <c r="S127" i="4" s="1"/>
  <c r="T127" i="4" s="1"/>
  <c r="U200" i="4"/>
  <c r="V200" i="4" s="1"/>
  <c r="W200" i="4" s="1"/>
  <c r="N200" i="4"/>
  <c r="O200" i="4" s="1"/>
  <c r="Q200" i="4" s="1"/>
  <c r="AD170" i="4"/>
  <c r="AE170" i="4" s="1"/>
  <c r="U154" i="4"/>
  <c r="V154" i="4" s="1"/>
  <c r="W154" i="4" s="1"/>
  <c r="L154" i="4"/>
  <c r="AB154" i="4" s="1"/>
  <c r="AD127" i="4"/>
  <c r="AE127" i="4" s="1"/>
  <c r="N127" i="4"/>
  <c r="O127" i="4" s="1"/>
  <c r="Q127" i="4" s="1"/>
  <c r="AD154" i="4"/>
  <c r="AE154" i="4" s="1"/>
  <c r="R125" i="4"/>
  <c r="S125" i="4" s="1"/>
  <c r="T125" i="4" s="1"/>
  <c r="X127" i="4"/>
  <c r="Y127" i="4" s="1"/>
  <c r="L170" i="4"/>
  <c r="Z170" i="4" s="1"/>
  <c r="AD134" i="4"/>
  <c r="AE134" i="4" s="1"/>
  <c r="N147" i="4"/>
  <c r="O147" i="4" s="1"/>
  <c r="Q147" i="4" s="1"/>
  <c r="X134" i="4"/>
  <c r="Y134" i="4" s="1"/>
  <c r="AD188" i="4"/>
  <c r="AE188" i="4" s="1"/>
  <c r="N188" i="4"/>
  <c r="O188" i="4" s="1"/>
  <c r="Q188" i="4" s="1"/>
  <c r="R134" i="4"/>
  <c r="S134" i="4" s="1"/>
  <c r="T134" i="4" s="1"/>
  <c r="R188" i="4"/>
  <c r="S188" i="4" s="1"/>
  <c r="T188" i="4" s="1"/>
  <c r="L139" i="4"/>
  <c r="M139" i="4" s="1"/>
  <c r="AA139" i="4" s="1"/>
  <c r="AD150" i="4"/>
  <c r="AE150" i="4" s="1"/>
  <c r="R139" i="4"/>
  <c r="S139" i="4" s="1"/>
  <c r="T139" i="4" s="1"/>
  <c r="L150" i="4"/>
  <c r="AF150" i="4" s="1"/>
  <c r="U139" i="4"/>
  <c r="V139" i="4" s="1"/>
  <c r="W139" i="4" s="1"/>
  <c r="X150" i="4"/>
  <c r="Y150" i="4" s="1"/>
  <c r="AD139" i="4"/>
  <c r="AE139" i="4" s="1"/>
  <c r="U150" i="4"/>
  <c r="V150" i="4" s="1"/>
  <c r="W150" i="4" s="1"/>
  <c r="X139" i="4"/>
  <c r="Y139" i="4" s="1"/>
  <c r="U188" i="4"/>
  <c r="V188" i="4" s="1"/>
  <c r="W188" i="4" s="1"/>
  <c r="R150" i="4"/>
  <c r="S150" i="4" s="1"/>
  <c r="T150" i="4" s="1"/>
  <c r="N134" i="4"/>
  <c r="O134" i="4" s="1"/>
  <c r="Q134" i="4" s="1"/>
  <c r="U134" i="4"/>
  <c r="V134" i="4" s="1"/>
  <c r="W134" i="4" s="1"/>
  <c r="N139" i="4"/>
  <c r="O139" i="4" s="1"/>
  <c r="Q139" i="4" s="1"/>
  <c r="X188" i="4"/>
  <c r="Y188" i="4" s="1"/>
  <c r="N150" i="4"/>
  <c r="O150" i="4" s="1"/>
  <c r="Q150" i="4" s="1"/>
  <c r="L188" i="4"/>
  <c r="M188" i="4" s="1"/>
  <c r="AA188" i="4" s="1"/>
  <c r="L134" i="4"/>
  <c r="Z134" i="4" s="1"/>
  <c r="X118" i="4"/>
  <c r="Y118" i="4" s="1"/>
  <c r="N118" i="4"/>
  <c r="O118" i="4" s="1"/>
  <c r="Q118" i="4" s="1"/>
  <c r="AD205" i="4"/>
  <c r="AE205" i="4" s="1"/>
  <c r="N179" i="4"/>
  <c r="O179" i="4" s="1"/>
  <c r="Q179" i="4" s="1"/>
  <c r="L119" i="4"/>
  <c r="AF119" i="4" s="1"/>
  <c r="N171" i="4"/>
  <c r="O171" i="4" s="1"/>
  <c r="Q171" i="4" s="1"/>
  <c r="R119" i="4"/>
  <c r="S119" i="4" s="1"/>
  <c r="T119" i="4" s="1"/>
  <c r="L118" i="4"/>
  <c r="AB118" i="4" s="1"/>
  <c r="X171" i="4"/>
  <c r="Y171" i="4" s="1"/>
  <c r="L179" i="4"/>
  <c r="AF179" i="4" s="1"/>
  <c r="U119" i="4"/>
  <c r="V119" i="4" s="1"/>
  <c r="W119" i="4" s="1"/>
  <c r="U171" i="4"/>
  <c r="V171" i="4" s="1"/>
  <c r="W171" i="4" s="1"/>
  <c r="X179" i="4"/>
  <c r="Y179" i="4" s="1"/>
  <c r="X119" i="4"/>
  <c r="Y119" i="4" s="1"/>
  <c r="AD118" i="4"/>
  <c r="AE118" i="4" s="1"/>
  <c r="AD119" i="4"/>
  <c r="AE119" i="4" s="1"/>
  <c r="U118" i="4"/>
  <c r="V118" i="4" s="1"/>
  <c r="W118" i="4" s="1"/>
  <c r="R171" i="4"/>
  <c r="S171" i="4" s="1"/>
  <c r="T171" i="4" s="1"/>
  <c r="U179" i="4"/>
  <c r="V179" i="4" s="1"/>
  <c r="W179" i="4" s="1"/>
  <c r="AD179" i="4"/>
  <c r="AE179" i="4" s="1"/>
  <c r="N119" i="4"/>
  <c r="O119" i="4" s="1"/>
  <c r="Q119" i="4" s="1"/>
  <c r="AD171" i="4"/>
  <c r="AE171" i="4" s="1"/>
  <c r="R118" i="4"/>
  <c r="S118" i="4" s="1"/>
  <c r="T118" i="4" s="1"/>
  <c r="L171" i="4"/>
  <c r="AB171" i="4" s="1"/>
  <c r="R179" i="4"/>
  <c r="S179" i="4" s="1"/>
  <c r="T179" i="4" s="1"/>
  <c r="X204" i="4"/>
  <c r="Y204" i="4" s="1"/>
  <c r="U204" i="4"/>
  <c r="V204" i="4" s="1"/>
  <c r="W204" i="4" s="1"/>
  <c r="N204" i="4"/>
  <c r="O204" i="4" s="1"/>
  <c r="Q204" i="4" s="1"/>
  <c r="R205" i="4"/>
  <c r="S205" i="4" s="1"/>
  <c r="T205" i="4" s="1"/>
  <c r="U178" i="4"/>
  <c r="V178" i="4" s="1"/>
  <c r="W178" i="4" s="1"/>
  <c r="R178" i="4"/>
  <c r="S178" i="4" s="1"/>
  <c r="T178" i="4" s="1"/>
  <c r="AD204" i="4"/>
  <c r="AH204" i="4" s="1"/>
  <c r="X178" i="4"/>
  <c r="Y178" i="4" s="1"/>
  <c r="AH198" i="4"/>
  <c r="AH121" i="4"/>
  <c r="AH188" i="4"/>
  <c r="AH166" i="4"/>
  <c r="AH132" i="4"/>
  <c r="AH186" i="4"/>
  <c r="X189" i="4"/>
  <c r="Y189" i="4" s="1"/>
  <c r="U196" i="4"/>
  <c r="V196" i="4" s="1"/>
  <c r="W196" i="4" s="1"/>
  <c r="X147" i="4"/>
  <c r="Y147" i="4" s="1"/>
  <c r="N196" i="4"/>
  <c r="O196" i="4" s="1"/>
  <c r="Q196" i="4" s="1"/>
  <c r="AD178" i="4"/>
  <c r="L204" i="4"/>
  <c r="AF204" i="4" s="1"/>
  <c r="N205" i="4"/>
  <c r="O205" i="4" s="1"/>
  <c r="Q205" i="4" s="1"/>
  <c r="L178" i="4"/>
  <c r="AB178" i="4" s="1"/>
  <c r="X205" i="4"/>
  <c r="Y205" i="4" s="1"/>
  <c r="R204" i="4"/>
  <c r="S204" i="4" s="1"/>
  <c r="T204" i="4" s="1"/>
  <c r="L205" i="4"/>
  <c r="AF205" i="4" s="1"/>
  <c r="N178" i="4"/>
  <c r="O178" i="4" s="1"/>
  <c r="Q178" i="4" s="1"/>
  <c r="U205" i="4"/>
  <c r="V205" i="4" s="1"/>
  <c r="W205" i="4" s="1"/>
  <c r="X136" i="4"/>
  <c r="Y136" i="4" s="1"/>
  <c r="R189" i="4"/>
  <c r="S189" i="4" s="1"/>
  <c r="T189" i="4" s="1"/>
  <c r="AD147" i="4"/>
  <c r="L147" i="4"/>
  <c r="M147" i="4" s="1"/>
  <c r="AA147" i="4" s="1"/>
  <c r="U147" i="4"/>
  <c r="V147" i="4" s="1"/>
  <c r="W147" i="4" s="1"/>
  <c r="R147" i="4"/>
  <c r="S147" i="4" s="1"/>
  <c r="T147" i="4" s="1"/>
  <c r="L187" i="4"/>
  <c r="AF187" i="4" s="1"/>
  <c r="N187" i="4"/>
  <c r="O187" i="4" s="1"/>
  <c r="Q187" i="4" s="1"/>
  <c r="U187" i="4"/>
  <c r="V187" i="4" s="1"/>
  <c r="W187" i="4" s="1"/>
  <c r="U136" i="4"/>
  <c r="V136" i="4" s="1"/>
  <c r="W136" i="4" s="1"/>
  <c r="L136" i="4"/>
  <c r="AB136" i="4" s="1"/>
  <c r="L196" i="4"/>
  <c r="AB196" i="4" s="1"/>
  <c r="N189" i="4"/>
  <c r="O189" i="4" s="1"/>
  <c r="Q189" i="4" s="1"/>
  <c r="AD136" i="4"/>
  <c r="R187" i="4"/>
  <c r="S187" i="4" s="1"/>
  <c r="T187" i="4" s="1"/>
  <c r="U189" i="4"/>
  <c r="V189" i="4" s="1"/>
  <c r="W189" i="4" s="1"/>
  <c r="AD196" i="4"/>
  <c r="R136" i="4"/>
  <c r="S136" i="4" s="1"/>
  <c r="T136" i="4" s="1"/>
  <c r="AD187" i="4"/>
  <c r="X196" i="4"/>
  <c r="Y196" i="4" s="1"/>
  <c r="L189" i="4"/>
  <c r="Z189" i="4" s="1"/>
  <c r="X187" i="4"/>
  <c r="Y187" i="4" s="1"/>
  <c r="N136" i="4"/>
  <c r="O136" i="4" s="1"/>
  <c r="Q136" i="4" s="1"/>
  <c r="R196" i="4"/>
  <c r="S196" i="4" s="1"/>
  <c r="T196" i="4" s="1"/>
  <c r="AD189" i="4"/>
  <c r="AD193" i="4"/>
  <c r="X199" i="4"/>
  <c r="Y199" i="4" s="1"/>
  <c r="L193" i="4"/>
  <c r="AF193" i="4" s="1"/>
  <c r="N193" i="4"/>
  <c r="O193" i="4" s="1"/>
  <c r="Q193" i="4" s="1"/>
  <c r="X193" i="4"/>
  <c r="Y193" i="4" s="1"/>
  <c r="R193" i="4"/>
  <c r="S193" i="4" s="1"/>
  <c r="T193" i="4" s="1"/>
  <c r="U193" i="4"/>
  <c r="V193" i="4" s="1"/>
  <c r="W193" i="4" s="1"/>
  <c r="U129" i="4"/>
  <c r="V129" i="4" s="1"/>
  <c r="W129" i="4" s="1"/>
  <c r="N206" i="4"/>
  <c r="O206" i="4" s="1"/>
  <c r="Q206" i="4" s="1"/>
  <c r="L129" i="4"/>
  <c r="AB129" i="4" s="1"/>
  <c r="AD129" i="4"/>
  <c r="AD199" i="4"/>
  <c r="N199" i="4"/>
  <c r="O199" i="4" s="1"/>
  <c r="Q199" i="4" s="1"/>
  <c r="R206" i="4"/>
  <c r="S206" i="4" s="1"/>
  <c r="T206" i="4" s="1"/>
  <c r="R142" i="4"/>
  <c r="S142" i="4" s="1"/>
  <c r="T142" i="4" s="1"/>
  <c r="U206" i="4"/>
  <c r="V206" i="4" s="1"/>
  <c r="W206" i="4" s="1"/>
  <c r="L199" i="4"/>
  <c r="AF199" i="4" s="1"/>
  <c r="R129" i="4"/>
  <c r="S129" i="4" s="1"/>
  <c r="T129" i="4" s="1"/>
  <c r="AD206" i="4"/>
  <c r="N129" i="4"/>
  <c r="O129" i="4" s="1"/>
  <c r="Q129" i="4" s="1"/>
  <c r="X206" i="4"/>
  <c r="Y206" i="4" s="1"/>
  <c r="U199" i="4"/>
  <c r="V199" i="4" s="1"/>
  <c r="W199" i="4" s="1"/>
  <c r="R199" i="4"/>
  <c r="S199" i="4" s="1"/>
  <c r="T199" i="4" s="1"/>
  <c r="L206" i="4"/>
  <c r="Z206" i="4" s="1"/>
  <c r="X129" i="4"/>
  <c r="Y129" i="4" s="1"/>
  <c r="R197" i="4"/>
  <c r="S197" i="4" s="1"/>
  <c r="T197" i="4" s="1"/>
  <c r="E243" i="2"/>
  <c r="AD197" i="4"/>
  <c r="N197" i="4"/>
  <c r="O197" i="4" s="1"/>
  <c r="Q197" i="4" s="1"/>
  <c r="L155" i="4"/>
  <c r="AF155" i="4" s="1"/>
  <c r="L197" i="4"/>
  <c r="AB197" i="4" s="1"/>
  <c r="U197" i="4"/>
  <c r="V197" i="4" s="1"/>
  <c r="W197" i="4" s="1"/>
  <c r="X195" i="4"/>
  <c r="Y195" i="4" s="1"/>
  <c r="X197" i="4"/>
  <c r="Y197" i="4" s="1"/>
  <c r="N156" i="4"/>
  <c r="O156" i="4" s="1"/>
  <c r="Q156" i="4" s="1"/>
  <c r="X114" i="4"/>
  <c r="Y114" i="4" s="1"/>
  <c r="AD156" i="4"/>
  <c r="L174" i="4"/>
  <c r="M174" i="4" s="1"/>
  <c r="AA174" i="4" s="1"/>
  <c r="X181" i="4"/>
  <c r="Y181" i="4" s="1"/>
  <c r="AD145" i="4"/>
  <c r="K145" i="4"/>
  <c r="X130" i="4"/>
  <c r="Y130" i="4" s="1"/>
  <c r="K130" i="4"/>
  <c r="X167" i="4"/>
  <c r="Y167" i="4" s="1"/>
  <c r="K167" i="4"/>
  <c r="M111" i="4"/>
  <c r="AA111" i="4" s="1"/>
  <c r="AB111" i="4"/>
  <c r="X180" i="4"/>
  <c r="Y180" i="4" s="1"/>
  <c r="K180" i="4"/>
  <c r="U172" i="4"/>
  <c r="V172" i="4" s="1"/>
  <c r="W172" i="4" s="1"/>
  <c r="K172" i="4"/>
  <c r="U194" i="4"/>
  <c r="V194" i="4" s="1"/>
  <c r="W194" i="4" s="1"/>
  <c r="K194" i="4"/>
  <c r="L203" i="4"/>
  <c r="K203" i="4"/>
  <c r="L163" i="4"/>
  <c r="K163" i="4"/>
  <c r="R149" i="4"/>
  <c r="S149" i="4" s="1"/>
  <c r="T149" i="4" s="1"/>
  <c r="K149" i="4"/>
  <c r="L80" i="4"/>
  <c r="K80" i="4"/>
  <c r="U182" i="4"/>
  <c r="V182" i="4" s="1"/>
  <c r="W182" i="4" s="1"/>
  <c r="K182" i="4"/>
  <c r="U177" i="4"/>
  <c r="V177" i="4" s="1"/>
  <c r="W177" i="4" s="1"/>
  <c r="K177" i="4"/>
  <c r="X133" i="4"/>
  <c r="Y133" i="4" s="1"/>
  <c r="K133" i="4"/>
  <c r="N114" i="4"/>
  <c r="O114" i="4" s="1"/>
  <c r="Q114" i="4" s="1"/>
  <c r="K114" i="4"/>
  <c r="L48" i="4"/>
  <c r="K48" i="4"/>
  <c r="X157" i="4"/>
  <c r="Y157" i="4" s="1"/>
  <c r="K157" i="4"/>
  <c r="U152" i="4"/>
  <c r="V152" i="4" s="1"/>
  <c r="W152" i="4" s="1"/>
  <c r="K152" i="4"/>
  <c r="X202" i="4"/>
  <c r="Y202" i="4" s="1"/>
  <c r="K202" i="4"/>
  <c r="U162" i="4"/>
  <c r="V162" i="4" s="1"/>
  <c r="W162" i="4" s="1"/>
  <c r="AD140" i="4"/>
  <c r="K140" i="4"/>
  <c r="U142" i="4"/>
  <c r="V142" i="4" s="1"/>
  <c r="W142" i="4" s="1"/>
  <c r="AD163" i="4"/>
  <c r="AD151" i="4"/>
  <c r="K151" i="4"/>
  <c r="X168" i="4"/>
  <c r="Y168" i="4" s="1"/>
  <c r="K168" i="4"/>
  <c r="N163" i="4"/>
  <c r="O163" i="4" s="1"/>
  <c r="Q163" i="4" s="1"/>
  <c r="X112" i="4"/>
  <c r="Y112" i="4" s="1"/>
  <c r="K112" i="4"/>
  <c r="R195" i="4"/>
  <c r="S195" i="4" s="1"/>
  <c r="T195" i="4" s="1"/>
  <c r="K195" i="4"/>
  <c r="N158" i="4"/>
  <c r="O158" i="4" s="1"/>
  <c r="Q158" i="4" s="1"/>
  <c r="K158" i="4"/>
  <c r="R135" i="4"/>
  <c r="S135" i="4" s="1"/>
  <c r="T135" i="4" s="1"/>
  <c r="K135" i="4"/>
  <c r="N143" i="4"/>
  <c r="O143" i="4" s="1"/>
  <c r="Q143" i="4" s="1"/>
  <c r="K143" i="4"/>
  <c r="U169" i="4"/>
  <c r="V169" i="4" s="1"/>
  <c r="W169" i="4" s="1"/>
  <c r="K169" i="4"/>
  <c r="X113" i="4"/>
  <c r="Y113" i="4" s="1"/>
  <c r="K113" i="4"/>
  <c r="AD123" i="4"/>
  <c r="K123" i="4"/>
  <c r="N111" i="4"/>
  <c r="O111" i="4" s="1"/>
  <c r="Q111" i="4" s="1"/>
  <c r="K111" i="4"/>
  <c r="AF111" i="4" s="1"/>
  <c r="L162" i="4"/>
  <c r="K162" i="4"/>
  <c r="AD120" i="4"/>
  <c r="K120" i="4"/>
  <c r="U126" i="4"/>
  <c r="V126" i="4" s="1"/>
  <c r="W126" i="4" s="1"/>
  <c r="K126" i="4"/>
  <c r="N181" i="4"/>
  <c r="O181" i="4" s="1"/>
  <c r="Q181" i="4" s="1"/>
  <c r="K181" i="4"/>
  <c r="AD131" i="4"/>
  <c r="K131" i="4"/>
  <c r="X191" i="4"/>
  <c r="Y191" i="4" s="1"/>
  <c r="K191" i="4"/>
  <c r="AD207" i="4"/>
  <c r="K207" i="4"/>
  <c r="U190" i="4"/>
  <c r="V190" i="4" s="1"/>
  <c r="W190" i="4" s="1"/>
  <c r="K190" i="4"/>
  <c r="U122" i="4"/>
  <c r="V122" i="4" s="1"/>
  <c r="W122" i="4" s="1"/>
  <c r="K122" i="4"/>
  <c r="AD203" i="4"/>
  <c r="N203" i="4"/>
  <c r="O203" i="4" s="1"/>
  <c r="Q203" i="4" s="1"/>
  <c r="X124" i="4"/>
  <c r="Y124" i="4" s="1"/>
  <c r="K124" i="4"/>
  <c r="U185" i="4"/>
  <c r="V185" i="4" s="1"/>
  <c r="W185" i="4" s="1"/>
  <c r="K185" i="4"/>
  <c r="AD137" i="4"/>
  <c r="K137" i="4"/>
  <c r="X173" i="4"/>
  <c r="Y173" i="4" s="1"/>
  <c r="K173" i="4"/>
  <c r="R174" i="4"/>
  <c r="S174" i="4" s="1"/>
  <c r="T174" i="4" s="1"/>
  <c r="U111" i="4"/>
  <c r="V111" i="4" s="1"/>
  <c r="W111" i="4" s="1"/>
  <c r="X165" i="4"/>
  <c r="Y165" i="4" s="1"/>
  <c r="K165" i="4"/>
  <c r="AD174" i="4"/>
  <c r="U116" i="4"/>
  <c r="V116" i="4" s="1"/>
  <c r="W116" i="4" s="1"/>
  <c r="K116" i="4"/>
  <c r="R163" i="4"/>
  <c r="S163" i="4" s="1"/>
  <c r="T163" i="4" s="1"/>
  <c r="N146" i="4"/>
  <c r="O146" i="4" s="1"/>
  <c r="Q146" i="4" s="1"/>
  <c r="K146" i="4"/>
  <c r="X175" i="4"/>
  <c r="Y175" i="4" s="1"/>
  <c r="K175" i="4"/>
  <c r="AD209" i="4"/>
  <c r="K209" i="4"/>
  <c r="X160" i="4"/>
  <c r="Y160" i="4" s="1"/>
  <c r="K160" i="4"/>
  <c r="A44" i="16"/>
  <c r="L44" i="16" s="1"/>
  <c r="L65" i="16" s="1"/>
  <c r="N65" i="16" s="1"/>
  <c r="X156" i="4"/>
  <c r="Y156" i="4" s="1"/>
  <c r="L156" i="4"/>
  <c r="L114" i="4"/>
  <c r="X174" i="4"/>
  <c r="Y174" i="4" s="1"/>
  <c r="L181" i="4"/>
  <c r="N174" i="4"/>
  <c r="O174" i="4" s="1"/>
  <c r="Q174" i="4" s="1"/>
  <c r="L135" i="4"/>
  <c r="L158" i="4"/>
  <c r="L143" i="4"/>
  <c r="X135" i="4"/>
  <c r="Y135" i="4" s="1"/>
  <c r="AD148" i="4"/>
  <c r="U146" i="4"/>
  <c r="V146" i="4" s="1"/>
  <c r="W146" i="4" s="1"/>
  <c r="U175" i="4"/>
  <c r="V175" i="4" s="1"/>
  <c r="W175" i="4" s="1"/>
  <c r="AD158" i="4"/>
  <c r="N112" i="4"/>
  <c r="O112" i="4" s="1"/>
  <c r="Q112" i="4" s="1"/>
  <c r="N135" i="4"/>
  <c r="O135" i="4" s="1"/>
  <c r="Q135" i="4" s="1"/>
  <c r="AD112" i="4"/>
  <c r="X143" i="4"/>
  <c r="Y143" i="4" s="1"/>
  <c r="U135" i="4"/>
  <c r="V135" i="4" s="1"/>
  <c r="W135" i="4" s="1"/>
  <c r="X155" i="4"/>
  <c r="Y155" i="4" s="1"/>
  <c r="U155" i="4"/>
  <c r="V155" i="4" s="1"/>
  <c r="W155" i="4" s="1"/>
  <c r="X158" i="4"/>
  <c r="Y158" i="4" s="1"/>
  <c r="AD143" i="4"/>
  <c r="R175" i="4"/>
  <c r="S175" i="4" s="1"/>
  <c r="T175" i="4" s="1"/>
  <c r="AD195" i="4"/>
  <c r="AD135" i="4"/>
  <c r="N195" i="4"/>
  <c r="O195" i="4" s="1"/>
  <c r="Q195" i="4" s="1"/>
  <c r="U112" i="4"/>
  <c r="V112" i="4" s="1"/>
  <c r="W112" i="4" s="1"/>
  <c r="R143" i="4"/>
  <c r="S143" i="4" s="1"/>
  <c r="T143" i="4" s="1"/>
  <c r="R148" i="4"/>
  <c r="S148" i="4" s="1"/>
  <c r="T148" i="4" s="1"/>
  <c r="R155" i="4"/>
  <c r="S155" i="4" s="1"/>
  <c r="T155" i="4" s="1"/>
  <c r="AD155" i="4"/>
  <c r="R112" i="4"/>
  <c r="S112" i="4" s="1"/>
  <c r="T112" i="4" s="1"/>
  <c r="L195" i="4"/>
  <c r="N155" i="4"/>
  <c r="O155" i="4" s="1"/>
  <c r="Q155" i="4" s="1"/>
  <c r="L112" i="4"/>
  <c r="U143" i="4"/>
  <c r="V143" i="4" s="1"/>
  <c r="W143" i="4" s="1"/>
  <c r="U195" i="4"/>
  <c r="V195" i="4" s="1"/>
  <c r="W195" i="4" s="1"/>
  <c r="L209" i="4"/>
  <c r="U123" i="4"/>
  <c r="V123" i="4" s="1"/>
  <c r="W123" i="4" s="1"/>
  <c r="X126" i="4"/>
  <c r="Y126" i="4" s="1"/>
  <c r="X148" i="4"/>
  <c r="Y148" i="4" s="1"/>
  <c r="AD160" i="4"/>
  <c r="L160" i="4"/>
  <c r="R158" i="4"/>
  <c r="S158" i="4" s="1"/>
  <c r="T158" i="4" s="1"/>
  <c r="U117" i="4"/>
  <c r="V117" i="4" s="1"/>
  <c r="W117" i="4" s="1"/>
  <c r="R146" i="4"/>
  <c r="S146" i="4" s="1"/>
  <c r="T146" i="4" s="1"/>
  <c r="R117" i="4"/>
  <c r="S117" i="4" s="1"/>
  <c r="T117" i="4" s="1"/>
  <c r="X117" i="4"/>
  <c r="Y117" i="4" s="1"/>
  <c r="X152" i="4"/>
  <c r="Y152" i="4" s="1"/>
  <c r="R209" i="4"/>
  <c r="S209" i="4" s="1"/>
  <c r="T209" i="4" s="1"/>
  <c r="L148" i="4"/>
  <c r="N148" i="4"/>
  <c r="O148" i="4" s="1"/>
  <c r="Q148" i="4" s="1"/>
  <c r="U148" i="4"/>
  <c r="V148" i="4" s="1"/>
  <c r="W148" i="4" s="1"/>
  <c r="U209" i="4"/>
  <c r="V209" i="4" s="1"/>
  <c r="W209" i="4" s="1"/>
  <c r="X146" i="4"/>
  <c r="Y146" i="4" s="1"/>
  <c r="L146" i="4"/>
  <c r="AD146" i="4"/>
  <c r="N117" i="4"/>
  <c r="O117" i="4" s="1"/>
  <c r="Q117" i="4" s="1"/>
  <c r="N175" i="4"/>
  <c r="O175" i="4" s="1"/>
  <c r="Q175" i="4" s="1"/>
  <c r="N209" i="4"/>
  <c r="O209" i="4" s="1"/>
  <c r="Q209" i="4" s="1"/>
  <c r="AD175" i="4"/>
  <c r="U160" i="4"/>
  <c r="V160" i="4" s="1"/>
  <c r="W160" i="4" s="1"/>
  <c r="R160" i="4"/>
  <c r="S160" i="4" s="1"/>
  <c r="T160" i="4" s="1"/>
  <c r="AD191" i="4"/>
  <c r="X209" i="4"/>
  <c r="Y209" i="4" s="1"/>
  <c r="AD117" i="4"/>
  <c r="L117" i="4"/>
  <c r="L175" i="4"/>
  <c r="AD180" i="4"/>
  <c r="N160" i="4"/>
  <c r="O160" i="4" s="1"/>
  <c r="Q160" i="4" s="1"/>
  <c r="X176" i="4"/>
  <c r="Y176" i="4" s="1"/>
  <c r="U176" i="4"/>
  <c r="V176" i="4" s="1"/>
  <c r="W176" i="4" s="1"/>
  <c r="AD130" i="4"/>
  <c r="X149" i="4"/>
  <c r="Y149" i="4" s="1"/>
  <c r="R162" i="4"/>
  <c r="S162" i="4" s="1"/>
  <c r="T162" i="4" s="1"/>
  <c r="AD111" i="4"/>
  <c r="U151" i="4"/>
  <c r="V151" i="4" s="1"/>
  <c r="W151" i="4" s="1"/>
  <c r="U163" i="4"/>
  <c r="V163" i="4" s="1"/>
  <c r="W163" i="4" s="1"/>
  <c r="X145" i="4"/>
  <c r="Y145" i="4" s="1"/>
  <c r="U156" i="4"/>
  <c r="V156" i="4" s="1"/>
  <c r="W156" i="4" s="1"/>
  <c r="AD114" i="4"/>
  <c r="R156" i="4"/>
  <c r="S156" i="4" s="1"/>
  <c r="T156" i="4" s="1"/>
  <c r="X203" i="4"/>
  <c r="Y203" i="4" s="1"/>
  <c r="U149" i="4"/>
  <c r="V149" i="4" s="1"/>
  <c r="W149" i="4" s="1"/>
  <c r="R203" i="4"/>
  <c r="S203" i="4" s="1"/>
  <c r="T203" i="4" s="1"/>
  <c r="AD185" i="4"/>
  <c r="AD202" i="4"/>
  <c r="U173" i="4"/>
  <c r="V173" i="4" s="1"/>
  <c r="W173" i="4" s="1"/>
  <c r="U181" i="4"/>
  <c r="V181" i="4" s="1"/>
  <c r="W181" i="4" s="1"/>
  <c r="X142" i="4"/>
  <c r="Y142" i="4" s="1"/>
  <c r="U174" i="4"/>
  <c r="V174" i="4" s="1"/>
  <c r="W174" i="4" s="1"/>
  <c r="L149" i="4"/>
  <c r="R111" i="4"/>
  <c r="S111" i="4" s="1"/>
  <c r="T111" i="4" s="1"/>
  <c r="X111" i="4"/>
  <c r="Y111" i="4" s="1"/>
  <c r="L142" i="4"/>
  <c r="N142" i="4"/>
  <c r="O142" i="4" s="1"/>
  <c r="Q142" i="4" s="1"/>
  <c r="N149" i="4"/>
  <c r="O149" i="4" s="1"/>
  <c r="Q149" i="4" s="1"/>
  <c r="X169" i="4"/>
  <c r="Y169" i="4" s="1"/>
  <c r="U145" i="4"/>
  <c r="V145" i="4" s="1"/>
  <c r="W145" i="4" s="1"/>
  <c r="U114" i="4"/>
  <c r="V114" i="4" s="1"/>
  <c r="W114" i="4" s="1"/>
  <c r="U203" i="4"/>
  <c r="V203" i="4" s="1"/>
  <c r="W203" i="4" s="1"/>
  <c r="AD149" i="4"/>
  <c r="N162" i="4"/>
  <c r="O162" i="4" s="1"/>
  <c r="Q162" i="4" s="1"/>
  <c r="AD124" i="4"/>
  <c r="AD152" i="4"/>
  <c r="X185" i="4"/>
  <c r="Y185" i="4" s="1"/>
  <c r="AD162" i="4"/>
  <c r="U120" i="4"/>
  <c r="V120" i="4" s="1"/>
  <c r="W120" i="4" s="1"/>
  <c r="AD181" i="4"/>
  <c r="AD142" i="4"/>
  <c r="U165" i="4"/>
  <c r="V165" i="4" s="1"/>
  <c r="W165" i="4" s="1"/>
  <c r="X163" i="4"/>
  <c r="Y163" i="4" s="1"/>
  <c r="R181" i="4"/>
  <c r="S181" i="4" s="1"/>
  <c r="T181" i="4" s="1"/>
  <c r="U158" i="4"/>
  <c r="V158" i="4" s="1"/>
  <c r="W158" i="4" s="1"/>
  <c r="AD168" i="4"/>
  <c r="AD116" i="4"/>
  <c r="U191" i="4"/>
  <c r="V191" i="4" s="1"/>
  <c r="W191" i="4" s="1"/>
  <c r="AD169" i="4"/>
  <c r="AD190" i="4"/>
  <c r="U180" i="4"/>
  <c r="V180" i="4" s="1"/>
  <c r="W180" i="4" s="1"/>
  <c r="U157" i="4"/>
  <c r="V157" i="4" s="1"/>
  <c r="W157" i="4" s="1"/>
  <c r="AD173" i="4"/>
  <c r="AD176" i="4"/>
  <c r="X123" i="4"/>
  <c r="Y123" i="4" s="1"/>
  <c r="X131" i="4"/>
  <c r="Y131" i="4" s="1"/>
  <c r="AD194" i="4"/>
  <c r="U168" i="4"/>
  <c r="V168" i="4" s="1"/>
  <c r="W168" i="4" s="1"/>
  <c r="X116" i="4"/>
  <c r="Y116" i="4" s="1"/>
  <c r="U167" i="4"/>
  <c r="V167" i="4" s="1"/>
  <c r="W167" i="4" s="1"/>
  <c r="AD167" i="4"/>
  <c r="AD133" i="4"/>
  <c r="X190" i="4"/>
  <c r="Y190" i="4" s="1"/>
  <c r="L115" i="4"/>
  <c r="N115" i="4"/>
  <c r="O115" i="4" s="1"/>
  <c r="Q115" i="4" s="1"/>
  <c r="R115" i="4"/>
  <c r="S115" i="4" s="1"/>
  <c r="T115" i="4" s="1"/>
  <c r="U110" i="4"/>
  <c r="V110" i="4" s="1"/>
  <c r="W110" i="4" s="1"/>
  <c r="R110" i="4"/>
  <c r="S110" i="4" s="1"/>
  <c r="T110" i="4" s="1"/>
  <c r="L110" i="4"/>
  <c r="N110" i="4"/>
  <c r="O110" i="4" s="1"/>
  <c r="Q110" i="4" s="1"/>
  <c r="L144" i="4"/>
  <c r="R144" i="4"/>
  <c r="S144" i="4" s="1"/>
  <c r="T144" i="4" s="1"/>
  <c r="N144" i="4"/>
  <c r="O144" i="4" s="1"/>
  <c r="Q144" i="4" s="1"/>
  <c r="X110" i="4"/>
  <c r="Y110" i="4" s="1"/>
  <c r="R153" i="4"/>
  <c r="S153" i="4" s="1"/>
  <c r="T153" i="4" s="1"/>
  <c r="N153" i="4"/>
  <c r="O153" i="4" s="1"/>
  <c r="Q153" i="4" s="1"/>
  <c r="L153" i="4"/>
  <c r="L164" i="4"/>
  <c r="N164" i="4"/>
  <c r="O164" i="4" s="1"/>
  <c r="Q164" i="4" s="1"/>
  <c r="R164" i="4"/>
  <c r="S164" i="4" s="1"/>
  <c r="T164" i="4" s="1"/>
  <c r="L161" i="4"/>
  <c r="R161" i="4"/>
  <c r="S161" i="4" s="1"/>
  <c r="T161" i="4" s="1"/>
  <c r="N161" i="4"/>
  <c r="O161" i="4" s="1"/>
  <c r="Q161" i="4" s="1"/>
  <c r="AD115" i="4"/>
  <c r="N191" i="4"/>
  <c r="O191" i="4" s="1"/>
  <c r="Q191" i="4" s="1"/>
  <c r="L191" i="4"/>
  <c r="R191" i="4"/>
  <c r="S191" i="4" s="1"/>
  <c r="T191" i="4" s="1"/>
  <c r="L169" i="4"/>
  <c r="R169" i="4"/>
  <c r="S169" i="4" s="1"/>
  <c r="T169" i="4" s="1"/>
  <c r="N169" i="4"/>
  <c r="O169" i="4" s="1"/>
  <c r="Q169" i="4" s="1"/>
  <c r="U207" i="4"/>
  <c r="V207" i="4" s="1"/>
  <c r="W207" i="4" s="1"/>
  <c r="X128" i="4"/>
  <c r="Y128" i="4" s="1"/>
  <c r="R128" i="4"/>
  <c r="S128" i="4" s="1"/>
  <c r="T128" i="4" s="1"/>
  <c r="N128" i="4"/>
  <c r="O128" i="4" s="1"/>
  <c r="Q128" i="4" s="1"/>
  <c r="L128" i="4"/>
  <c r="N159" i="4"/>
  <c r="O159" i="4" s="1"/>
  <c r="Q159" i="4" s="1"/>
  <c r="R159" i="4"/>
  <c r="S159" i="4" s="1"/>
  <c r="T159" i="4" s="1"/>
  <c r="L159" i="4"/>
  <c r="R167" i="4"/>
  <c r="S167" i="4" s="1"/>
  <c r="T167" i="4" s="1"/>
  <c r="L167" i="4"/>
  <c r="N167" i="4"/>
  <c r="O167" i="4" s="1"/>
  <c r="Q167" i="4" s="1"/>
  <c r="AD144" i="4"/>
  <c r="U153" i="4"/>
  <c r="V153" i="4" s="1"/>
  <c r="W153" i="4" s="1"/>
  <c r="X164" i="4"/>
  <c r="Y164" i="4" s="1"/>
  <c r="AD172" i="4"/>
  <c r="AD182" i="4"/>
  <c r="N173" i="4"/>
  <c r="O173" i="4" s="1"/>
  <c r="Q173" i="4" s="1"/>
  <c r="R173" i="4"/>
  <c r="S173" i="4" s="1"/>
  <c r="T173" i="4" s="1"/>
  <c r="L173" i="4"/>
  <c r="AD128" i="4"/>
  <c r="L176" i="4"/>
  <c r="R176" i="4"/>
  <c r="S176" i="4" s="1"/>
  <c r="T176" i="4" s="1"/>
  <c r="N176" i="4"/>
  <c r="O176" i="4" s="1"/>
  <c r="Q176" i="4" s="1"/>
  <c r="R123" i="4"/>
  <c r="S123" i="4" s="1"/>
  <c r="T123" i="4" s="1"/>
  <c r="N123" i="4"/>
  <c r="O123" i="4" s="1"/>
  <c r="Q123" i="4" s="1"/>
  <c r="L123" i="4"/>
  <c r="U140" i="4"/>
  <c r="V140" i="4" s="1"/>
  <c r="W140" i="4" s="1"/>
  <c r="AD122" i="4"/>
  <c r="AD159" i="4"/>
  <c r="R168" i="4"/>
  <c r="S168" i="4" s="1"/>
  <c r="T168" i="4" s="1"/>
  <c r="L168" i="4"/>
  <c r="N168" i="4"/>
  <c r="O168" i="4" s="1"/>
  <c r="Q168" i="4" s="1"/>
  <c r="N116" i="4"/>
  <c r="O116" i="4" s="1"/>
  <c r="Q116" i="4" s="1"/>
  <c r="L116" i="4"/>
  <c r="R116" i="4"/>
  <c r="S116" i="4" s="1"/>
  <c r="T116" i="4" s="1"/>
  <c r="AD161" i="4"/>
  <c r="U115" i="4"/>
  <c r="V115" i="4" s="1"/>
  <c r="W115" i="4" s="1"/>
  <c r="N113" i="4"/>
  <c r="O113" i="4" s="1"/>
  <c r="Q113" i="4" s="1"/>
  <c r="L113" i="4"/>
  <c r="R113" i="4"/>
  <c r="S113" i="4" s="1"/>
  <c r="T113" i="4" s="1"/>
  <c r="L133" i="4"/>
  <c r="R133" i="4"/>
  <c r="S133" i="4" s="1"/>
  <c r="T133" i="4" s="1"/>
  <c r="N133" i="4"/>
  <c r="O133" i="4" s="1"/>
  <c r="Q133" i="4" s="1"/>
  <c r="U144" i="4"/>
  <c r="V144" i="4" s="1"/>
  <c r="W144" i="4" s="1"/>
  <c r="AD110" i="4"/>
  <c r="R124" i="4"/>
  <c r="S124" i="4" s="1"/>
  <c r="T124" i="4" s="1"/>
  <c r="N124" i="4"/>
  <c r="O124" i="4" s="1"/>
  <c r="Q124" i="4" s="1"/>
  <c r="L124" i="4"/>
  <c r="X153" i="4"/>
  <c r="Y153" i="4" s="1"/>
  <c r="U164" i="4"/>
  <c r="V164" i="4" s="1"/>
  <c r="W164" i="4" s="1"/>
  <c r="R202" i="4"/>
  <c r="S202" i="4" s="1"/>
  <c r="T202" i="4" s="1"/>
  <c r="N202" i="4"/>
  <c r="O202" i="4" s="1"/>
  <c r="Q202" i="4" s="1"/>
  <c r="L202" i="4"/>
  <c r="U137" i="4"/>
  <c r="V137" i="4" s="1"/>
  <c r="W137" i="4" s="1"/>
  <c r="R137" i="4"/>
  <c r="S137" i="4" s="1"/>
  <c r="T137" i="4" s="1"/>
  <c r="L137" i="4"/>
  <c r="N137" i="4"/>
  <c r="O137" i="4" s="1"/>
  <c r="Q137" i="4" s="1"/>
  <c r="U128" i="4"/>
  <c r="V128" i="4" s="1"/>
  <c r="W128" i="4" s="1"/>
  <c r="L120" i="4"/>
  <c r="N120" i="4"/>
  <c r="O120" i="4" s="1"/>
  <c r="Q120" i="4" s="1"/>
  <c r="R120" i="4"/>
  <c r="S120" i="4" s="1"/>
  <c r="T120" i="4" s="1"/>
  <c r="X137" i="4"/>
  <c r="Y137" i="4" s="1"/>
  <c r="U113" i="4"/>
  <c r="V113" i="4" s="1"/>
  <c r="W113" i="4" s="1"/>
  <c r="N126" i="4"/>
  <c r="O126" i="4" s="1"/>
  <c r="Q126" i="4" s="1"/>
  <c r="R126" i="4"/>
  <c r="S126" i="4" s="1"/>
  <c r="T126" i="4" s="1"/>
  <c r="L126" i="4"/>
  <c r="N165" i="4"/>
  <c r="O165" i="4" s="1"/>
  <c r="Q165" i="4" s="1"/>
  <c r="L165" i="4"/>
  <c r="R165" i="4"/>
  <c r="S165" i="4" s="1"/>
  <c r="T165" i="4" s="1"/>
  <c r="N194" i="4"/>
  <c r="O194" i="4" s="1"/>
  <c r="Q194" i="4" s="1"/>
  <c r="R194" i="4"/>
  <c r="S194" i="4" s="1"/>
  <c r="T194" i="4" s="1"/>
  <c r="L194" i="4"/>
  <c r="X159" i="4"/>
  <c r="Y159" i="4" s="1"/>
  <c r="U161" i="4"/>
  <c r="V161" i="4" s="1"/>
  <c r="W161" i="4" s="1"/>
  <c r="N207" i="4"/>
  <c r="O207" i="4" s="1"/>
  <c r="Q207" i="4" s="1"/>
  <c r="R207" i="4"/>
  <c r="S207" i="4" s="1"/>
  <c r="T207" i="4" s="1"/>
  <c r="L207" i="4"/>
  <c r="X182" i="4"/>
  <c r="Y182" i="4" s="1"/>
  <c r="N182" i="4"/>
  <c r="O182" i="4" s="1"/>
  <c r="Q182" i="4" s="1"/>
  <c r="L182" i="4"/>
  <c r="R182" i="4"/>
  <c r="S182" i="4" s="1"/>
  <c r="T182" i="4" s="1"/>
  <c r="AD177" i="4"/>
  <c r="L177" i="4"/>
  <c r="R177" i="4"/>
  <c r="S177" i="4" s="1"/>
  <c r="T177" i="4" s="1"/>
  <c r="N177" i="4"/>
  <c r="O177" i="4" s="1"/>
  <c r="Q177" i="4" s="1"/>
  <c r="L122" i="4"/>
  <c r="N122" i="4"/>
  <c r="O122" i="4" s="1"/>
  <c r="Q122" i="4" s="1"/>
  <c r="R122" i="4"/>
  <c r="S122" i="4" s="1"/>
  <c r="T122" i="4" s="1"/>
  <c r="R172" i="4"/>
  <c r="S172" i="4" s="1"/>
  <c r="T172" i="4" s="1"/>
  <c r="N172" i="4"/>
  <c r="O172" i="4" s="1"/>
  <c r="Q172" i="4" s="1"/>
  <c r="L172" i="4"/>
  <c r="X140" i="4"/>
  <c r="Y140" i="4" s="1"/>
  <c r="L140" i="4"/>
  <c r="R140" i="4"/>
  <c r="S140" i="4" s="1"/>
  <c r="T140" i="4" s="1"/>
  <c r="N140" i="4"/>
  <c r="O140" i="4" s="1"/>
  <c r="Q140" i="4" s="1"/>
  <c r="X115" i="4"/>
  <c r="Y115" i="4" s="1"/>
  <c r="X207" i="4"/>
  <c r="Y207" i="4" s="1"/>
  <c r="N190" i="4"/>
  <c r="O190" i="4" s="1"/>
  <c r="Q190" i="4" s="1"/>
  <c r="L190" i="4"/>
  <c r="R190" i="4"/>
  <c r="S190" i="4" s="1"/>
  <c r="T190" i="4" s="1"/>
  <c r="R145" i="4"/>
  <c r="S145" i="4" s="1"/>
  <c r="T145" i="4" s="1"/>
  <c r="L145" i="4"/>
  <c r="N145" i="4"/>
  <c r="O145" i="4" s="1"/>
  <c r="Q145" i="4" s="1"/>
  <c r="L157" i="4"/>
  <c r="R157" i="4"/>
  <c r="S157" i="4" s="1"/>
  <c r="T157" i="4" s="1"/>
  <c r="N157" i="4"/>
  <c r="O157" i="4" s="1"/>
  <c r="Q157" i="4" s="1"/>
  <c r="U130" i="4"/>
  <c r="V130" i="4" s="1"/>
  <c r="W130" i="4" s="1"/>
  <c r="R130" i="4"/>
  <c r="S130" i="4" s="1"/>
  <c r="T130" i="4" s="1"/>
  <c r="N130" i="4"/>
  <c r="O130" i="4" s="1"/>
  <c r="Q130" i="4" s="1"/>
  <c r="L130" i="4"/>
  <c r="X144" i="4"/>
  <c r="Y144" i="4" s="1"/>
  <c r="U124" i="4"/>
  <c r="V124" i="4" s="1"/>
  <c r="W124" i="4" s="1"/>
  <c r="L152" i="4"/>
  <c r="R152" i="4"/>
  <c r="S152" i="4" s="1"/>
  <c r="T152" i="4" s="1"/>
  <c r="N152" i="4"/>
  <c r="O152" i="4" s="1"/>
  <c r="Q152" i="4" s="1"/>
  <c r="N185" i="4"/>
  <c r="O185" i="4" s="1"/>
  <c r="Q185" i="4" s="1"/>
  <c r="R185" i="4"/>
  <c r="S185" i="4" s="1"/>
  <c r="T185" i="4" s="1"/>
  <c r="L185" i="4"/>
  <c r="R180" i="4"/>
  <c r="S180" i="4" s="1"/>
  <c r="T180" i="4" s="1"/>
  <c r="L180" i="4"/>
  <c r="N180" i="4"/>
  <c r="O180" i="4" s="1"/>
  <c r="Q180" i="4" s="1"/>
  <c r="AD153" i="4"/>
  <c r="AD164" i="4"/>
  <c r="X172" i="4"/>
  <c r="Y172" i="4" s="1"/>
  <c r="U202" i="4"/>
  <c r="V202" i="4" s="1"/>
  <c r="W202" i="4" s="1"/>
  <c r="AD157" i="4"/>
  <c r="X177" i="4"/>
  <c r="Y177" i="4" s="1"/>
  <c r="X120" i="4"/>
  <c r="Y120" i="4" s="1"/>
  <c r="U133" i="4"/>
  <c r="V133" i="4" s="1"/>
  <c r="W133" i="4" s="1"/>
  <c r="U131" i="4"/>
  <c r="V131" i="4" s="1"/>
  <c r="W131" i="4" s="1"/>
  <c r="R131" i="4"/>
  <c r="S131" i="4" s="1"/>
  <c r="T131" i="4" s="1"/>
  <c r="N131" i="4"/>
  <c r="O131" i="4" s="1"/>
  <c r="Q131" i="4" s="1"/>
  <c r="L131" i="4"/>
  <c r="AD113" i="4"/>
  <c r="AD126" i="4"/>
  <c r="X122" i="4"/>
  <c r="Y122" i="4" s="1"/>
  <c r="AD165" i="4"/>
  <c r="X194" i="4"/>
  <c r="Y194" i="4" s="1"/>
  <c r="U159" i="4"/>
  <c r="V159" i="4" s="1"/>
  <c r="W159" i="4" s="1"/>
  <c r="L151" i="4"/>
  <c r="N151" i="4"/>
  <c r="O151" i="4" s="1"/>
  <c r="Q151" i="4" s="1"/>
  <c r="R151" i="4"/>
  <c r="S151" i="4" s="1"/>
  <c r="T151" i="4" s="1"/>
  <c r="X161" i="4"/>
  <c r="Y161" i="4" s="1"/>
  <c r="X151" i="4"/>
  <c r="Y151" i="4" s="1"/>
  <c r="X47" i="4"/>
  <c r="Y47" i="4" s="1"/>
  <c r="L47" i="4"/>
  <c r="L66" i="4"/>
  <c r="U82" i="4"/>
  <c r="V82" i="4" s="1"/>
  <c r="W82" i="4" s="1"/>
  <c r="L82" i="4"/>
  <c r="U85" i="4"/>
  <c r="V85" i="4" s="1"/>
  <c r="W85" i="4" s="1"/>
  <c r="L85" i="4"/>
  <c r="N70" i="4"/>
  <c r="O70" i="4" s="1"/>
  <c r="Q70" i="4" s="1"/>
  <c r="L70" i="4"/>
  <c r="U100" i="4"/>
  <c r="V100" i="4" s="1"/>
  <c r="W100" i="4" s="1"/>
  <c r="L100" i="4"/>
  <c r="U26" i="4"/>
  <c r="V26" i="4" s="1"/>
  <c r="W26" i="4" s="1"/>
  <c r="L26" i="4"/>
  <c r="R84" i="4"/>
  <c r="S84" i="4" s="1"/>
  <c r="T84" i="4" s="1"/>
  <c r="L84" i="4"/>
  <c r="U23" i="4"/>
  <c r="V23" i="4" s="1"/>
  <c r="W23" i="4" s="1"/>
  <c r="L23" i="4"/>
  <c r="N49" i="4"/>
  <c r="O49" i="4" s="1"/>
  <c r="Q49" i="4" s="1"/>
  <c r="L49" i="4"/>
  <c r="X35" i="4"/>
  <c r="Y35" i="4" s="1"/>
  <c r="L35" i="4"/>
  <c r="R102" i="4"/>
  <c r="S102" i="4" s="1"/>
  <c r="T102" i="4" s="1"/>
  <c r="L102" i="4"/>
  <c r="X24" i="4"/>
  <c r="Y24" i="4" s="1"/>
  <c r="L24" i="4"/>
  <c r="N9" i="4"/>
  <c r="O9" i="4" s="1"/>
  <c r="Q9" i="4" s="1"/>
  <c r="L9" i="4"/>
  <c r="L64" i="4"/>
  <c r="AD32" i="4"/>
  <c r="AE32" i="4" s="1"/>
  <c r="L32" i="4"/>
  <c r="L104" i="4"/>
  <c r="R43" i="4"/>
  <c r="S43" i="4" s="1"/>
  <c r="T43" i="4" s="1"/>
  <c r="L43" i="4"/>
  <c r="AD56" i="4"/>
  <c r="AE56" i="4" s="1"/>
  <c r="L56" i="4"/>
  <c r="L73" i="4"/>
  <c r="U83" i="4"/>
  <c r="V83" i="4" s="1"/>
  <c r="W83" i="4" s="1"/>
  <c r="L83" i="4"/>
  <c r="U41" i="4"/>
  <c r="V41" i="4" s="1"/>
  <c r="W41" i="4" s="1"/>
  <c r="L41" i="4"/>
  <c r="L31" i="4"/>
  <c r="U97" i="4"/>
  <c r="V97" i="4" s="1"/>
  <c r="W97" i="4" s="1"/>
  <c r="L97" i="4"/>
  <c r="R14" i="4"/>
  <c r="S14" i="4" s="1"/>
  <c r="T14" i="4" s="1"/>
  <c r="L14" i="4"/>
  <c r="R94" i="4"/>
  <c r="S94" i="4" s="1"/>
  <c r="T94" i="4" s="1"/>
  <c r="L94" i="4"/>
  <c r="L12" i="4"/>
  <c r="L53" i="4"/>
  <c r="N36" i="4"/>
  <c r="O36" i="4" s="1"/>
  <c r="Q36" i="4" s="1"/>
  <c r="L36" i="4"/>
  <c r="R33" i="4"/>
  <c r="S33" i="4" s="1"/>
  <c r="T33" i="4" s="1"/>
  <c r="L33" i="4"/>
  <c r="L25" i="4"/>
  <c r="L109" i="4"/>
  <c r="L62" i="4"/>
  <c r="AD88" i="4"/>
  <c r="AE88" i="4" s="1"/>
  <c r="L88" i="4"/>
  <c r="U11" i="4"/>
  <c r="V11" i="4" s="1"/>
  <c r="W11" i="4" s="1"/>
  <c r="L11" i="4"/>
  <c r="N79" i="4"/>
  <c r="O79" i="4" s="1"/>
  <c r="Q79" i="4" s="1"/>
  <c r="L79" i="4"/>
  <c r="L59" i="4"/>
  <c r="L46" i="4"/>
  <c r="X40" i="4"/>
  <c r="Y40" i="4" s="1"/>
  <c r="L40" i="4"/>
  <c r="AD71" i="4"/>
  <c r="AE71" i="4" s="1"/>
  <c r="L71" i="4"/>
  <c r="U17" i="4"/>
  <c r="V17" i="4" s="1"/>
  <c r="W17" i="4" s="1"/>
  <c r="L17" i="4"/>
  <c r="L78" i="4"/>
  <c r="AD29" i="4"/>
  <c r="AE29" i="4" s="1"/>
  <c r="L29" i="4"/>
  <c r="R67" i="4"/>
  <c r="S67" i="4" s="1"/>
  <c r="T67" i="4" s="1"/>
  <c r="L67" i="4"/>
  <c r="L90" i="4"/>
  <c r="U19" i="4"/>
  <c r="V19" i="4" s="1"/>
  <c r="W19" i="4" s="1"/>
  <c r="L19" i="4"/>
  <c r="R54" i="4"/>
  <c r="S54" i="4" s="1"/>
  <c r="T54" i="4" s="1"/>
  <c r="L54" i="4"/>
  <c r="R77" i="4"/>
  <c r="S77" i="4" s="1"/>
  <c r="T77" i="4" s="1"/>
  <c r="L77" i="4"/>
  <c r="U58" i="4"/>
  <c r="V58" i="4" s="1"/>
  <c r="W58" i="4" s="1"/>
  <c r="L58" i="4"/>
  <c r="AD28" i="4"/>
  <c r="AE28" i="4" s="1"/>
  <c r="L28" i="4"/>
  <c r="AD10" i="4"/>
  <c r="AE10" i="4" s="1"/>
  <c r="L10" i="4"/>
  <c r="X74" i="4"/>
  <c r="Y74" i="4" s="1"/>
  <c r="L74" i="4"/>
  <c r="L27" i="4"/>
  <c r="L99" i="4"/>
  <c r="N16" i="4"/>
  <c r="O16" i="4" s="1"/>
  <c r="Q16" i="4" s="1"/>
  <c r="L16" i="4"/>
  <c r="AD51" i="4"/>
  <c r="AE51" i="4" s="1"/>
  <c r="L51" i="4"/>
  <c r="L60" i="4"/>
  <c r="AD101" i="4"/>
  <c r="AE101" i="4" s="1"/>
  <c r="L101" i="4"/>
  <c r="R13" i="4"/>
  <c r="S13" i="4" s="1"/>
  <c r="T13" i="4" s="1"/>
  <c r="L13" i="4"/>
  <c r="N61" i="4"/>
  <c r="O61" i="4" s="1"/>
  <c r="Q61" i="4" s="1"/>
  <c r="L61" i="4"/>
  <c r="L50" i="4"/>
  <c r="L18" i="4"/>
  <c r="AD42" i="4"/>
  <c r="AE42" i="4" s="1"/>
  <c r="L42" i="4"/>
  <c r="X45" i="4"/>
  <c r="Y45" i="4" s="1"/>
  <c r="L45" i="4"/>
  <c r="U106" i="4"/>
  <c r="V106" i="4" s="1"/>
  <c r="W106" i="4" s="1"/>
  <c r="L106" i="4"/>
  <c r="L44" i="4"/>
  <c r="N105" i="4"/>
  <c r="O105" i="4" s="1"/>
  <c r="Q105" i="4" s="1"/>
  <c r="L105" i="4"/>
  <c r="R98" i="4"/>
  <c r="S98" i="4" s="1"/>
  <c r="T98" i="4" s="1"/>
  <c r="L98" i="4"/>
  <c r="AD15" i="4"/>
  <c r="AE15" i="4" s="1"/>
  <c r="L15" i="4"/>
  <c r="N86" i="4"/>
  <c r="O86" i="4" s="1"/>
  <c r="Q86" i="4" s="1"/>
  <c r="L86" i="4"/>
  <c r="AD89" i="4"/>
  <c r="AE89" i="4" s="1"/>
  <c r="L89" i="4"/>
  <c r="AD81" i="4"/>
  <c r="AE81" i="4" s="1"/>
  <c r="L81" i="4"/>
  <c r="L63" i="4"/>
  <c r="AD52" i="4"/>
  <c r="AE52" i="4" s="1"/>
  <c r="L52" i="4"/>
  <c r="AD92" i="4"/>
  <c r="AE92" i="4" s="1"/>
  <c r="L92" i="4"/>
  <c r="X68" i="4"/>
  <c r="Y68" i="4" s="1"/>
  <c r="L68" i="4"/>
  <c r="U72" i="4"/>
  <c r="V72" i="4" s="1"/>
  <c r="W72" i="4" s="1"/>
  <c r="L72" i="4"/>
  <c r="U107" i="4"/>
  <c r="V107" i="4" s="1"/>
  <c r="W107" i="4" s="1"/>
  <c r="L107" i="4"/>
  <c r="AD108" i="4"/>
  <c r="AE108" i="4" s="1"/>
  <c r="L108" i="4"/>
  <c r="AD95" i="4"/>
  <c r="AE95" i="4" s="1"/>
  <c r="L95" i="4"/>
  <c r="X38" i="4"/>
  <c r="Y38" i="4" s="1"/>
  <c r="L38" i="4"/>
  <c r="AD22" i="4"/>
  <c r="AE22" i="4" s="1"/>
  <c r="L22" i="4"/>
  <c r="X34" i="4"/>
  <c r="Y34" i="4" s="1"/>
  <c r="L34" i="4"/>
  <c r="U103" i="4"/>
  <c r="V103" i="4" s="1"/>
  <c r="W103" i="4" s="1"/>
  <c r="L103" i="4"/>
  <c r="X69" i="4"/>
  <c r="Y69" i="4" s="1"/>
  <c r="L69" i="4"/>
  <c r="U57" i="4"/>
  <c r="V57" i="4" s="1"/>
  <c r="W57" i="4" s="1"/>
  <c r="L57" i="4"/>
  <c r="R39" i="4"/>
  <c r="S39" i="4" s="1"/>
  <c r="T39" i="4" s="1"/>
  <c r="L39" i="4"/>
  <c r="AD21" i="4"/>
  <c r="AE21" i="4" s="1"/>
  <c r="L21" i="4"/>
  <c r="U93" i="4"/>
  <c r="V93" i="4" s="1"/>
  <c r="W93" i="4" s="1"/>
  <c r="L93" i="4"/>
  <c r="L76" i="4"/>
  <c r="AD87" i="4"/>
  <c r="AE87" i="4" s="1"/>
  <c r="L87" i="4"/>
  <c r="U96" i="4"/>
  <c r="V96" i="4" s="1"/>
  <c r="W96" i="4" s="1"/>
  <c r="L96" i="4"/>
  <c r="X91" i="4"/>
  <c r="Y91" i="4" s="1"/>
  <c r="L91" i="4"/>
  <c r="X55" i="4"/>
  <c r="Y55" i="4" s="1"/>
  <c r="L55" i="4"/>
  <c r="R75" i="4"/>
  <c r="S75" i="4" s="1"/>
  <c r="T75" i="4" s="1"/>
  <c r="L75" i="4"/>
  <c r="U20" i="4"/>
  <c r="V20" i="4" s="1"/>
  <c r="W20" i="4" s="1"/>
  <c r="L20" i="4"/>
  <c r="X37" i="4"/>
  <c r="Y37" i="4" s="1"/>
  <c r="L37" i="4"/>
  <c r="L30" i="4"/>
  <c r="N27" i="4"/>
  <c r="O27" i="4" s="1"/>
  <c r="Q27" i="4" s="1"/>
  <c r="R27" i="4"/>
  <c r="S27" i="4" s="1"/>
  <c r="T27" i="4" s="1"/>
  <c r="AD27" i="4"/>
  <c r="AE27" i="4" s="1"/>
  <c r="AD99" i="4"/>
  <c r="AE99" i="4" s="1"/>
  <c r="U99" i="4"/>
  <c r="V99" i="4" s="1"/>
  <c r="W99" i="4" s="1"/>
  <c r="AD55" i="4"/>
  <c r="AE55" i="4" s="1"/>
  <c r="U27" i="4"/>
  <c r="V27" i="4" s="1"/>
  <c r="W27" i="4" s="1"/>
  <c r="AD16" i="4"/>
  <c r="AE16" i="4" s="1"/>
  <c r="N99" i="4"/>
  <c r="O99" i="4" s="1"/>
  <c r="Q99" i="4" s="1"/>
  <c r="X16" i="4"/>
  <c r="Y16" i="4" s="1"/>
  <c r="U16" i="4"/>
  <c r="V16" i="4" s="1"/>
  <c r="W16" i="4" s="1"/>
  <c r="R99" i="4"/>
  <c r="S99" i="4" s="1"/>
  <c r="T99" i="4" s="1"/>
  <c r="R16" i="4"/>
  <c r="S16" i="4" s="1"/>
  <c r="T16" i="4" s="1"/>
  <c r="X27" i="4"/>
  <c r="Y27" i="4" s="1"/>
  <c r="X99" i="4"/>
  <c r="Y99" i="4" s="1"/>
  <c r="N107" i="4"/>
  <c r="O107" i="4" s="1"/>
  <c r="Q107" i="4" s="1"/>
  <c r="AD107" i="4"/>
  <c r="AE107" i="4" s="1"/>
  <c r="X30" i="4"/>
  <c r="Y30" i="4" s="1"/>
  <c r="AD37" i="4"/>
  <c r="AE37" i="4" s="1"/>
  <c r="X72" i="4"/>
  <c r="Y72" i="4" s="1"/>
  <c r="R55" i="4"/>
  <c r="S55" i="4" s="1"/>
  <c r="T55" i="4" s="1"/>
  <c r="U30" i="4"/>
  <c r="V30" i="4" s="1"/>
  <c r="W30" i="4" s="1"/>
  <c r="R72" i="4"/>
  <c r="S72" i="4" s="1"/>
  <c r="T72" i="4" s="1"/>
  <c r="N75" i="4"/>
  <c r="O75" i="4" s="1"/>
  <c r="Q75" i="4" s="1"/>
  <c r="AD30" i="4"/>
  <c r="AE30" i="4" s="1"/>
  <c r="N72" i="4"/>
  <c r="O72" i="4" s="1"/>
  <c r="Q72" i="4" s="1"/>
  <c r="N37" i="4"/>
  <c r="O37" i="4" s="1"/>
  <c r="Q37" i="4" s="1"/>
  <c r="X33" i="4"/>
  <c r="Y33" i="4" s="1"/>
  <c r="N30" i="4"/>
  <c r="O30" i="4" s="1"/>
  <c r="Q30" i="4" s="1"/>
  <c r="X107" i="4"/>
  <c r="Y107" i="4" s="1"/>
  <c r="N55" i="4"/>
  <c r="O55" i="4" s="1"/>
  <c r="Q55" i="4" s="1"/>
  <c r="U55" i="4"/>
  <c r="V55" i="4" s="1"/>
  <c r="W55" i="4" s="1"/>
  <c r="U75" i="4"/>
  <c r="V75" i="4" s="1"/>
  <c r="W75" i="4" s="1"/>
  <c r="U37" i="4"/>
  <c r="V37" i="4" s="1"/>
  <c r="W37" i="4" s="1"/>
  <c r="R37" i="4"/>
  <c r="S37" i="4" s="1"/>
  <c r="T37" i="4" s="1"/>
  <c r="AD72" i="4"/>
  <c r="AE72" i="4" s="1"/>
  <c r="AD33" i="4"/>
  <c r="AE33" i="4" s="1"/>
  <c r="U33" i="4"/>
  <c r="V33" i="4" s="1"/>
  <c r="W33" i="4" s="1"/>
  <c r="R107" i="4"/>
  <c r="S107" i="4" s="1"/>
  <c r="T107" i="4" s="1"/>
  <c r="N33" i="4"/>
  <c r="O33" i="4" s="1"/>
  <c r="Q33" i="4" s="1"/>
  <c r="R30" i="4"/>
  <c r="S30" i="4" s="1"/>
  <c r="T30" i="4" s="1"/>
  <c r="AD75" i="4"/>
  <c r="AE75" i="4" s="1"/>
  <c r="X75" i="4"/>
  <c r="Y75" i="4" s="1"/>
  <c r="B259" i="2"/>
  <c r="B129" i="2"/>
  <c r="E65" i="1" s="1"/>
  <c r="E28" i="1"/>
  <c r="X10" i="4"/>
  <c r="Y10" i="4" s="1"/>
  <c r="N10" i="4"/>
  <c r="O10" i="4" s="1"/>
  <c r="Q10" i="4" s="1"/>
  <c r="U10" i="4"/>
  <c r="V10" i="4" s="1"/>
  <c r="W10" i="4" s="1"/>
  <c r="R10" i="4"/>
  <c r="S10" i="4" s="1"/>
  <c r="T10" i="4" s="1"/>
  <c r="E27" i="1"/>
  <c r="D48" i="16"/>
  <c r="B74" i="2"/>
  <c r="E36" i="1" s="1"/>
  <c r="B50" i="2"/>
  <c r="R45" i="4"/>
  <c r="S45" i="4" s="1"/>
  <c r="T45" i="4" s="1"/>
  <c r="AD45" i="4"/>
  <c r="E50" i="1"/>
  <c r="C45" i="16" s="1"/>
  <c r="D45" i="16" s="1"/>
  <c r="B133" i="2"/>
  <c r="B134" i="2" s="1"/>
  <c r="U45" i="4"/>
  <c r="V45" i="4" s="1"/>
  <c r="W45" i="4" s="1"/>
  <c r="N45" i="4"/>
  <c r="O45" i="4" s="1"/>
  <c r="Q45" i="4" s="1"/>
  <c r="R104" i="4"/>
  <c r="S104" i="4" s="1"/>
  <c r="T104" i="4" s="1"/>
  <c r="R58" i="4"/>
  <c r="S58" i="4" s="1"/>
  <c r="T58" i="4" s="1"/>
  <c r="AD104" i="4"/>
  <c r="N58" i="4"/>
  <c r="O58" i="4" s="1"/>
  <c r="Q58" i="4" s="1"/>
  <c r="N31" i="4"/>
  <c r="O31" i="4" s="1"/>
  <c r="Q31" i="4" s="1"/>
  <c r="X104" i="4"/>
  <c r="Y104" i="4" s="1"/>
  <c r="U104" i="4"/>
  <c r="V104" i="4" s="1"/>
  <c r="W104" i="4" s="1"/>
  <c r="N104" i="4"/>
  <c r="O104" i="4" s="1"/>
  <c r="Q104" i="4" s="1"/>
  <c r="X58" i="4"/>
  <c r="Y58" i="4" s="1"/>
  <c r="AD58" i="4"/>
  <c r="U36" i="4"/>
  <c r="V36" i="4" s="1"/>
  <c r="W36" i="4" s="1"/>
  <c r="X36" i="4"/>
  <c r="Y36" i="4" s="1"/>
  <c r="R36" i="4"/>
  <c r="S36" i="4" s="1"/>
  <c r="T36" i="4" s="1"/>
  <c r="X54" i="4"/>
  <c r="Y54" i="4" s="1"/>
  <c r="N12" i="4"/>
  <c r="O12" i="4" s="1"/>
  <c r="Q12" i="4" s="1"/>
  <c r="AD36" i="4"/>
  <c r="N77" i="4"/>
  <c r="O77" i="4" s="1"/>
  <c r="Q77" i="4" s="1"/>
  <c r="AD77" i="4"/>
  <c r="X77" i="4"/>
  <c r="Y77" i="4" s="1"/>
  <c r="U77" i="4"/>
  <c r="V77" i="4" s="1"/>
  <c r="W77" i="4" s="1"/>
  <c r="U53" i="4"/>
  <c r="V53" i="4" s="1"/>
  <c r="W53" i="4" s="1"/>
  <c r="AD64" i="4"/>
  <c r="X64" i="4"/>
  <c r="Y64" i="4" s="1"/>
  <c r="R64" i="4"/>
  <c r="S64" i="4" s="1"/>
  <c r="T64" i="4" s="1"/>
  <c r="U64" i="4"/>
  <c r="V64" i="4" s="1"/>
  <c r="W64" i="4" s="1"/>
  <c r="U54" i="4"/>
  <c r="V54" i="4" s="1"/>
  <c r="W54" i="4" s="1"/>
  <c r="U59" i="4"/>
  <c r="V59" i="4" s="1"/>
  <c r="W59" i="4" s="1"/>
  <c r="U68" i="4"/>
  <c r="V68" i="4" s="1"/>
  <c r="W68" i="4" s="1"/>
  <c r="N52" i="4"/>
  <c r="O52" i="4" s="1"/>
  <c r="Q52" i="4" s="1"/>
  <c r="R68" i="4"/>
  <c r="S68" i="4" s="1"/>
  <c r="T68" i="4" s="1"/>
  <c r="AD12" i="4"/>
  <c r="N24" i="4"/>
  <c r="O24" i="4" s="1"/>
  <c r="Q24" i="4" s="1"/>
  <c r="U87" i="4"/>
  <c r="V87" i="4" s="1"/>
  <c r="W87" i="4" s="1"/>
  <c r="R32" i="4"/>
  <c r="S32" i="4" s="1"/>
  <c r="T32" i="4" s="1"/>
  <c r="X32" i="4"/>
  <c r="Y32" i="4" s="1"/>
  <c r="N53" i="4"/>
  <c r="O53" i="4" s="1"/>
  <c r="Q53" i="4" s="1"/>
  <c r="AD94" i="4"/>
  <c r="AD14" i="4"/>
  <c r="N87" i="4"/>
  <c r="O87" i="4" s="1"/>
  <c r="Q87" i="4" s="1"/>
  <c r="R69" i="4"/>
  <c r="S69" i="4" s="1"/>
  <c r="T69" i="4" s="1"/>
  <c r="U32" i="4"/>
  <c r="V32" i="4" s="1"/>
  <c r="W32" i="4" s="1"/>
  <c r="R50" i="4"/>
  <c r="S50" i="4" s="1"/>
  <c r="T50" i="4" s="1"/>
  <c r="X57" i="4"/>
  <c r="Y57" i="4" s="1"/>
  <c r="X53" i="4"/>
  <c r="Y53" i="4" s="1"/>
  <c r="N39" i="4"/>
  <c r="O39" i="4" s="1"/>
  <c r="Q39" i="4" s="1"/>
  <c r="U14" i="4"/>
  <c r="V14" i="4" s="1"/>
  <c r="W14" i="4" s="1"/>
  <c r="X14" i="4"/>
  <c r="Y14" i="4" s="1"/>
  <c r="U39" i="4"/>
  <c r="V39" i="4" s="1"/>
  <c r="W39" i="4" s="1"/>
  <c r="X39" i="4"/>
  <c r="Y39" i="4" s="1"/>
  <c r="R70" i="4"/>
  <c r="S70" i="4" s="1"/>
  <c r="T70" i="4" s="1"/>
  <c r="AD82" i="4"/>
  <c r="X82" i="4"/>
  <c r="Y82" i="4" s="1"/>
  <c r="R82" i="4"/>
  <c r="S82" i="4" s="1"/>
  <c r="T82" i="4" s="1"/>
  <c r="AD54" i="4"/>
  <c r="N64" i="4"/>
  <c r="O64" i="4" s="1"/>
  <c r="Q64" i="4" s="1"/>
  <c r="U13" i="4"/>
  <c r="V13" i="4" s="1"/>
  <c r="W13" i="4" s="1"/>
  <c r="N46" i="4"/>
  <c r="O46" i="4" s="1"/>
  <c r="Q46" i="4" s="1"/>
  <c r="AD68" i="4"/>
  <c r="R42" i="4"/>
  <c r="S42" i="4" s="1"/>
  <c r="T42" i="4" s="1"/>
  <c r="U35" i="4"/>
  <c r="V35" i="4" s="1"/>
  <c r="W35" i="4" s="1"/>
  <c r="N68" i="4"/>
  <c r="O68" i="4" s="1"/>
  <c r="Q68" i="4" s="1"/>
  <c r="N54" i="4"/>
  <c r="O54" i="4" s="1"/>
  <c r="Q54" i="4" s="1"/>
  <c r="X87" i="4"/>
  <c r="Y87" i="4" s="1"/>
  <c r="R87" i="4"/>
  <c r="S87" i="4" s="1"/>
  <c r="T87" i="4" s="1"/>
  <c r="U69" i="4"/>
  <c r="V69" i="4" s="1"/>
  <c r="W69" i="4" s="1"/>
  <c r="N69" i="4"/>
  <c r="O69" i="4" s="1"/>
  <c r="Q69" i="4" s="1"/>
  <c r="N32" i="4"/>
  <c r="O32" i="4" s="1"/>
  <c r="Q32" i="4" s="1"/>
  <c r="N84" i="4"/>
  <c r="O84" i="4" s="1"/>
  <c r="Q84" i="4" s="1"/>
  <c r="X94" i="4"/>
  <c r="Y94" i="4" s="1"/>
  <c r="U94" i="4"/>
  <c r="V94" i="4" s="1"/>
  <c r="W94" i="4" s="1"/>
  <c r="AD53" i="4"/>
  <c r="N57" i="4"/>
  <c r="O57" i="4" s="1"/>
  <c r="Q57" i="4" s="1"/>
  <c r="R57" i="4"/>
  <c r="S57" i="4" s="1"/>
  <c r="T57" i="4" s="1"/>
  <c r="AD57" i="4"/>
  <c r="N94" i="4"/>
  <c r="O94" i="4" s="1"/>
  <c r="Q94" i="4" s="1"/>
  <c r="AD39" i="4"/>
  <c r="AD69" i="4"/>
  <c r="N14" i="4"/>
  <c r="O14" i="4" s="1"/>
  <c r="Q14" i="4" s="1"/>
  <c r="AD61" i="4"/>
  <c r="R53" i="4"/>
  <c r="S53" i="4" s="1"/>
  <c r="T53" i="4" s="1"/>
  <c r="X61" i="4"/>
  <c r="Y61" i="4" s="1"/>
  <c r="R9" i="4"/>
  <c r="S9" i="4" s="1"/>
  <c r="T9" i="4" s="1"/>
  <c r="X9" i="4"/>
  <c r="Y9" i="4" s="1"/>
  <c r="R19" i="4"/>
  <c r="S19" i="4" s="1"/>
  <c r="T19" i="4" s="1"/>
  <c r="X49" i="4"/>
  <c r="Y49" i="4" s="1"/>
  <c r="AD19" i="4"/>
  <c r="U49" i="4"/>
  <c r="V49" i="4" s="1"/>
  <c r="W49" i="4" s="1"/>
  <c r="R86" i="4"/>
  <c r="S86" i="4" s="1"/>
  <c r="T86" i="4" s="1"/>
  <c r="AD102" i="4"/>
  <c r="AD24" i="4"/>
  <c r="AD86" i="4"/>
  <c r="R24" i="4"/>
  <c r="S24" i="4" s="1"/>
  <c r="T24" i="4" s="1"/>
  <c r="AD35" i="4"/>
  <c r="N35" i="4"/>
  <c r="O35" i="4" s="1"/>
  <c r="Q35" i="4" s="1"/>
  <c r="N102" i="4"/>
  <c r="O102" i="4" s="1"/>
  <c r="Q102" i="4" s="1"/>
  <c r="X42" i="4"/>
  <c r="Y42" i="4" s="1"/>
  <c r="R35" i="4"/>
  <c r="S35" i="4" s="1"/>
  <c r="T35" i="4" s="1"/>
  <c r="X18" i="4"/>
  <c r="Y18" i="4" s="1"/>
  <c r="U52" i="4"/>
  <c r="V52" i="4" s="1"/>
  <c r="W52" i="4" s="1"/>
  <c r="U9" i="4"/>
  <c r="V9" i="4" s="1"/>
  <c r="W9" i="4" s="1"/>
  <c r="AD9" i="4"/>
  <c r="R34" i="4"/>
  <c r="S34" i="4" s="1"/>
  <c r="T34" i="4" s="1"/>
  <c r="R49" i="4"/>
  <c r="S49" i="4" s="1"/>
  <c r="T49" i="4" s="1"/>
  <c r="AD49" i="4"/>
  <c r="X19" i="4"/>
  <c r="Y19" i="4" s="1"/>
  <c r="U102" i="4"/>
  <c r="V102" i="4" s="1"/>
  <c r="W102" i="4" s="1"/>
  <c r="U24" i="4"/>
  <c r="V24" i="4" s="1"/>
  <c r="W24" i="4" s="1"/>
  <c r="X102" i="4"/>
  <c r="Y102" i="4" s="1"/>
  <c r="N42" i="4"/>
  <c r="O42" i="4" s="1"/>
  <c r="Q42" i="4" s="1"/>
  <c r="U18" i="4"/>
  <c r="V18" i="4" s="1"/>
  <c r="W18" i="4" s="1"/>
  <c r="N19" i="4"/>
  <c r="O19" i="4" s="1"/>
  <c r="Q19" i="4" s="1"/>
  <c r="U42" i="4"/>
  <c r="V42" i="4" s="1"/>
  <c r="W42" i="4" s="1"/>
  <c r="N18" i="4"/>
  <c r="O18" i="4" s="1"/>
  <c r="Q18" i="4" s="1"/>
  <c r="X52" i="4"/>
  <c r="Y52" i="4" s="1"/>
  <c r="R52" i="4"/>
  <c r="S52" i="4" s="1"/>
  <c r="T52" i="4" s="1"/>
  <c r="AD76" i="4"/>
  <c r="AD73" i="4"/>
  <c r="B682" i="3"/>
  <c r="AD105" i="4"/>
  <c r="U67" i="4"/>
  <c r="V67" i="4" s="1"/>
  <c r="W67" i="4" s="1"/>
  <c r="R18" i="4"/>
  <c r="S18" i="4" s="1"/>
  <c r="T18" i="4" s="1"/>
  <c r="AD67" i="4"/>
  <c r="AD18" i="4"/>
  <c r="X60" i="4"/>
  <c r="Y60" i="4" s="1"/>
  <c r="X70" i="4"/>
  <c r="Y70" i="4" s="1"/>
  <c r="R12" i="4"/>
  <c r="S12" i="4" s="1"/>
  <c r="T12" i="4" s="1"/>
  <c r="AD63" i="4"/>
  <c r="U76" i="4"/>
  <c r="V76" i="4" s="1"/>
  <c r="W76" i="4" s="1"/>
  <c r="X67" i="4"/>
  <c r="Y67" i="4" s="1"/>
  <c r="X90" i="4"/>
  <c r="Y90" i="4" s="1"/>
  <c r="R90" i="4"/>
  <c r="S90" i="4" s="1"/>
  <c r="T90" i="4" s="1"/>
  <c r="AD90" i="4"/>
  <c r="N67" i="4"/>
  <c r="O67" i="4" s="1"/>
  <c r="Q67" i="4" s="1"/>
  <c r="N90" i="4"/>
  <c r="O90" i="4" s="1"/>
  <c r="Q90" i="4" s="1"/>
  <c r="U90" i="4"/>
  <c r="V90" i="4" s="1"/>
  <c r="W90" i="4" s="1"/>
  <c r="N63" i="4"/>
  <c r="O63" i="4" s="1"/>
  <c r="Q63" i="4" s="1"/>
  <c r="X63" i="4"/>
  <c r="Y63" i="4" s="1"/>
  <c r="X12" i="4"/>
  <c r="Y12" i="4" s="1"/>
  <c r="U12" i="4"/>
  <c r="V12" i="4" s="1"/>
  <c r="W12" i="4" s="1"/>
  <c r="X76" i="4"/>
  <c r="Y76" i="4" s="1"/>
  <c r="R63" i="4"/>
  <c r="S63" i="4" s="1"/>
  <c r="T63" i="4" s="1"/>
  <c r="N76" i="4"/>
  <c r="O76" i="4" s="1"/>
  <c r="Q76" i="4" s="1"/>
  <c r="R76" i="4"/>
  <c r="S76" i="4" s="1"/>
  <c r="T76" i="4" s="1"/>
  <c r="U63" i="4"/>
  <c r="V63" i="4" s="1"/>
  <c r="W63" i="4" s="1"/>
  <c r="B70" i="2"/>
  <c r="E32" i="1" s="1"/>
  <c r="E20" i="1"/>
  <c r="X97" i="4"/>
  <c r="Y97" i="4" s="1"/>
  <c r="N95" i="4"/>
  <c r="O95" i="4" s="1"/>
  <c r="Q95" i="4" s="1"/>
  <c r="U73" i="4"/>
  <c r="V73" i="4" s="1"/>
  <c r="W73" i="4" s="1"/>
  <c r="U84" i="4"/>
  <c r="V84" i="4" s="1"/>
  <c r="W84" i="4" s="1"/>
  <c r="U50" i="4"/>
  <c r="V50" i="4" s="1"/>
  <c r="W50" i="4" s="1"/>
  <c r="R78" i="4"/>
  <c r="S78" i="4" s="1"/>
  <c r="T78" i="4" s="1"/>
  <c r="R61" i="4"/>
  <c r="S61" i="4" s="1"/>
  <c r="T61" i="4" s="1"/>
  <c r="U34" i="4"/>
  <c r="V34" i="4" s="1"/>
  <c r="W34" i="4" s="1"/>
  <c r="AD34" i="4"/>
  <c r="N34" i="4"/>
  <c r="O34" i="4" s="1"/>
  <c r="Q34" i="4" s="1"/>
  <c r="C682" i="3"/>
  <c r="X84" i="4"/>
  <c r="Y84" i="4" s="1"/>
  <c r="AD84" i="4"/>
  <c r="X50" i="4"/>
  <c r="Y50" i="4" s="1"/>
  <c r="N50" i="4"/>
  <c r="O50" i="4" s="1"/>
  <c r="Q50" i="4" s="1"/>
  <c r="AD78" i="4"/>
  <c r="X78" i="4"/>
  <c r="Y78" i="4" s="1"/>
  <c r="U78" i="4"/>
  <c r="V78" i="4" s="1"/>
  <c r="W78" i="4" s="1"/>
  <c r="R105" i="4"/>
  <c r="S105" i="4" s="1"/>
  <c r="T105" i="4" s="1"/>
  <c r="R73" i="4"/>
  <c r="S73" i="4" s="1"/>
  <c r="T73" i="4" s="1"/>
  <c r="N78" i="4"/>
  <c r="O78" i="4" s="1"/>
  <c r="Q78" i="4" s="1"/>
  <c r="U61" i="4"/>
  <c r="V61" i="4" s="1"/>
  <c r="W61" i="4" s="1"/>
  <c r="AD50" i="4"/>
  <c r="AD70" i="4"/>
  <c r="U70" i="4"/>
  <c r="V70" i="4" s="1"/>
  <c r="W70" i="4" s="1"/>
  <c r="B74" i="1"/>
  <c r="U46" i="4"/>
  <c r="V46" i="4" s="1"/>
  <c r="W46" i="4" s="1"/>
  <c r="AD46" i="4"/>
  <c r="AD41" i="4"/>
  <c r="AD98" i="4"/>
  <c r="R108" i="4"/>
  <c r="S108" i="4" s="1"/>
  <c r="T108" i="4" s="1"/>
  <c r="AD59" i="4"/>
  <c r="U98" i="4"/>
  <c r="V98" i="4" s="1"/>
  <c r="W98" i="4" s="1"/>
  <c r="N82" i="4"/>
  <c r="O82" i="4" s="1"/>
  <c r="Q82" i="4" s="1"/>
  <c r="N38" i="4"/>
  <c r="O38" i="4" s="1"/>
  <c r="Q38" i="4" s="1"/>
  <c r="U38" i="4"/>
  <c r="V38" i="4" s="1"/>
  <c r="W38" i="4" s="1"/>
  <c r="R38" i="4"/>
  <c r="S38" i="4" s="1"/>
  <c r="T38" i="4" s="1"/>
  <c r="N13" i="4"/>
  <c r="O13" i="4" s="1"/>
  <c r="Q13" i="4" s="1"/>
  <c r="R46" i="4"/>
  <c r="S46" i="4" s="1"/>
  <c r="T46" i="4" s="1"/>
  <c r="U86" i="4"/>
  <c r="V86" i="4" s="1"/>
  <c r="W86" i="4" s="1"/>
  <c r="R59" i="4"/>
  <c r="S59" i="4" s="1"/>
  <c r="T59" i="4" s="1"/>
  <c r="N59" i="4"/>
  <c r="O59" i="4" s="1"/>
  <c r="Q59" i="4" s="1"/>
  <c r="X59" i="4"/>
  <c r="Y59" i="4" s="1"/>
  <c r="U31" i="4"/>
  <c r="V31" i="4" s="1"/>
  <c r="W31" i="4" s="1"/>
  <c r="X86" i="4"/>
  <c r="Y86" i="4" s="1"/>
  <c r="AD38" i="4"/>
  <c r="R97" i="4"/>
  <c r="S97" i="4" s="1"/>
  <c r="T97" i="4" s="1"/>
  <c r="X46" i="4"/>
  <c r="Y46" i="4" s="1"/>
  <c r="X98" i="4"/>
  <c r="Y98" i="4" s="1"/>
  <c r="N98" i="4"/>
  <c r="O98" i="4" s="1"/>
  <c r="Q98" i="4" s="1"/>
  <c r="N41" i="4"/>
  <c r="O41" i="4" s="1"/>
  <c r="Q41" i="4" s="1"/>
  <c r="AD97" i="4"/>
  <c r="N97" i="4"/>
  <c r="O97" i="4" s="1"/>
  <c r="Q97" i="4" s="1"/>
  <c r="E62" i="1"/>
  <c r="N60" i="4"/>
  <c r="O60" i="4" s="1"/>
  <c r="Q60" i="4" s="1"/>
  <c r="B135" i="2"/>
  <c r="B136" i="2" s="1"/>
  <c r="N73" i="4"/>
  <c r="O73" i="4" s="1"/>
  <c r="Q73" i="4" s="1"/>
  <c r="U95" i="4"/>
  <c r="V95" i="4" s="1"/>
  <c r="W95" i="4" s="1"/>
  <c r="AD13" i="4"/>
  <c r="R31" i="4"/>
  <c r="S31" i="4" s="1"/>
  <c r="T31" i="4" s="1"/>
  <c r="X13" i="4"/>
  <c r="Y13" i="4" s="1"/>
  <c r="AD31" i="4"/>
  <c r="U105" i="4"/>
  <c r="V105" i="4" s="1"/>
  <c r="W105" i="4" s="1"/>
  <c r="X31" i="4"/>
  <c r="Y31" i="4" s="1"/>
  <c r="X41" i="4"/>
  <c r="Y41" i="4" s="1"/>
  <c r="R41" i="4"/>
  <c r="S41" i="4" s="1"/>
  <c r="T41" i="4" s="1"/>
  <c r="AD60" i="4"/>
  <c r="AD43" i="4"/>
  <c r="R95" i="4"/>
  <c r="S95" i="4" s="1"/>
  <c r="T95" i="4" s="1"/>
  <c r="X95" i="4"/>
  <c r="Y95" i="4" s="1"/>
  <c r="X11" i="4"/>
  <c r="Y11" i="4" s="1"/>
  <c r="X105" i="4"/>
  <c r="Y105" i="4" s="1"/>
  <c r="X73" i="4"/>
  <c r="Y73" i="4" s="1"/>
  <c r="R60" i="4"/>
  <c r="S60" i="4" s="1"/>
  <c r="T60" i="4" s="1"/>
  <c r="U60" i="4"/>
  <c r="V60" i="4" s="1"/>
  <c r="W60" i="4" s="1"/>
  <c r="R8" i="8"/>
  <c r="S8" i="8" s="1"/>
  <c r="S27" i="8" s="1"/>
  <c r="C74" i="1" s="1"/>
  <c r="B82" i="2"/>
  <c r="E43" i="1" s="1"/>
  <c r="R62" i="4"/>
  <c r="S62" i="4" s="1"/>
  <c r="T62" i="4" s="1"/>
  <c r="AD62" i="4"/>
  <c r="R66" i="4"/>
  <c r="S66" i="4" s="1"/>
  <c r="T66" i="4" s="1"/>
  <c r="U66" i="4"/>
  <c r="V66" i="4" s="1"/>
  <c r="W66" i="4" s="1"/>
  <c r="B158" i="2"/>
  <c r="R109" i="4"/>
  <c r="S109" i="4" s="1"/>
  <c r="T109" i="4" s="1"/>
  <c r="X79" i="4"/>
  <c r="Y79" i="4" s="1"/>
  <c r="AD79" i="4"/>
  <c r="N11" i="4"/>
  <c r="O11" i="4" s="1"/>
  <c r="Q11" i="4" s="1"/>
  <c r="AD11" i="4"/>
  <c r="R11" i="4"/>
  <c r="S11" i="4" s="1"/>
  <c r="T11" i="4" s="1"/>
  <c r="B160" i="2"/>
  <c r="AD66" i="4"/>
  <c r="N62" i="4"/>
  <c r="O62" i="4" s="1"/>
  <c r="Q62" i="4" s="1"/>
  <c r="U62" i="4"/>
  <c r="V62" i="4" s="1"/>
  <c r="W62" i="4" s="1"/>
  <c r="X66" i="4"/>
  <c r="Y66" i="4" s="1"/>
  <c r="N66" i="4"/>
  <c r="O66" i="4" s="1"/>
  <c r="Q66" i="4" s="1"/>
  <c r="X109" i="4"/>
  <c r="Y109" i="4" s="1"/>
  <c r="AD109" i="4"/>
  <c r="X62" i="4"/>
  <c r="Y62" i="4" s="1"/>
  <c r="U79" i="4"/>
  <c r="V79" i="4" s="1"/>
  <c r="W79" i="4" s="1"/>
  <c r="R79" i="4"/>
  <c r="S79" i="4" s="1"/>
  <c r="T79" i="4" s="1"/>
  <c r="U108" i="4"/>
  <c r="V108" i="4" s="1"/>
  <c r="W108" i="4" s="1"/>
  <c r="R44" i="4"/>
  <c r="S44" i="4" s="1"/>
  <c r="T44" i="4" s="1"/>
  <c r="N108" i="4"/>
  <c r="O108" i="4" s="1"/>
  <c r="Q108" i="4" s="1"/>
  <c r="R106" i="4"/>
  <c r="S106" i="4" s="1"/>
  <c r="T106" i="4" s="1"/>
  <c r="X108" i="4"/>
  <c r="Y108" i="4" s="1"/>
  <c r="U43" i="4"/>
  <c r="V43" i="4" s="1"/>
  <c r="W43" i="4" s="1"/>
  <c r="N44" i="4"/>
  <c r="O44" i="4" s="1"/>
  <c r="Q44" i="4" s="1"/>
  <c r="AD44" i="4"/>
  <c r="X44" i="4"/>
  <c r="Y44" i="4" s="1"/>
  <c r="N106" i="4"/>
  <c r="O106" i="4" s="1"/>
  <c r="Q106" i="4" s="1"/>
  <c r="AD106" i="4"/>
  <c r="X106" i="4"/>
  <c r="Y106" i="4" s="1"/>
  <c r="U25" i="4"/>
  <c r="V25" i="4" s="1"/>
  <c r="W25" i="4" s="1"/>
  <c r="AD25" i="4"/>
  <c r="U44" i="4"/>
  <c r="V44" i="4" s="1"/>
  <c r="W44" i="4" s="1"/>
  <c r="X43" i="4"/>
  <c r="Y43" i="4" s="1"/>
  <c r="N43" i="4"/>
  <c r="O43" i="4" s="1"/>
  <c r="Q43" i="4" s="1"/>
  <c r="U109" i="4"/>
  <c r="V109" i="4" s="1"/>
  <c r="W109" i="4" s="1"/>
  <c r="B75" i="4"/>
  <c r="B76" i="4" s="1"/>
  <c r="B68" i="4"/>
  <c r="B69" i="4" s="1"/>
  <c r="N109" i="4"/>
  <c r="O109" i="4" s="1"/>
  <c r="Q109" i="4" s="1"/>
  <c r="AQ682" i="3"/>
  <c r="B79" i="2"/>
  <c r="E46" i="1" s="1"/>
  <c r="N25" i="4"/>
  <c r="O25" i="4" s="1"/>
  <c r="Q25" i="4" s="1"/>
  <c r="G36" i="3"/>
  <c r="H36" i="3" s="1"/>
  <c r="BN36" i="3" s="1"/>
  <c r="B15" i="6"/>
  <c r="G11" i="3"/>
  <c r="H11" i="3" s="1"/>
  <c r="BN11" i="3" s="1"/>
  <c r="F18" i="3"/>
  <c r="F25" i="3"/>
  <c r="BM25" i="3" s="1"/>
  <c r="B72" i="2"/>
  <c r="E34" i="1" s="1"/>
  <c r="B84" i="2"/>
  <c r="E45" i="1" s="1"/>
  <c r="F38" i="3"/>
  <c r="BM38" i="3" s="1"/>
  <c r="F24" i="3"/>
  <c r="BM24" i="3" s="1"/>
  <c r="G31" i="3"/>
  <c r="H31" i="3" s="1"/>
  <c r="BN31" i="3" s="1"/>
  <c r="G24" i="3"/>
  <c r="H24" i="3" s="1"/>
  <c r="BN24" i="3" s="1"/>
  <c r="G27" i="3"/>
  <c r="H27" i="3" s="1"/>
  <c r="BN27" i="3" s="1"/>
  <c r="X25" i="4"/>
  <c r="Y25" i="4" s="1"/>
  <c r="R25" i="4"/>
  <c r="S25" i="4" s="1"/>
  <c r="T25" i="4" s="1"/>
  <c r="G12" i="3"/>
  <c r="H12" i="3" s="1"/>
  <c r="BN12" i="3" s="1"/>
  <c r="G26" i="3"/>
  <c r="H26" i="3" s="1"/>
  <c r="BN26" i="3" s="1"/>
  <c r="F37" i="3"/>
  <c r="BM37" i="3" s="1"/>
  <c r="F35" i="3"/>
  <c r="BM35" i="3" s="1"/>
  <c r="B3" i="6"/>
  <c r="B69" i="2"/>
  <c r="E37" i="1" s="1"/>
  <c r="F32" i="3"/>
  <c r="BM32" i="3" s="1"/>
  <c r="E19" i="1"/>
  <c r="G16" i="3"/>
  <c r="H16" i="3" s="1"/>
  <c r="BN16" i="3" s="1"/>
  <c r="B16" i="6"/>
  <c r="G156" i="2"/>
  <c r="AR682" i="3"/>
  <c r="G683" i="3"/>
  <c r="H683" i="3" s="1"/>
  <c r="AR683" i="3"/>
  <c r="AQ683" i="3"/>
  <c r="B683" i="3"/>
  <c r="D683" i="3"/>
  <c r="C683" i="3"/>
  <c r="F683" i="3"/>
  <c r="F15" i="3"/>
  <c r="BM15" i="3" s="1"/>
  <c r="G14" i="3"/>
  <c r="H14" i="3" s="1"/>
  <c r="F11" i="3"/>
  <c r="BM11" i="3" s="1"/>
  <c r="F22" i="3"/>
  <c r="BM22" i="3" s="1"/>
  <c r="G33" i="3"/>
  <c r="H33" i="3" s="1"/>
  <c r="BN33" i="3" s="1"/>
  <c r="F16" i="3"/>
  <c r="BM16" i="3" s="1"/>
  <c r="G23" i="3"/>
  <c r="H23" i="3" s="1"/>
  <c r="BN23" i="3" s="1"/>
  <c r="G34" i="3"/>
  <c r="H34" i="3" s="1"/>
  <c r="BN34" i="3" s="1"/>
  <c r="F27" i="3"/>
  <c r="BM27" i="3" s="1"/>
  <c r="G18" i="3"/>
  <c r="H18" i="3" s="1"/>
  <c r="BN18" i="3" s="1"/>
  <c r="F30" i="3"/>
  <c r="G38" i="3"/>
  <c r="H38" i="3" s="1"/>
  <c r="BN38" i="3" s="1"/>
  <c r="F682" i="3"/>
  <c r="G682" i="3"/>
  <c r="H682" i="3" s="1"/>
  <c r="F26" i="3"/>
  <c r="G13" i="3"/>
  <c r="H13" i="3" s="1"/>
  <c r="BN13" i="3" s="1"/>
  <c r="G29" i="3"/>
  <c r="H29" i="3" s="1"/>
  <c r="BN29" i="3" s="1"/>
  <c r="G32" i="3"/>
  <c r="H32" i="3" s="1"/>
  <c r="BN32" i="3" s="1"/>
  <c r="F20" i="3"/>
  <c r="BM20" i="3" s="1"/>
  <c r="G22" i="3"/>
  <c r="H22" i="3" s="1"/>
  <c r="BN22" i="3" s="1"/>
  <c r="F13" i="3"/>
  <c r="BM13" i="3" s="1"/>
  <c r="G20" i="3"/>
  <c r="H20" i="3" s="1"/>
  <c r="BN20" i="3" s="1"/>
  <c r="F19" i="3"/>
  <c r="BM19" i="3" s="1"/>
  <c r="F21" i="3"/>
  <c r="BM21" i="3" s="1"/>
  <c r="G19" i="3"/>
  <c r="H19" i="3" s="1"/>
  <c r="BN19" i="3" s="1"/>
  <c r="G28" i="3"/>
  <c r="H28" i="3" s="1"/>
  <c r="BN28" i="3" s="1"/>
  <c r="F34" i="3"/>
  <c r="BM34" i="3" s="1"/>
  <c r="G10" i="3"/>
  <c r="H10" i="3" s="1"/>
  <c r="BN10" i="3" s="1"/>
  <c r="G21" i="3"/>
  <c r="H21" i="3" s="1"/>
  <c r="BN21" i="3" s="1"/>
  <c r="G25" i="3"/>
  <c r="H25" i="3" s="1"/>
  <c r="BN25" i="3" s="1"/>
  <c r="F12" i="3"/>
  <c r="BM12" i="3" s="1"/>
  <c r="F9" i="3"/>
  <c r="BM9" i="3" s="1"/>
  <c r="F17" i="3"/>
  <c r="BM17" i="3" s="1"/>
  <c r="F14" i="3"/>
  <c r="BM14" i="3" s="1"/>
  <c r="G15" i="3"/>
  <c r="H15" i="3" s="1"/>
  <c r="BN15" i="3" s="1"/>
  <c r="F10" i="3"/>
  <c r="BM10" i="3" s="1"/>
  <c r="G35" i="3"/>
  <c r="H35" i="3" s="1"/>
  <c r="BN35" i="3" s="1"/>
  <c r="F33" i="3"/>
  <c r="F31" i="3"/>
  <c r="BM31" i="3" s="1"/>
  <c r="F29" i="3"/>
  <c r="BN17" i="3"/>
  <c r="F28" i="3"/>
  <c r="BM28" i="3" s="1"/>
  <c r="F36" i="3"/>
  <c r="BM36" i="3" s="1"/>
  <c r="G9" i="3"/>
  <c r="H9" i="3" s="1"/>
  <c r="G37" i="3"/>
  <c r="H37" i="3" s="1"/>
  <c r="G30" i="3"/>
  <c r="H30" i="3" s="1"/>
  <c r="BN30" i="3" s="1"/>
  <c r="F23" i="3"/>
  <c r="E64" i="1"/>
  <c r="BN14" i="4"/>
  <c r="BQ14" i="4"/>
  <c r="BK14" i="4"/>
  <c r="BJ14" i="4"/>
  <c r="BI14" i="4"/>
  <c r="BH14" i="4"/>
  <c r="BP14" i="4"/>
  <c r="BL14" i="4"/>
  <c r="BM14" i="4"/>
  <c r="BO14" i="4"/>
  <c r="BI15" i="4"/>
  <c r="BM15" i="4"/>
  <c r="BP15" i="4"/>
  <c r="BQ15" i="4"/>
  <c r="BJ15" i="4"/>
  <c r="BO15" i="4"/>
  <c r="BN15" i="4"/>
  <c r="BK15" i="4"/>
  <c r="BL15" i="4"/>
  <c r="BH15" i="4"/>
  <c r="BM9" i="4"/>
  <c r="BJ9" i="4"/>
  <c r="BL9" i="4"/>
  <c r="BH9" i="4"/>
  <c r="BO9" i="4"/>
  <c r="BQ9" i="4"/>
  <c r="BK9" i="4"/>
  <c r="BP9" i="4"/>
  <c r="BN9" i="4"/>
  <c r="BI9" i="4"/>
  <c r="BK16" i="4"/>
  <c r="BQ16" i="4"/>
  <c r="BI16" i="4"/>
  <c r="BO16" i="4"/>
  <c r="BP16" i="4"/>
  <c r="BM16" i="4"/>
  <c r="BL16" i="4"/>
  <c r="BJ16" i="4"/>
  <c r="BH16" i="4"/>
  <c r="BN16" i="4"/>
  <c r="BJ11" i="4"/>
  <c r="BN11" i="4"/>
  <c r="BQ11" i="4"/>
  <c r="BO11" i="4"/>
  <c r="BL11" i="4"/>
  <c r="BM11" i="4"/>
  <c r="BI11" i="4"/>
  <c r="BK11" i="4"/>
  <c r="BP11" i="4"/>
  <c r="BH11" i="4"/>
  <c r="BL12" i="4"/>
  <c r="BJ12" i="4"/>
  <c r="BI12" i="4"/>
  <c r="BN12" i="4"/>
  <c r="BH12" i="4"/>
  <c r="BM12" i="4"/>
  <c r="BQ12" i="4"/>
  <c r="BO12" i="4"/>
  <c r="BP12" i="4"/>
  <c r="BK12" i="4"/>
  <c r="BO13" i="4"/>
  <c r="BI13" i="4"/>
  <c r="BH13" i="4"/>
  <c r="BJ13" i="4"/>
  <c r="BQ13" i="4"/>
  <c r="BK13" i="4"/>
  <c r="BN13" i="4"/>
  <c r="BP13" i="4"/>
  <c r="BL13" i="4"/>
  <c r="BM13" i="4"/>
  <c r="BK17" i="4"/>
  <c r="BP17" i="4"/>
  <c r="BM17" i="4"/>
  <c r="BO17" i="4"/>
  <c r="BN17" i="4"/>
  <c r="BL17" i="4"/>
  <c r="BH17" i="4"/>
  <c r="BQ17" i="4"/>
  <c r="BI17" i="4"/>
  <c r="BJ17" i="4"/>
  <c r="N17" i="4"/>
  <c r="O17" i="4" s="1"/>
  <c r="Q17" i="4" s="1"/>
  <c r="R17" i="4"/>
  <c r="S17" i="4" s="1"/>
  <c r="T17" i="4" s="1"/>
  <c r="X17" i="4"/>
  <c r="Y17" i="4" s="1"/>
  <c r="AD17" i="4"/>
  <c r="J65" i="4"/>
  <c r="K65" i="4" s="1"/>
  <c r="AD47" i="4"/>
  <c r="R47" i="4"/>
  <c r="S47" i="4" s="1"/>
  <c r="T47" i="4" s="1"/>
  <c r="U47" i="4"/>
  <c r="V47" i="4" s="1"/>
  <c r="W47" i="4" s="1"/>
  <c r="N47" i="4"/>
  <c r="O47" i="4" s="1"/>
  <c r="Q47" i="4" s="1"/>
  <c r="R101" i="4"/>
  <c r="S101" i="4" s="1"/>
  <c r="T101" i="4" s="1"/>
  <c r="N101" i="4"/>
  <c r="O101" i="4" s="1"/>
  <c r="Q101" i="4" s="1"/>
  <c r="U101" i="4"/>
  <c r="V101" i="4" s="1"/>
  <c r="W101" i="4" s="1"/>
  <c r="X101" i="4"/>
  <c r="Y101" i="4" s="1"/>
  <c r="N100" i="4"/>
  <c r="O100" i="4" s="1"/>
  <c r="Q100" i="4" s="1"/>
  <c r="AD100" i="4"/>
  <c r="R100" i="4"/>
  <c r="S100" i="4" s="1"/>
  <c r="T100" i="4" s="1"/>
  <c r="X100" i="4"/>
  <c r="Y100" i="4" s="1"/>
  <c r="AD80" i="4"/>
  <c r="X80" i="4"/>
  <c r="Y80" i="4" s="1"/>
  <c r="N80" i="4"/>
  <c r="O80" i="4" s="1"/>
  <c r="Q80" i="4" s="1"/>
  <c r="R80" i="4"/>
  <c r="S80" i="4" s="1"/>
  <c r="T80" i="4" s="1"/>
  <c r="X15" i="4"/>
  <c r="Y15" i="4" s="1"/>
  <c r="N15" i="4"/>
  <c r="O15" i="4" s="1"/>
  <c r="Q15" i="4" s="1"/>
  <c r="R15" i="4"/>
  <c r="S15" i="4" s="1"/>
  <c r="T15" i="4" s="1"/>
  <c r="U15" i="4"/>
  <c r="V15" i="4" s="1"/>
  <c r="W15" i="4" s="1"/>
  <c r="U80" i="4"/>
  <c r="V80" i="4" s="1"/>
  <c r="W80" i="4" s="1"/>
  <c r="U29" i="4"/>
  <c r="V29" i="4" s="1"/>
  <c r="W29" i="4" s="1"/>
  <c r="U89" i="4"/>
  <c r="V89" i="4" s="1"/>
  <c r="W89" i="4" s="1"/>
  <c r="AD40" i="4"/>
  <c r="X88" i="4"/>
  <c r="Y88" i="4" s="1"/>
  <c r="X71" i="4"/>
  <c r="Y71" i="4" s="1"/>
  <c r="U28" i="4"/>
  <c r="V28" i="4" s="1"/>
  <c r="W28" i="4" s="1"/>
  <c r="AD74" i="4"/>
  <c r="AD26" i="4"/>
  <c r="X56" i="4"/>
  <c r="Y56" i="4" s="1"/>
  <c r="U92" i="4"/>
  <c r="V92" i="4" s="1"/>
  <c r="W92" i="4" s="1"/>
  <c r="X103" i="4"/>
  <c r="Y103" i="4" s="1"/>
  <c r="X89" i="4"/>
  <c r="Y89" i="4" s="1"/>
  <c r="U81" i="4"/>
  <c r="V81" i="4" s="1"/>
  <c r="W81" i="4" s="1"/>
  <c r="AD103" i="4"/>
  <c r="U91" i="4"/>
  <c r="V91" i="4" s="1"/>
  <c r="W91" i="4" s="1"/>
  <c r="U21" i="4"/>
  <c r="V21" i="4" s="1"/>
  <c r="W21" i="4" s="1"/>
  <c r="U71" i="4"/>
  <c r="V71" i="4" s="1"/>
  <c r="W71" i="4" s="1"/>
  <c r="X28" i="4"/>
  <c r="Y28" i="4" s="1"/>
  <c r="U74" i="4"/>
  <c r="V74" i="4" s="1"/>
  <c r="W74" i="4" s="1"/>
  <c r="X26" i="4"/>
  <c r="Y26" i="4" s="1"/>
  <c r="U56" i="4"/>
  <c r="V56" i="4" s="1"/>
  <c r="W56" i="4" s="1"/>
  <c r="X83" i="4"/>
  <c r="Y83" i="4" s="1"/>
  <c r="U51" i="4"/>
  <c r="V51" i="4" s="1"/>
  <c r="W51" i="4" s="1"/>
  <c r="N71" i="4"/>
  <c r="O71" i="4" s="1"/>
  <c r="Q71" i="4" s="1"/>
  <c r="R71" i="4"/>
  <c r="S71" i="4" s="1"/>
  <c r="T71" i="4" s="1"/>
  <c r="N28" i="4"/>
  <c r="O28" i="4" s="1"/>
  <c r="Q28" i="4" s="1"/>
  <c r="R28" i="4"/>
  <c r="S28" i="4" s="1"/>
  <c r="T28" i="4" s="1"/>
  <c r="R74" i="4"/>
  <c r="S74" i="4" s="1"/>
  <c r="T74" i="4" s="1"/>
  <c r="N74" i="4"/>
  <c r="O74" i="4" s="1"/>
  <c r="Q74" i="4" s="1"/>
  <c r="R26" i="4"/>
  <c r="S26" i="4" s="1"/>
  <c r="T26" i="4" s="1"/>
  <c r="N26" i="4"/>
  <c r="O26" i="4" s="1"/>
  <c r="Q26" i="4" s="1"/>
  <c r="R56" i="4"/>
  <c r="S56" i="4" s="1"/>
  <c r="T56" i="4" s="1"/>
  <c r="N56" i="4"/>
  <c r="O56" i="4" s="1"/>
  <c r="Q56" i="4" s="1"/>
  <c r="R92" i="4"/>
  <c r="S92" i="4" s="1"/>
  <c r="T92" i="4" s="1"/>
  <c r="N92" i="4"/>
  <c r="O92" i="4" s="1"/>
  <c r="Q92" i="4" s="1"/>
  <c r="X92" i="4"/>
  <c r="Y92" i="4" s="1"/>
  <c r="N103" i="4"/>
  <c r="O103" i="4" s="1"/>
  <c r="Q103" i="4" s="1"/>
  <c r="R103" i="4"/>
  <c r="S103" i="4" s="1"/>
  <c r="T103" i="4" s="1"/>
  <c r="X29" i="4"/>
  <c r="Y29" i="4" s="1"/>
  <c r="U40" i="4"/>
  <c r="V40" i="4" s="1"/>
  <c r="W40" i="4" s="1"/>
  <c r="U88" i="4"/>
  <c r="V88" i="4" s="1"/>
  <c r="W88" i="4" s="1"/>
  <c r="X21" i="4"/>
  <c r="Y21" i="4" s="1"/>
  <c r="AD91" i="4"/>
  <c r="AD83" i="4"/>
  <c r="X51" i="4"/>
  <c r="Y51" i="4" s="1"/>
  <c r="R40" i="4"/>
  <c r="S40" i="4" s="1"/>
  <c r="T40" i="4" s="1"/>
  <c r="N40" i="4"/>
  <c r="O40" i="4" s="1"/>
  <c r="Q40" i="4" s="1"/>
  <c r="R88" i="4"/>
  <c r="S88" i="4" s="1"/>
  <c r="T88" i="4" s="1"/>
  <c r="N88" i="4"/>
  <c r="O88" i="4" s="1"/>
  <c r="Q88" i="4" s="1"/>
  <c r="R21" i="4"/>
  <c r="S21" i="4" s="1"/>
  <c r="T21" i="4" s="1"/>
  <c r="N21" i="4"/>
  <c r="O21" i="4" s="1"/>
  <c r="Q21" i="4" s="1"/>
  <c r="R20" i="4"/>
  <c r="S20" i="4" s="1"/>
  <c r="T20" i="4" s="1"/>
  <c r="N20" i="4"/>
  <c r="O20" i="4" s="1"/>
  <c r="Q20" i="4" s="1"/>
  <c r="X20" i="4"/>
  <c r="Y20" i="4" s="1"/>
  <c r="R91" i="4"/>
  <c r="S91" i="4" s="1"/>
  <c r="T91" i="4" s="1"/>
  <c r="N91" i="4"/>
  <c r="O91" i="4" s="1"/>
  <c r="Q91" i="4" s="1"/>
  <c r="AQ39" i="3"/>
  <c r="AR39" i="3"/>
  <c r="B39" i="3"/>
  <c r="A40" i="3"/>
  <c r="D39" i="3"/>
  <c r="C39" i="3"/>
  <c r="G39" i="3"/>
  <c r="H39" i="3" s="1"/>
  <c r="F39" i="3"/>
  <c r="X85" i="4"/>
  <c r="Y85" i="4" s="1"/>
  <c r="R85" i="4"/>
  <c r="S85" i="4" s="1"/>
  <c r="T85" i="4" s="1"/>
  <c r="N85" i="4"/>
  <c r="O85" i="4" s="1"/>
  <c r="Q85" i="4" s="1"/>
  <c r="AD85" i="4"/>
  <c r="N83" i="4"/>
  <c r="O83" i="4" s="1"/>
  <c r="Q83" i="4" s="1"/>
  <c r="R83" i="4"/>
  <c r="S83" i="4" s="1"/>
  <c r="T83" i="4" s="1"/>
  <c r="N51" i="4"/>
  <c r="O51" i="4" s="1"/>
  <c r="Q51" i="4" s="1"/>
  <c r="R51" i="4"/>
  <c r="S51" i="4" s="1"/>
  <c r="T51" i="4" s="1"/>
  <c r="AD20" i="4"/>
  <c r="N96" i="4"/>
  <c r="O96" i="4" s="1"/>
  <c r="Q96" i="4" s="1"/>
  <c r="R96" i="4"/>
  <c r="S96" i="4" s="1"/>
  <c r="T96" i="4" s="1"/>
  <c r="N48" i="4"/>
  <c r="O48" i="4" s="1"/>
  <c r="Q48" i="4" s="1"/>
  <c r="R48" i="4"/>
  <c r="S48" i="4" s="1"/>
  <c r="T48" i="4" s="1"/>
  <c r="N29" i="4"/>
  <c r="O29" i="4" s="1"/>
  <c r="Q29" i="4" s="1"/>
  <c r="R29" i="4"/>
  <c r="S29" i="4" s="1"/>
  <c r="T29" i="4" s="1"/>
  <c r="N89" i="4"/>
  <c r="O89" i="4" s="1"/>
  <c r="Q89" i="4" s="1"/>
  <c r="R89" i="4"/>
  <c r="S89" i="4" s="1"/>
  <c r="T89" i="4" s="1"/>
  <c r="AD23" i="4"/>
  <c r="U22" i="4"/>
  <c r="V22" i="4" s="1"/>
  <c r="W22" i="4" s="1"/>
  <c r="AD93" i="4"/>
  <c r="AD96" i="4"/>
  <c r="X96" i="4"/>
  <c r="Y96" i="4" s="1"/>
  <c r="X23" i="4"/>
  <c r="Y23" i="4" s="1"/>
  <c r="X22" i="4"/>
  <c r="Y22" i="4" s="1"/>
  <c r="X48" i="4"/>
  <c r="Y48" i="4" s="1"/>
  <c r="AD48" i="4"/>
  <c r="X93" i="4"/>
  <c r="Y93" i="4" s="1"/>
  <c r="X81" i="4"/>
  <c r="Y81" i="4" s="1"/>
  <c r="R23" i="4"/>
  <c r="S23" i="4" s="1"/>
  <c r="T23" i="4" s="1"/>
  <c r="N23" i="4"/>
  <c r="O23" i="4" s="1"/>
  <c r="Q23" i="4" s="1"/>
  <c r="N22" i="4"/>
  <c r="O22" i="4" s="1"/>
  <c r="Q22" i="4" s="1"/>
  <c r="R22" i="4"/>
  <c r="S22" i="4" s="1"/>
  <c r="T22" i="4" s="1"/>
  <c r="R93" i="4"/>
  <c r="S93" i="4" s="1"/>
  <c r="T93" i="4" s="1"/>
  <c r="N93" i="4"/>
  <c r="O93" i="4" s="1"/>
  <c r="Q93" i="4" s="1"/>
  <c r="R81" i="4"/>
  <c r="S81" i="4" s="1"/>
  <c r="T81" i="4" s="1"/>
  <c r="N81" i="4"/>
  <c r="O81" i="4" s="1"/>
  <c r="Q81" i="4" s="1"/>
  <c r="U48" i="4"/>
  <c r="V48" i="4" s="1"/>
  <c r="W48" i="4" s="1"/>
  <c r="AH184" i="4" l="1"/>
  <c r="AH139" i="4"/>
  <c r="AH141" i="4"/>
  <c r="AH154" i="4"/>
  <c r="AH201" i="4"/>
  <c r="AH127" i="4"/>
  <c r="AH183" i="4"/>
  <c r="AH205" i="4"/>
  <c r="AH125" i="4"/>
  <c r="AH208" i="4"/>
  <c r="AH32" i="4"/>
  <c r="AH179" i="4"/>
  <c r="AH171" i="4"/>
  <c r="AH134" i="4"/>
  <c r="AH150" i="4"/>
  <c r="AH119" i="4"/>
  <c r="AH138" i="4"/>
  <c r="AH200" i="4"/>
  <c r="AH29" i="4"/>
  <c r="AH170" i="4"/>
  <c r="AH192" i="4"/>
  <c r="AH118" i="4"/>
  <c r="AF132" i="4"/>
  <c r="AG132" i="4" s="1"/>
  <c r="AS132" i="4" s="1"/>
  <c r="M132" i="4"/>
  <c r="AA132" i="4" s="1"/>
  <c r="AB132" i="4"/>
  <c r="M201" i="4"/>
  <c r="AA201" i="4" s="1"/>
  <c r="Z201" i="4"/>
  <c r="AB201" i="4"/>
  <c r="Z184" i="4"/>
  <c r="AB166" i="4"/>
  <c r="M184" i="4"/>
  <c r="AA184" i="4" s="1"/>
  <c r="M192" i="4"/>
  <c r="AA192" i="4" s="1"/>
  <c r="Z192" i="4"/>
  <c r="AF184" i="4"/>
  <c r="AG184" i="4" s="1"/>
  <c r="AS184" i="4" s="1"/>
  <c r="AF192" i="4"/>
  <c r="AG192" i="4" s="1"/>
  <c r="AS192" i="4" s="1"/>
  <c r="M166" i="4"/>
  <c r="AA166" i="4" s="1"/>
  <c r="Z166" i="4"/>
  <c r="AB170" i="4"/>
  <c r="AB121" i="4"/>
  <c r="Z121" i="4"/>
  <c r="AF121" i="4"/>
  <c r="AG121" i="4" s="1"/>
  <c r="AS121" i="4" s="1"/>
  <c r="AB198" i="4"/>
  <c r="AB125" i="4"/>
  <c r="AF198" i="4"/>
  <c r="AG198" i="4" s="1"/>
  <c r="AS198" i="4" s="1"/>
  <c r="M198" i="4"/>
  <c r="AA198" i="4" s="1"/>
  <c r="M125" i="4"/>
  <c r="AA125" i="4" s="1"/>
  <c r="Z125" i="4"/>
  <c r="AF186" i="4"/>
  <c r="AG186" i="4" s="1"/>
  <c r="AS186" i="4" s="1"/>
  <c r="AB186" i="4"/>
  <c r="M154" i="4"/>
  <c r="AA154" i="4" s="1"/>
  <c r="Z186" i="4"/>
  <c r="Z138" i="4"/>
  <c r="AB183" i="4"/>
  <c r="Z183" i="4"/>
  <c r="AF154" i="4"/>
  <c r="AG154" i="4" s="1"/>
  <c r="AS154" i="4" s="1"/>
  <c r="AB138" i="4"/>
  <c r="Z200" i="4"/>
  <c r="AF200" i="4"/>
  <c r="AG200" i="4" s="1"/>
  <c r="AS200" i="4" s="1"/>
  <c r="M208" i="4"/>
  <c r="AA208" i="4" s="1"/>
  <c r="AF170" i="4"/>
  <c r="AG170" i="4" s="1"/>
  <c r="AS170" i="4" s="1"/>
  <c r="AB200" i="4"/>
  <c r="AB139" i="4"/>
  <c r="AF208" i="4"/>
  <c r="AG208" i="4" s="1"/>
  <c r="AS208" i="4" s="1"/>
  <c r="M127" i="4"/>
  <c r="AA127" i="4" s="1"/>
  <c r="Z208" i="4"/>
  <c r="AF141" i="4"/>
  <c r="AG141" i="4" s="1"/>
  <c r="AS141" i="4" s="1"/>
  <c r="M170" i="4"/>
  <c r="AA170" i="4" s="1"/>
  <c r="AB127" i="4"/>
  <c r="AF183" i="4"/>
  <c r="AG183" i="4" s="1"/>
  <c r="AS183" i="4" s="1"/>
  <c r="Z154" i="4"/>
  <c r="M141" i="4"/>
  <c r="AA141" i="4" s="1"/>
  <c r="AF138" i="4"/>
  <c r="AG138" i="4" s="1"/>
  <c r="AS138" i="4" s="1"/>
  <c r="Z127" i="4"/>
  <c r="AB141" i="4"/>
  <c r="M150" i="4"/>
  <c r="AA150" i="4" s="1"/>
  <c r="AB188" i="4"/>
  <c r="Z188" i="4"/>
  <c r="Z139" i="4"/>
  <c r="AB134" i="4"/>
  <c r="AF139" i="4"/>
  <c r="AG139" i="4" s="1"/>
  <c r="AS139" i="4" s="1"/>
  <c r="AG150" i="4"/>
  <c r="AS150" i="4" s="1"/>
  <c r="Z179" i="4"/>
  <c r="M179" i="4"/>
  <c r="AA179" i="4" s="1"/>
  <c r="AB150" i="4"/>
  <c r="Z150" i="4"/>
  <c r="M134" i="4"/>
  <c r="AA134" i="4" s="1"/>
  <c r="M118" i="4"/>
  <c r="AA118" i="4" s="1"/>
  <c r="AF188" i="4"/>
  <c r="AG188" i="4" s="1"/>
  <c r="AS188" i="4" s="1"/>
  <c r="AF134" i="4"/>
  <c r="AG134" i="4" s="1"/>
  <c r="AS134" i="4" s="1"/>
  <c r="Z118" i="4"/>
  <c r="AF171" i="4"/>
  <c r="AG171" i="4" s="1"/>
  <c r="AS171" i="4" s="1"/>
  <c r="Z119" i="4"/>
  <c r="AB119" i="4"/>
  <c r="M119" i="4"/>
  <c r="AA119" i="4" s="1"/>
  <c r="AG205" i="4"/>
  <c r="AS205" i="4" s="1"/>
  <c r="AG179" i="4"/>
  <c r="AS179" i="4" s="1"/>
  <c r="AF118" i="4"/>
  <c r="AG118" i="4" s="1"/>
  <c r="AS118" i="4" s="1"/>
  <c r="AB179" i="4"/>
  <c r="Z171" i="4"/>
  <c r="M171" i="4"/>
  <c r="AA171" i="4" s="1"/>
  <c r="AG127" i="4"/>
  <c r="AS127" i="4" s="1"/>
  <c r="AE204" i="4"/>
  <c r="AG204" i="4" s="1"/>
  <c r="AS204" i="4" s="1"/>
  <c r="AH71" i="4"/>
  <c r="AG119" i="4"/>
  <c r="AS119" i="4" s="1"/>
  <c r="AH89" i="4"/>
  <c r="AH81" i="4"/>
  <c r="AH51" i="4"/>
  <c r="AH108" i="4"/>
  <c r="AH92" i="4"/>
  <c r="AH56" i="4"/>
  <c r="AH88" i="4"/>
  <c r="M204" i="4"/>
  <c r="AA204" i="4" s="1"/>
  <c r="Z147" i="4"/>
  <c r="AH22" i="4"/>
  <c r="Z204" i="4"/>
  <c r="AH37" i="4"/>
  <c r="AH27" i="4"/>
  <c r="AF196" i="4"/>
  <c r="AH99" i="4"/>
  <c r="AH15" i="4"/>
  <c r="AH28" i="4"/>
  <c r="AH16" i="4"/>
  <c r="Z193" i="4"/>
  <c r="AB147" i="4"/>
  <c r="AH72" i="4"/>
  <c r="AG166" i="4"/>
  <c r="AS166" i="4" s="1"/>
  <c r="AE177" i="4"/>
  <c r="AH177" i="4"/>
  <c r="AE160" i="4"/>
  <c r="AH160" i="4"/>
  <c r="AE155" i="4"/>
  <c r="AG155" i="4" s="1"/>
  <c r="AS155" i="4" s="1"/>
  <c r="AH155" i="4"/>
  <c r="AE187" i="4"/>
  <c r="AG187" i="4" s="1"/>
  <c r="AS187" i="4" s="1"/>
  <c r="AH187" i="4"/>
  <c r="AH33" i="4"/>
  <c r="AH95" i="4"/>
  <c r="AH55" i="4"/>
  <c r="AH21" i="4"/>
  <c r="AE161" i="4"/>
  <c r="AH161" i="4"/>
  <c r="AE122" i="4"/>
  <c r="AH122" i="4"/>
  <c r="AE128" i="4"/>
  <c r="AH128" i="4"/>
  <c r="AE182" i="4"/>
  <c r="AH182" i="4"/>
  <c r="AE144" i="4"/>
  <c r="AH144" i="4"/>
  <c r="AE133" i="4"/>
  <c r="AH133" i="4"/>
  <c r="AE176" i="4"/>
  <c r="AH176" i="4"/>
  <c r="AE190" i="4"/>
  <c r="AH190" i="4"/>
  <c r="AE168" i="4"/>
  <c r="AH168" i="4"/>
  <c r="AE162" i="4"/>
  <c r="AH162" i="4"/>
  <c r="AE202" i="4"/>
  <c r="AH202" i="4"/>
  <c r="AE111" i="4"/>
  <c r="AG111" i="4" s="1"/>
  <c r="AS111" i="4" s="1"/>
  <c r="AH111" i="4"/>
  <c r="AE191" i="4"/>
  <c r="AH191" i="4"/>
  <c r="AE135" i="4"/>
  <c r="AH135" i="4"/>
  <c r="AE158" i="4"/>
  <c r="AH158" i="4"/>
  <c r="AE203" i="4"/>
  <c r="AH203" i="4"/>
  <c r="AE120" i="4"/>
  <c r="AH120" i="4"/>
  <c r="Z196" i="4"/>
  <c r="AE123" i="4"/>
  <c r="AH123" i="4"/>
  <c r="AG201" i="4"/>
  <c r="AS201" i="4" s="1"/>
  <c r="AE163" i="4"/>
  <c r="AH163" i="4"/>
  <c r="AG125" i="4"/>
  <c r="AS125" i="4" s="1"/>
  <c r="AE145" i="4"/>
  <c r="AH145" i="4"/>
  <c r="AE197" i="4"/>
  <c r="AH197" i="4"/>
  <c r="AE199" i="4"/>
  <c r="AG199" i="4" s="1"/>
  <c r="AS199" i="4" s="1"/>
  <c r="AH199" i="4"/>
  <c r="AE189" i="4"/>
  <c r="AH189" i="4"/>
  <c r="AE196" i="4"/>
  <c r="AH196" i="4"/>
  <c r="AE113" i="4"/>
  <c r="AH113" i="4"/>
  <c r="AE157" i="4"/>
  <c r="AH157" i="4"/>
  <c r="AE209" i="4"/>
  <c r="AH209" i="4"/>
  <c r="AE137" i="4"/>
  <c r="AH137" i="4"/>
  <c r="AE207" i="4"/>
  <c r="AH207" i="4"/>
  <c r="AH52" i="4"/>
  <c r="AH101" i="4"/>
  <c r="AH42" i="4"/>
  <c r="AH30" i="4"/>
  <c r="AE126" i="4"/>
  <c r="AH126" i="4"/>
  <c r="AE164" i="4"/>
  <c r="AH164" i="4"/>
  <c r="AE172" i="4"/>
  <c r="AH172" i="4"/>
  <c r="AE167" i="4"/>
  <c r="AH167" i="4"/>
  <c r="AE194" i="4"/>
  <c r="AH194" i="4"/>
  <c r="AE173" i="4"/>
  <c r="AH173" i="4"/>
  <c r="AE169" i="4"/>
  <c r="AH169" i="4"/>
  <c r="AE142" i="4"/>
  <c r="AH142" i="4"/>
  <c r="AE149" i="4"/>
  <c r="AH149" i="4"/>
  <c r="AE185" i="4"/>
  <c r="AH185" i="4"/>
  <c r="AE195" i="4"/>
  <c r="AH195" i="4"/>
  <c r="AE112" i="4"/>
  <c r="AH112" i="4"/>
  <c r="AF178" i="4"/>
  <c r="AE206" i="4"/>
  <c r="AH206" i="4"/>
  <c r="AE129" i="4"/>
  <c r="AH129" i="4"/>
  <c r="AE178" i="4"/>
  <c r="AH178" i="4"/>
  <c r="AE153" i="4"/>
  <c r="AH153" i="4"/>
  <c r="AE115" i="4"/>
  <c r="AH115" i="4"/>
  <c r="AE181" i="4"/>
  <c r="AH181" i="4"/>
  <c r="AE152" i="4"/>
  <c r="AH152" i="4"/>
  <c r="AE117" i="4"/>
  <c r="AH117" i="4"/>
  <c r="AE174" i="4"/>
  <c r="AH174" i="4"/>
  <c r="AE131" i="4"/>
  <c r="AH131" i="4"/>
  <c r="AE147" i="4"/>
  <c r="AH147" i="4"/>
  <c r="AH10" i="4"/>
  <c r="AH107" i="4"/>
  <c r="AH75" i="4"/>
  <c r="AH87" i="4"/>
  <c r="AE165" i="4"/>
  <c r="AH165" i="4"/>
  <c r="AE110" i="4"/>
  <c r="AH110" i="4"/>
  <c r="AE159" i="4"/>
  <c r="AH159" i="4"/>
  <c r="AE116" i="4"/>
  <c r="AH116" i="4"/>
  <c r="AE124" i="4"/>
  <c r="AH124" i="4"/>
  <c r="AE114" i="4"/>
  <c r="AH114" i="4"/>
  <c r="AE130" i="4"/>
  <c r="AH130" i="4"/>
  <c r="AE180" i="4"/>
  <c r="AH180" i="4"/>
  <c r="AE175" i="4"/>
  <c r="AH175" i="4"/>
  <c r="AE146" i="4"/>
  <c r="AH146" i="4"/>
  <c r="AE143" i="4"/>
  <c r="AH143" i="4"/>
  <c r="AE148" i="4"/>
  <c r="AH148" i="4"/>
  <c r="AE151" i="4"/>
  <c r="AH151" i="4"/>
  <c r="AE140" i="4"/>
  <c r="AH140" i="4"/>
  <c r="AE156" i="4"/>
  <c r="AH156" i="4"/>
  <c r="AE193" i="4"/>
  <c r="AG193" i="4" s="1"/>
  <c r="AS193" i="4" s="1"/>
  <c r="AH193" i="4"/>
  <c r="AE136" i="4"/>
  <c r="AH136" i="4"/>
  <c r="M178" i="4"/>
  <c r="AA178" i="4" s="1"/>
  <c r="Z178" i="4"/>
  <c r="Z187" i="4"/>
  <c r="M205" i="4"/>
  <c r="AA205" i="4" s="1"/>
  <c r="AB205" i="4"/>
  <c r="AB189" i="4"/>
  <c r="Z205" i="4"/>
  <c r="AB204" i="4"/>
  <c r="AB187" i="4"/>
  <c r="M187" i="4"/>
  <c r="AA187" i="4" s="1"/>
  <c r="Z136" i="4"/>
  <c r="M136" i="4"/>
  <c r="AA136" i="4" s="1"/>
  <c r="M196" i="4"/>
  <c r="AA196" i="4" s="1"/>
  <c r="AF147" i="4"/>
  <c r="M193" i="4"/>
  <c r="AA193" i="4" s="1"/>
  <c r="AF136" i="4"/>
  <c r="AF189" i="4"/>
  <c r="M189" i="4"/>
  <c r="AA189" i="4" s="1"/>
  <c r="AF206" i="4"/>
  <c r="M206" i="4"/>
  <c r="AA206" i="4" s="1"/>
  <c r="AB193" i="4"/>
  <c r="Z199" i="4"/>
  <c r="Z129" i="4"/>
  <c r="M129" i="4"/>
  <c r="AA129" i="4" s="1"/>
  <c r="AF129" i="4"/>
  <c r="AF197" i="4"/>
  <c r="M197" i="4"/>
  <c r="AA197" i="4" s="1"/>
  <c r="AB199" i="4"/>
  <c r="AB206" i="4"/>
  <c r="M199" i="4"/>
  <c r="AA199" i="4" s="1"/>
  <c r="Z155" i="4"/>
  <c r="AB174" i="4"/>
  <c r="AF174" i="4"/>
  <c r="AB155" i="4"/>
  <c r="Z174" i="4"/>
  <c r="M155" i="4"/>
  <c r="AA155" i="4" s="1"/>
  <c r="Z197" i="4"/>
  <c r="M21" i="4"/>
  <c r="AA21" i="4" s="1"/>
  <c r="AB21" i="4"/>
  <c r="AF21" i="4"/>
  <c r="AG21" i="4" s="1"/>
  <c r="AS21" i="4" s="1"/>
  <c r="Z21" i="4"/>
  <c r="M103" i="4"/>
  <c r="AA103" i="4" s="1"/>
  <c r="AB103" i="4"/>
  <c r="AF103" i="4"/>
  <c r="Z103" i="4"/>
  <c r="M95" i="4"/>
  <c r="AA95" i="4" s="1"/>
  <c r="AB95" i="4"/>
  <c r="Z95" i="4"/>
  <c r="AF95" i="4"/>
  <c r="AG95" i="4" s="1"/>
  <c r="AS95" i="4" s="1"/>
  <c r="M68" i="4"/>
  <c r="AA68" i="4" s="1"/>
  <c r="AB68" i="4"/>
  <c r="AF68" i="4"/>
  <c r="Z68" i="4"/>
  <c r="M27" i="4"/>
  <c r="AA27" i="4" s="1"/>
  <c r="AF27" i="4"/>
  <c r="AG27" i="4" s="1"/>
  <c r="AS27" i="4" s="1"/>
  <c r="AB27" i="4"/>
  <c r="Z27" i="4"/>
  <c r="M109" i="4"/>
  <c r="AA109" i="4" s="1"/>
  <c r="AB109" i="4"/>
  <c r="AF109" i="4"/>
  <c r="Z109" i="4"/>
  <c r="M36" i="4"/>
  <c r="AA36" i="4" s="1"/>
  <c r="AB36" i="4"/>
  <c r="AF36" i="4"/>
  <c r="Z36" i="4"/>
  <c r="M94" i="4"/>
  <c r="AA94" i="4" s="1"/>
  <c r="AF94" i="4"/>
  <c r="AB94" i="4"/>
  <c r="Z94" i="4"/>
  <c r="M97" i="4"/>
  <c r="AA97" i="4" s="1"/>
  <c r="AB97" i="4"/>
  <c r="AF97" i="4"/>
  <c r="Z97" i="4"/>
  <c r="M56" i="4"/>
  <c r="AA56" i="4" s="1"/>
  <c r="AB56" i="4"/>
  <c r="AF56" i="4"/>
  <c r="AG56" i="4" s="1"/>
  <c r="AS56" i="4" s="1"/>
  <c r="Z56" i="4"/>
  <c r="M104" i="4"/>
  <c r="AA104" i="4" s="1"/>
  <c r="AB104" i="4"/>
  <c r="AF104" i="4"/>
  <c r="Z104" i="4"/>
  <c r="M9" i="4"/>
  <c r="AA9" i="4" s="1"/>
  <c r="AF9" i="4"/>
  <c r="AB9" i="4"/>
  <c r="Z9" i="4"/>
  <c r="M102" i="4"/>
  <c r="AA102" i="4" s="1"/>
  <c r="AF102" i="4"/>
  <c r="AB102" i="4"/>
  <c r="Z102" i="4"/>
  <c r="M49" i="4"/>
  <c r="AA49" i="4" s="1"/>
  <c r="AB49" i="4"/>
  <c r="AF49" i="4"/>
  <c r="Z49" i="4"/>
  <c r="M84" i="4"/>
  <c r="AA84" i="4" s="1"/>
  <c r="AF84" i="4"/>
  <c r="AB84" i="4"/>
  <c r="Z84" i="4"/>
  <c r="M100" i="4"/>
  <c r="AA100" i="4" s="1"/>
  <c r="AB100" i="4"/>
  <c r="AF100" i="4"/>
  <c r="Z100" i="4"/>
  <c r="M85" i="4"/>
  <c r="AA85" i="4" s="1"/>
  <c r="AB85" i="4"/>
  <c r="AF85" i="4"/>
  <c r="Z85" i="4"/>
  <c r="M66" i="4"/>
  <c r="AA66" i="4" s="1"/>
  <c r="AF66" i="4"/>
  <c r="AB66" i="4"/>
  <c r="Z66" i="4"/>
  <c r="M157" i="4"/>
  <c r="AA157" i="4" s="1"/>
  <c r="Z157" i="4"/>
  <c r="AB157" i="4"/>
  <c r="AF157" i="4"/>
  <c r="M145" i="4"/>
  <c r="AA145" i="4" s="1"/>
  <c r="AB145" i="4"/>
  <c r="AF145" i="4"/>
  <c r="Z145" i="4"/>
  <c r="M177" i="4"/>
  <c r="AA177" i="4" s="1"/>
  <c r="AF177" i="4"/>
  <c r="AB177" i="4"/>
  <c r="Z177" i="4"/>
  <c r="M116" i="4"/>
  <c r="AA116" i="4" s="1"/>
  <c r="AB116" i="4"/>
  <c r="Z116" i="4"/>
  <c r="AF116" i="4"/>
  <c r="M173" i="4"/>
  <c r="AA173" i="4" s="1"/>
  <c r="AF173" i="4"/>
  <c r="Z173" i="4"/>
  <c r="AB173" i="4"/>
  <c r="M169" i="4"/>
  <c r="AA169" i="4" s="1"/>
  <c r="AB169" i="4"/>
  <c r="Z169" i="4"/>
  <c r="AF169" i="4"/>
  <c r="M161" i="4"/>
  <c r="AA161" i="4" s="1"/>
  <c r="AF161" i="4"/>
  <c r="AB161" i="4"/>
  <c r="Z161" i="4"/>
  <c r="M164" i="4"/>
  <c r="AA164" i="4" s="1"/>
  <c r="AF164" i="4"/>
  <c r="AB164" i="4"/>
  <c r="Z164" i="4"/>
  <c r="M148" i="4"/>
  <c r="AA148" i="4" s="1"/>
  <c r="AF148" i="4"/>
  <c r="Z148" i="4"/>
  <c r="AB148" i="4"/>
  <c r="M114" i="4"/>
  <c r="AA114" i="4" s="1"/>
  <c r="AF114" i="4"/>
  <c r="AB114" i="4"/>
  <c r="Z114" i="4"/>
  <c r="M28" i="4"/>
  <c r="AA28" i="4" s="1"/>
  <c r="AB28" i="4"/>
  <c r="AF28" i="4"/>
  <c r="AG28" i="4" s="1"/>
  <c r="AS28" i="4" s="1"/>
  <c r="Z28" i="4"/>
  <c r="M32" i="4"/>
  <c r="AA32" i="4" s="1"/>
  <c r="AF32" i="4"/>
  <c r="AG32" i="4" s="1"/>
  <c r="AS32" i="4" s="1"/>
  <c r="AB32" i="4"/>
  <c r="Z32" i="4"/>
  <c r="M122" i="4"/>
  <c r="AA122" i="4" s="1"/>
  <c r="AF122" i="4"/>
  <c r="AB122" i="4"/>
  <c r="Z122" i="4"/>
  <c r="M137" i="4"/>
  <c r="AA137" i="4" s="1"/>
  <c r="AB137" i="4"/>
  <c r="Z137" i="4"/>
  <c r="AF137" i="4"/>
  <c r="M113" i="4"/>
  <c r="AA113" i="4" s="1"/>
  <c r="AB113" i="4"/>
  <c r="AF113" i="4"/>
  <c r="Z113" i="4"/>
  <c r="M128" i="4"/>
  <c r="AA128" i="4" s="1"/>
  <c r="AF128" i="4"/>
  <c r="AB128" i="4"/>
  <c r="Z128" i="4"/>
  <c r="M142" i="4"/>
  <c r="AA142" i="4" s="1"/>
  <c r="AF142" i="4"/>
  <c r="AB142" i="4"/>
  <c r="Z142" i="4"/>
  <c r="M149" i="4"/>
  <c r="AA149" i="4" s="1"/>
  <c r="AF149" i="4"/>
  <c r="AB149" i="4"/>
  <c r="Z149" i="4"/>
  <c r="M156" i="4"/>
  <c r="AA156" i="4" s="1"/>
  <c r="AF156" i="4"/>
  <c r="AB156" i="4"/>
  <c r="Z156" i="4"/>
  <c r="M80" i="4"/>
  <c r="AA80" i="4" s="1"/>
  <c r="AF80" i="4"/>
  <c r="AB80" i="4"/>
  <c r="Z80" i="4"/>
  <c r="M163" i="4"/>
  <c r="AA163" i="4" s="1"/>
  <c r="AB163" i="4"/>
  <c r="AF163" i="4"/>
  <c r="Z163" i="4"/>
  <c r="M30" i="4"/>
  <c r="AA30" i="4" s="1"/>
  <c r="AF30" i="4"/>
  <c r="AG30" i="4" s="1"/>
  <c r="AS30" i="4" s="1"/>
  <c r="AB30" i="4"/>
  <c r="Z30" i="4"/>
  <c r="M93" i="4"/>
  <c r="AA93" i="4" s="1"/>
  <c r="AB93" i="4"/>
  <c r="Z93" i="4"/>
  <c r="AF93" i="4"/>
  <c r="M39" i="4"/>
  <c r="AA39" i="4" s="1"/>
  <c r="AB39" i="4"/>
  <c r="AF39" i="4"/>
  <c r="Z39" i="4"/>
  <c r="M69" i="4"/>
  <c r="AA69" i="4" s="1"/>
  <c r="AB69" i="4"/>
  <c r="AF69" i="4"/>
  <c r="Z69" i="4"/>
  <c r="M34" i="4"/>
  <c r="AA34" i="4" s="1"/>
  <c r="AF34" i="4"/>
  <c r="AB34" i="4"/>
  <c r="Z34" i="4"/>
  <c r="M38" i="4"/>
  <c r="AA38" i="4" s="1"/>
  <c r="AF38" i="4"/>
  <c r="AB38" i="4"/>
  <c r="Z38" i="4"/>
  <c r="M108" i="4"/>
  <c r="AA108" i="4" s="1"/>
  <c r="AB108" i="4"/>
  <c r="AF108" i="4"/>
  <c r="AG108" i="4" s="1"/>
  <c r="AS108" i="4" s="1"/>
  <c r="Z108" i="4"/>
  <c r="M72" i="4"/>
  <c r="AA72" i="4" s="1"/>
  <c r="AB72" i="4"/>
  <c r="Z72" i="4"/>
  <c r="AF72" i="4"/>
  <c r="AG72" i="4" s="1"/>
  <c r="AS72" i="4" s="1"/>
  <c r="M92" i="4"/>
  <c r="AA92" i="4" s="1"/>
  <c r="AB92" i="4"/>
  <c r="AF92" i="4"/>
  <c r="AG92" i="4" s="1"/>
  <c r="AS92" i="4" s="1"/>
  <c r="Z92" i="4"/>
  <c r="M63" i="4"/>
  <c r="AA63" i="4" s="1"/>
  <c r="Z63" i="4"/>
  <c r="AF63" i="4"/>
  <c r="AB63" i="4"/>
  <c r="M45" i="4"/>
  <c r="AA45" i="4" s="1"/>
  <c r="AB45" i="4"/>
  <c r="AF45" i="4"/>
  <c r="Z45" i="4"/>
  <c r="M18" i="4"/>
  <c r="AA18" i="4" s="1"/>
  <c r="AF18" i="4"/>
  <c r="AB18" i="4"/>
  <c r="Z18" i="4"/>
  <c r="M13" i="4"/>
  <c r="AA13" i="4" s="1"/>
  <c r="AB13" i="4"/>
  <c r="AF13" i="4"/>
  <c r="Z13" i="4"/>
  <c r="M60" i="4"/>
  <c r="AA60" i="4" s="1"/>
  <c r="AB60" i="4"/>
  <c r="AF60" i="4"/>
  <c r="Z60" i="4"/>
  <c r="M29" i="4"/>
  <c r="AA29" i="4" s="1"/>
  <c r="AB29" i="4"/>
  <c r="Z29" i="4"/>
  <c r="AF29" i="4"/>
  <c r="AG29" i="4" s="1"/>
  <c r="AS29" i="4" s="1"/>
  <c r="M33" i="4"/>
  <c r="AA33" i="4" s="1"/>
  <c r="AB33" i="4"/>
  <c r="AF33" i="4"/>
  <c r="AG33" i="4" s="1"/>
  <c r="AS33" i="4" s="1"/>
  <c r="Z33" i="4"/>
  <c r="M53" i="4"/>
  <c r="AA53" i="4" s="1"/>
  <c r="AB53" i="4"/>
  <c r="AF53" i="4"/>
  <c r="Z53" i="4"/>
  <c r="M14" i="4"/>
  <c r="AA14" i="4" s="1"/>
  <c r="AF14" i="4"/>
  <c r="AB14" i="4"/>
  <c r="Z14" i="4"/>
  <c r="M31" i="4"/>
  <c r="AA31" i="4" s="1"/>
  <c r="AB31" i="4"/>
  <c r="Z31" i="4"/>
  <c r="AF31" i="4"/>
  <c r="M43" i="4"/>
  <c r="AA43" i="4" s="1"/>
  <c r="AF43" i="4"/>
  <c r="Z43" i="4"/>
  <c r="AB43" i="4"/>
  <c r="M24" i="4"/>
  <c r="AA24" i="4" s="1"/>
  <c r="AB24" i="4"/>
  <c r="AF24" i="4"/>
  <c r="Z24" i="4"/>
  <c r="M35" i="4"/>
  <c r="AA35" i="4" s="1"/>
  <c r="AB35" i="4"/>
  <c r="AF35" i="4"/>
  <c r="Z35" i="4"/>
  <c r="M23" i="4"/>
  <c r="AA23" i="4" s="1"/>
  <c r="AB23" i="4"/>
  <c r="AF23" i="4"/>
  <c r="Z23" i="4"/>
  <c r="M26" i="4"/>
  <c r="AA26" i="4" s="1"/>
  <c r="AF26" i="4"/>
  <c r="AB26" i="4"/>
  <c r="Z26" i="4"/>
  <c r="M70" i="4"/>
  <c r="AA70" i="4" s="1"/>
  <c r="AF70" i="4"/>
  <c r="AB70" i="4"/>
  <c r="Z70" i="4"/>
  <c r="M82" i="4"/>
  <c r="AA82" i="4" s="1"/>
  <c r="AF82" i="4"/>
  <c r="AB82" i="4"/>
  <c r="Z82" i="4"/>
  <c r="M131" i="4"/>
  <c r="AA131" i="4" s="1"/>
  <c r="AB131" i="4"/>
  <c r="AF131" i="4"/>
  <c r="Z131" i="4"/>
  <c r="M185" i="4"/>
  <c r="AA185" i="4" s="1"/>
  <c r="AF185" i="4"/>
  <c r="AB185" i="4"/>
  <c r="Z185" i="4"/>
  <c r="M130" i="4"/>
  <c r="AA130" i="4" s="1"/>
  <c r="AF130" i="4"/>
  <c r="AB130" i="4"/>
  <c r="Z130" i="4"/>
  <c r="M207" i="4"/>
  <c r="AA207" i="4" s="1"/>
  <c r="AB207" i="4"/>
  <c r="AF207" i="4"/>
  <c r="Z207" i="4"/>
  <c r="M194" i="4"/>
  <c r="AA194" i="4" s="1"/>
  <c r="AF194" i="4"/>
  <c r="AB194" i="4"/>
  <c r="Z194" i="4"/>
  <c r="M165" i="4"/>
  <c r="AA165" i="4" s="1"/>
  <c r="AF165" i="4"/>
  <c r="Z165" i="4"/>
  <c r="AB165" i="4"/>
  <c r="M176" i="4"/>
  <c r="AA176" i="4" s="1"/>
  <c r="AF176" i="4"/>
  <c r="AB176" i="4"/>
  <c r="Z176" i="4"/>
  <c r="M117" i="4"/>
  <c r="AA117" i="4" s="1"/>
  <c r="AB117" i="4"/>
  <c r="AF117" i="4"/>
  <c r="Z117" i="4"/>
  <c r="M209" i="4"/>
  <c r="AA209" i="4" s="1"/>
  <c r="AF209" i="4"/>
  <c r="AB209" i="4"/>
  <c r="Z209" i="4"/>
  <c r="M143" i="4"/>
  <c r="AA143" i="4" s="1"/>
  <c r="AB143" i="4"/>
  <c r="AF143" i="4"/>
  <c r="Z143" i="4"/>
  <c r="M181" i="4"/>
  <c r="AA181" i="4" s="1"/>
  <c r="AF181" i="4"/>
  <c r="Z181" i="4"/>
  <c r="AB181" i="4"/>
  <c r="Z111" i="4"/>
  <c r="AC111" i="4" s="1"/>
  <c r="M57" i="4"/>
  <c r="AA57" i="4" s="1"/>
  <c r="AB57" i="4"/>
  <c r="Z57" i="4"/>
  <c r="AF57" i="4"/>
  <c r="M22" i="4"/>
  <c r="AA22" i="4" s="1"/>
  <c r="AF22" i="4"/>
  <c r="AG22" i="4" s="1"/>
  <c r="AS22" i="4" s="1"/>
  <c r="Z22" i="4"/>
  <c r="AB22" i="4"/>
  <c r="M107" i="4"/>
  <c r="AA107" i="4" s="1"/>
  <c r="AF107" i="4"/>
  <c r="AG107" i="4" s="1"/>
  <c r="AS107" i="4" s="1"/>
  <c r="Z107" i="4"/>
  <c r="AB107" i="4"/>
  <c r="M52" i="4"/>
  <c r="AA52" i="4" s="1"/>
  <c r="AB52" i="4"/>
  <c r="AF52" i="4"/>
  <c r="AG52" i="4" s="1"/>
  <c r="AS52" i="4" s="1"/>
  <c r="Z52" i="4"/>
  <c r="M106" i="4"/>
  <c r="AA106" i="4" s="1"/>
  <c r="AF106" i="4"/>
  <c r="Z106" i="4"/>
  <c r="AB106" i="4"/>
  <c r="M42" i="4"/>
  <c r="AA42" i="4" s="1"/>
  <c r="AF42" i="4"/>
  <c r="AG42" i="4" s="1"/>
  <c r="AS42" i="4" s="1"/>
  <c r="Z42" i="4"/>
  <c r="AB42" i="4"/>
  <c r="M61" i="4"/>
  <c r="AA61" i="4" s="1"/>
  <c r="AB61" i="4"/>
  <c r="Z61" i="4"/>
  <c r="AF61" i="4"/>
  <c r="M101" i="4"/>
  <c r="AA101" i="4" s="1"/>
  <c r="AB101" i="4"/>
  <c r="AF101" i="4"/>
  <c r="AG101" i="4" s="1"/>
  <c r="AS101" i="4" s="1"/>
  <c r="Z101" i="4"/>
  <c r="M67" i="4"/>
  <c r="AA67" i="4" s="1"/>
  <c r="AB67" i="4"/>
  <c r="AF67" i="4"/>
  <c r="Z67" i="4"/>
  <c r="M78" i="4"/>
  <c r="AA78" i="4" s="1"/>
  <c r="AF78" i="4"/>
  <c r="AB78" i="4"/>
  <c r="Z78" i="4"/>
  <c r="M59" i="4"/>
  <c r="AA59" i="4" s="1"/>
  <c r="AF59" i="4"/>
  <c r="AB59" i="4"/>
  <c r="Z59" i="4"/>
  <c r="M180" i="4"/>
  <c r="AA180" i="4" s="1"/>
  <c r="Z180" i="4"/>
  <c r="AF180" i="4"/>
  <c r="AB180" i="4"/>
  <c r="M172" i="4"/>
  <c r="AA172" i="4" s="1"/>
  <c r="AF172" i="4"/>
  <c r="AB172" i="4"/>
  <c r="Z172" i="4"/>
  <c r="M126" i="4"/>
  <c r="AA126" i="4" s="1"/>
  <c r="AF126" i="4"/>
  <c r="AB126" i="4"/>
  <c r="Z126" i="4"/>
  <c r="M123" i="4"/>
  <c r="AA123" i="4" s="1"/>
  <c r="AF123" i="4"/>
  <c r="AB123" i="4"/>
  <c r="Z123" i="4"/>
  <c r="M160" i="4"/>
  <c r="AA160" i="4" s="1"/>
  <c r="AF160" i="4"/>
  <c r="AB160" i="4"/>
  <c r="Z160" i="4"/>
  <c r="M135" i="4"/>
  <c r="AA135" i="4" s="1"/>
  <c r="AB135" i="4"/>
  <c r="AF135" i="4"/>
  <c r="Z135" i="4"/>
  <c r="M20" i="4"/>
  <c r="AA20" i="4" s="1"/>
  <c r="AF20" i="4"/>
  <c r="Z20" i="4"/>
  <c r="AB20" i="4"/>
  <c r="M55" i="4"/>
  <c r="AA55" i="4" s="1"/>
  <c r="AB55" i="4"/>
  <c r="AF55" i="4"/>
  <c r="AG55" i="4" s="1"/>
  <c r="AS55" i="4" s="1"/>
  <c r="Z55" i="4"/>
  <c r="M96" i="4"/>
  <c r="AA96" i="4" s="1"/>
  <c r="AF96" i="4"/>
  <c r="AB96" i="4"/>
  <c r="Z96" i="4"/>
  <c r="M76" i="4"/>
  <c r="AA76" i="4" s="1"/>
  <c r="AB76" i="4"/>
  <c r="AF76" i="4"/>
  <c r="Z76" i="4"/>
  <c r="M89" i="4"/>
  <c r="AA89" i="4" s="1"/>
  <c r="AB89" i="4"/>
  <c r="Z89" i="4"/>
  <c r="AF89" i="4"/>
  <c r="AG89" i="4" s="1"/>
  <c r="AS89" i="4" s="1"/>
  <c r="M15" i="4"/>
  <c r="AA15" i="4" s="1"/>
  <c r="AB15" i="4"/>
  <c r="AF15" i="4"/>
  <c r="AG15" i="4" s="1"/>
  <c r="AS15" i="4" s="1"/>
  <c r="Z15" i="4"/>
  <c r="M105" i="4"/>
  <c r="AA105" i="4" s="1"/>
  <c r="AB105" i="4"/>
  <c r="AF105" i="4"/>
  <c r="Z105" i="4"/>
  <c r="M16" i="4"/>
  <c r="AA16" i="4" s="1"/>
  <c r="AF16" i="4"/>
  <c r="AG16" i="4" s="1"/>
  <c r="AS16" i="4" s="1"/>
  <c r="AB16" i="4"/>
  <c r="Z16" i="4"/>
  <c r="M74" i="4"/>
  <c r="AA74" i="4" s="1"/>
  <c r="AF74" i="4"/>
  <c r="Z74" i="4"/>
  <c r="AB74" i="4"/>
  <c r="M77" i="4"/>
  <c r="AA77" i="4" s="1"/>
  <c r="AB77" i="4"/>
  <c r="AF77" i="4"/>
  <c r="Z77" i="4"/>
  <c r="M19" i="4"/>
  <c r="AA19" i="4" s="1"/>
  <c r="AB19" i="4"/>
  <c r="AF19" i="4"/>
  <c r="Z19" i="4"/>
  <c r="M17" i="4"/>
  <c r="AA17" i="4" s="1"/>
  <c r="AB17" i="4"/>
  <c r="AF17" i="4"/>
  <c r="Z17" i="4"/>
  <c r="M40" i="4"/>
  <c r="AA40" i="4" s="1"/>
  <c r="AB40" i="4"/>
  <c r="AF40" i="4"/>
  <c r="Z40" i="4"/>
  <c r="M79" i="4"/>
  <c r="AA79" i="4" s="1"/>
  <c r="AB79" i="4"/>
  <c r="AF79" i="4"/>
  <c r="Z79" i="4"/>
  <c r="M88" i="4"/>
  <c r="AA88" i="4" s="1"/>
  <c r="AB88" i="4"/>
  <c r="AF88" i="4"/>
  <c r="AG88" i="4" s="1"/>
  <c r="AS88" i="4" s="1"/>
  <c r="Z88" i="4"/>
  <c r="M25" i="4"/>
  <c r="AA25" i="4" s="1"/>
  <c r="AB25" i="4"/>
  <c r="Z25" i="4"/>
  <c r="AF25" i="4"/>
  <c r="M83" i="4"/>
  <c r="AA83" i="4" s="1"/>
  <c r="AB83" i="4"/>
  <c r="AF83" i="4"/>
  <c r="Z83" i="4"/>
  <c r="M47" i="4"/>
  <c r="AA47" i="4" s="1"/>
  <c r="AB47" i="4"/>
  <c r="AF47" i="4"/>
  <c r="Z47" i="4"/>
  <c r="M140" i="4"/>
  <c r="AA140" i="4" s="1"/>
  <c r="AB140" i="4"/>
  <c r="AF140" i="4"/>
  <c r="Z140" i="4"/>
  <c r="M120" i="4"/>
  <c r="AA120" i="4" s="1"/>
  <c r="AB120" i="4"/>
  <c r="AF120" i="4"/>
  <c r="Z120" i="4"/>
  <c r="M202" i="4"/>
  <c r="AA202" i="4" s="1"/>
  <c r="AF202" i="4"/>
  <c r="AB202" i="4"/>
  <c r="Z202" i="4"/>
  <c r="M159" i="4"/>
  <c r="AA159" i="4" s="1"/>
  <c r="AB159" i="4"/>
  <c r="AF159" i="4"/>
  <c r="Z159" i="4"/>
  <c r="M153" i="4"/>
  <c r="AA153" i="4" s="1"/>
  <c r="AF153" i="4"/>
  <c r="AB153" i="4"/>
  <c r="Z153" i="4"/>
  <c r="M110" i="4"/>
  <c r="AA110" i="4" s="1"/>
  <c r="AF110" i="4"/>
  <c r="AB110" i="4"/>
  <c r="Z110" i="4"/>
  <c r="M175" i="4"/>
  <c r="AA175" i="4" s="1"/>
  <c r="AB175" i="4"/>
  <c r="AF175" i="4"/>
  <c r="Z175" i="4"/>
  <c r="M146" i="4"/>
  <c r="AA146" i="4" s="1"/>
  <c r="AF146" i="4"/>
  <c r="AB146" i="4"/>
  <c r="Z146" i="4"/>
  <c r="M112" i="4"/>
  <c r="AA112" i="4" s="1"/>
  <c r="AF112" i="4"/>
  <c r="AB112" i="4"/>
  <c r="Z112" i="4"/>
  <c r="M37" i="4"/>
  <c r="AA37" i="4" s="1"/>
  <c r="AB37" i="4"/>
  <c r="AF37" i="4"/>
  <c r="AG37" i="4" s="1"/>
  <c r="AS37" i="4" s="1"/>
  <c r="Z37" i="4"/>
  <c r="M75" i="4"/>
  <c r="AA75" i="4" s="1"/>
  <c r="AF75" i="4"/>
  <c r="AG75" i="4" s="1"/>
  <c r="AS75" i="4" s="1"/>
  <c r="AB75" i="4"/>
  <c r="Z75" i="4"/>
  <c r="M91" i="4"/>
  <c r="AA91" i="4" s="1"/>
  <c r="AF91" i="4"/>
  <c r="AB91" i="4"/>
  <c r="Z91" i="4"/>
  <c r="M87" i="4"/>
  <c r="AA87" i="4" s="1"/>
  <c r="AB87" i="4"/>
  <c r="AF87" i="4"/>
  <c r="AG87" i="4" s="1"/>
  <c r="AS87" i="4" s="1"/>
  <c r="Z87" i="4"/>
  <c r="M81" i="4"/>
  <c r="AA81" i="4" s="1"/>
  <c r="AB81" i="4"/>
  <c r="AF81" i="4"/>
  <c r="AG81" i="4" s="1"/>
  <c r="AS81" i="4" s="1"/>
  <c r="Z81" i="4"/>
  <c r="M86" i="4"/>
  <c r="AA86" i="4" s="1"/>
  <c r="AF86" i="4"/>
  <c r="Z86" i="4"/>
  <c r="AB86" i="4"/>
  <c r="M98" i="4"/>
  <c r="AA98" i="4" s="1"/>
  <c r="AF98" i="4"/>
  <c r="AB98" i="4"/>
  <c r="Z98" i="4"/>
  <c r="M44" i="4"/>
  <c r="AA44" i="4" s="1"/>
  <c r="AB44" i="4"/>
  <c r="AF44" i="4"/>
  <c r="Z44" i="4"/>
  <c r="M50" i="4"/>
  <c r="AA50" i="4" s="1"/>
  <c r="AF50" i="4"/>
  <c r="AB50" i="4"/>
  <c r="Z50" i="4"/>
  <c r="M51" i="4"/>
  <c r="AA51" i="4" s="1"/>
  <c r="AB51" i="4"/>
  <c r="Z51" i="4"/>
  <c r="AF51" i="4"/>
  <c r="AG51" i="4" s="1"/>
  <c r="AS51" i="4" s="1"/>
  <c r="M99" i="4"/>
  <c r="AA99" i="4" s="1"/>
  <c r="AB99" i="4"/>
  <c r="AF99" i="4"/>
  <c r="AG99" i="4" s="1"/>
  <c r="AS99" i="4" s="1"/>
  <c r="Z99" i="4"/>
  <c r="M10" i="4"/>
  <c r="AA10" i="4" s="1"/>
  <c r="AF10" i="4"/>
  <c r="AG10" i="4" s="1"/>
  <c r="AS10" i="4" s="1"/>
  <c r="Z10" i="4"/>
  <c r="AB10" i="4"/>
  <c r="M58" i="4"/>
  <c r="AA58" i="4" s="1"/>
  <c r="AF58" i="4"/>
  <c r="AB58" i="4"/>
  <c r="Z58" i="4"/>
  <c r="M54" i="4"/>
  <c r="AA54" i="4" s="1"/>
  <c r="AF54" i="4"/>
  <c r="Z54" i="4"/>
  <c r="AB54" i="4"/>
  <c r="M90" i="4"/>
  <c r="AA90" i="4" s="1"/>
  <c r="AF90" i="4"/>
  <c r="AB90" i="4"/>
  <c r="Z90" i="4"/>
  <c r="M71" i="4"/>
  <c r="AA71" i="4" s="1"/>
  <c r="AB71" i="4"/>
  <c r="AF71" i="4"/>
  <c r="AG71" i="4" s="1"/>
  <c r="AS71" i="4" s="1"/>
  <c r="Z71" i="4"/>
  <c r="M46" i="4"/>
  <c r="AA46" i="4" s="1"/>
  <c r="AF46" i="4"/>
  <c r="AB46" i="4"/>
  <c r="Z46" i="4"/>
  <c r="M11" i="4"/>
  <c r="AA11" i="4" s="1"/>
  <c r="AF11" i="4"/>
  <c r="AB11" i="4"/>
  <c r="Z11" i="4"/>
  <c r="M62" i="4"/>
  <c r="AA62" i="4" s="1"/>
  <c r="AF62" i="4"/>
  <c r="AB62" i="4"/>
  <c r="Z62" i="4"/>
  <c r="M12" i="4"/>
  <c r="AA12" i="4" s="1"/>
  <c r="AB12" i="4"/>
  <c r="AF12" i="4"/>
  <c r="Z12" i="4"/>
  <c r="M41" i="4"/>
  <c r="AA41" i="4" s="1"/>
  <c r="AB41" i="4"/>
  <c r="Z41" i="4"/>
  <c r="AF41" i="4"/>
  <c r="M73" i="4"/>
  <c r="AA73" i="4" s="1"/>
  <c r="AB73" i="4"/>
  <c r="Z73" i="4"/>
  <c r="AF73" i="4"/>
  <c r="M64" i="4"/>
  <c r="AA64" i="4" s="1"/>
  <c r="AF64" i="4"/>
  <c r="Z64" i="4"/>
  <c r="AB64" i="4"/>
  <c r="M151" i="4"/>
  <c r="AA151" i="4" s="1"/>
  <c r="AF151" i="4"/>
  <c r="AB151" i="4"/>
  <c r="Z151" i="4"/>
  <c r="M152" i="4"/>
  <c r="AA152" i="4" s="1"/>
  <c r="AF152" i="4"/>
  <c r="AB152" i="4"/>
  <c r="Z152" i="4"/>
  <c r="M190" i="4"/>
  <c r="AA190" i="4" s="1"/>
  <c r="AF190" i="4"/>
  <c r="AB190" i="4"/>
  <c r="Z190" i="4"/>
  <c r="M182" i="4"/>
  <c r="AA182" i="4" s="1"/>
  <c r="AF182" i="4"/>
  <c r="AB182" i="4"/>
  <c r="Z182" i="4"/>
  <c r="M124" i="4"/>
  <c r="AA124" i="4" s="1"/>
  <c r="AB124" i="4"/>
  <c r="AF124" i="4"/>
  <c r="Z124" i="4"/>
  <c r="M133" i="4"/>
  <c r="AA133" i="4" s="1"/>
  <c r="AB133" i="4"/>
  <c r="AF133" i="4"/>
  <c r="Z133" i="4"/>
  <c r="M168" i="4"/>
  <c r="AA168" i="4" s="1"/>
  <c r="AB168" i="4"/>
  <c r="AF168" i="4"/>
  <c r="Z168" i="4"/>
  <c r="M167" i="4"/>
  <c r="AA167" i="4" s="1"/>
  <c r="AF167" i="4"/>
  <c r="AB167" i="4"/>
  <c r="Z167" i="4"/>
  <c r="M191" i="4"/>
  <c r="AA191" i="4" s="1"/>
  <c r="AB191" i="4"/>
  <c r="AF191" i="4"/>
  <c r="Z191" i="4"/>
  <c r="M144" i="4"/>
  <c r="AA144" i="4" s="1"/>
  <c r="AF144" i="4"/>
  <c r="AB144" i="4"/>
  <c r="Z144" i="4"/>
  <c r="M115" i="4"/>
  <c r="AA115" i="4" s="1"/>
  <c r="AB115" i="4"/>
  <c r="Z115" i="4"/>
  <c r="AF115" i="4"/>
  <c r="M195" i="4"/>
  <c r="AA195" i="4" s="1"/>
  <c r="AB195" i="4"/>
  <c r="AF195" i="4"/>
  <c r="Z195" i="4"/>
  <c r="M158" i="4"/>
  <c r="AA158" i="4" s="1"/>
  <c r="AF158" i="4"/>
  <c r="AB158" i="4"/>
  <c r="Z158" i="4"/>
  <c r="M162" i="4"/>
  <c r="AA162" i="4" s="1"/>
  <c r="AF162" i="4"/>
  <c r="AB162" i="4"/>
  <c r="Z162" i="4"/>
  <c r="M48" i="4"/>
  <c r="AA48" i="4" s="1"/>
  <c r="AF48" i="4"/>
  <c r="AB48" i="4"/>
  <c r="Z48" i="4"/>
  <c r="M203" i="4"/>
  <c r="AA203" i="4" s="1"/>
  <c r="AF203" i="4"/>
  <c r="AB203" i="4"/>
  <c r="Z203" i="4"/>
  <c r="X65" i="4"/>
  <c r="Y65" i="4" s="1"/>
  <c r="L65" i="4"/>
  <c r="AE23" i="4"/>
  <c r="AH23" i="4"/>
  <c r="AE60" i="4"/>
  <c r="AH60" i="4"/>
  <c r="AE31" i="4"/>
  <c r="AH31" i="4"/>
  <c r="AE9" i="4"/>
  <c r="AH9" i="4"/>
  <c r="AE26" i="4"/>
  <c r="AH26" i="4"/>
  <c r="AE80" i="4"/>
  <c r="AH80" i="4"/>
  <c r="AE100" i="4"/>
  <c r="AH100" i="4"/>
  <c r="AE41" i="4"/>
  <c r="AH41" i="4"/>
  <c r="AE18" i="4"/>
  <c r="AH18" i="4"/>
  <c r="AE105" i="4"/>
  <c r="AH105" i="4"/>
  <c r="AE35" i="4"/>
  <c r="AH35" i="4"/>
  <c r="AE24" i="4"/>
  <c r="AH24" i="4"/>
  <c r="AE69" i="4"/>
  <c r="AH69" i="4"/>
  <c r="AE57" i="4"/>
  <c r="AH57" i="4"/>
  <c r="AE54" i="4"/>
  <c r="AH54" i="4"/>
  <c r="AE82" i="4"/>
  <c r="AH82" i="4"/>
  <c r="AE104" i="4"/>
  <c r="AH104" i="4"/>
  <c r="AE48" i="4"/>
  <c r="AH48" i="4"/>
  <c r="AE47" i="4"/>
  <c r="AH47" i="4"/>
  <c r="AE25" i="4"/>
  <c r="AH25" i="4"/>
  <c r="AE109" i="4"/>
  <c r="AH109" i="4"/>
  <c r="AE62" i="4"/>
  <c r="AH62" i="4"/>
  <c r="AE59" i="4"/>
  <c r="AH59" i="4"/>
  <c r="AE50" i="4"/>
  <c r="AH50" i="4"/>
  <c r="AE76" i="4"/>
  <c r="AH76" i="4"/>
  <c r="AE36" i="4"/>
  <c r="AH36" i="4"/>
  <c r="AE93" i="4"/>
  <c r="AH93" i="4"/>
  <c r="AE40" i="4"/>
  <c r="AH40" i="4"/>
  <c r="AE17" i="4"/>
  <c r="AH17" i="4"/>
  <c r="AE106" i="4"/>
  <c r="AH106" i="4"/>
  <c r="AE44" i="4"/>
  <c r="AH44" i="4"/>
  <c r="AE11" i="4"/>
  <c r="AH11" i="4"/>
  <c r="AE43" i="4"/>
  <c r="AH43" i="4"/>
  <c r="AE97" i="4"/>
  <c r="AH97" i="4"/>
  <c r="AE98" i="4"/>
  <c r="AH98" i="4"/>
  <c r="AE84" i="4"/>
  <c r="AH84" i="4"/>
  <c r="AE67" i="4"/>
  <c r="AH67" i="4"/>
  <c r="AE49" i="4"/>
  <c r="AH49" i="4"/>
  <c r="AE102" i="4"/>
  <c r="AH102" i="4"/>
  <c r="AE61" i="4"/>
  <c r="AH61" i="4"/>
  <c r="AE39" i="4"/>
  <c r="AH39" i="4"/>
  <c r="AE14" i="4"/>
  <c r="AH14" i="4"/>
  <c r="AE64" i="4"/>
  <c r="AH64" i="4"/>
  <c r="AE77" i="4"/>
  <c r="AH77" i="4"/>
  <c r="AE85" i="4"/>
  <c r="AH85" i="4"/>
  <c r="AE79" i="4"/>
  <c r="AH79" i="4"/>
  <c r="AE38" i="4"/>
  <c r="AH38" i="4"/>
  <c r="AE86" i="4"/>
  <c r="AH86" i="4"/>
  <c r="AE53" i="4"/>
  <c r="AH53" i="4"/>
  <c r="AE94" i="4"/>
  <c r="AH94" i="4"/>
  <c r="AE58" i="4"/>
  <c r="AH58" i="4"/>
  <c r="AE96" i="4"/>
  <c r="AH96" i="4"/>
  <c r="AE20" i="4"/>
  <c r="AH20" i="4"/>
  <c r="AE83" i="4"/>
  <c r="AH83" i="4"/>
  <c r="AE74" i="4"/>
  <c r="AH74" i="4"/>
  <c r="AE91" i="4"/>
  <c r="AH91" i="4"/>
  <c r="AE103" i="4"/>
  <c r="AH103" i="4"/>
  <c r="AE66" i="4"/>
  <c r="AH66" i="4"/>
  <c r="AE13" i="4"/>
  <c r="AH13" i="4"/>
  <c r="AE46" i="4"/>
  <c r="AH46" i="4"/>
  <c r="AE70" i="4"/>
  <c r="AH70" i="4"/>
  <c r="AE78" i="4"/>
  <c r="AH78" i="4"/>
  <c r="AE34" i="4"/>
  <c r="AH34" i="4"/>
  <c r="AE90" i="4"/>
  <c r="AH90" i="4"/>
  <c r="AE63" i="4"/>
  <c r="AH63" i="4"/>
  <c r="AE73" i="4"/>
  <c r="AH73" i="4"/>
  <c r="AE19" i="4"/>
  <c r="AH19" i="4"/>
  <c r="AE68" i="4"/>
  <c r="AH68" i="4"/>
  <c r="AE12" i="4"/>
  <c r="AH12" i="4"/>
  <c r="AE45" i="4"/>
  <c r="AH45" i="4"/>
  <c r="B55" i="2"/>
  <c r="B64" i="2" s="1"/>
  <c r="B59" i="2"/>
  <c r="R22" i="8" s="1"/>
  <c r="S22" i="8" s="1"/>
  <c r="B60" i="2" s="1"/>
  <c r="C52" i="16"/>
  <c r="D52" i="16" s="1"/>
  <c r="A259" i="2"/>
  <c r="C57" i="16"/>
  <c r="D57" i="16" s="1"/>
  <c r="BM39" i="3"/>
  <c r="R9" i="8"/>
  <c r="S9" i="8" s="1"/>
  <c r="S30" i="8" s="1"/>
  <c r="C77" i="1" s="1"/>
  <c r="BN14" i="3"/>
  <c r="B75" i="1"/>
  <c r="BM30" i="3"/>
  <c r="BM18" i="3"/>
  <c r="C225" i="2"/>
  <c r="B225" i="2" s="1"/>
  <c r="B226" i="2" s="1"/>
  <c r="C79" i="4"/>
  <c r="B79" i="4" s="1"/>
  <c r="B80" i="4" s="1"/>
  <c r="B70" i="4"/>
  <c r="BM29" i="3"/>
  <c r="B77" i="1"/>
  <c r="C3" i="8"/>
  <c r="C159" i="8" s="1"/>
  <c r="C158" i="8" s="1"/>
  <c r="C157" i="8" s="1"/>
  <c r="C156" i="8" s="1"/>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C4" i="8" s="1"/>
  <c r="S28" i="8" s="1"/>
  <c r="C75" i="1" s="1"/>
  <c r="R27" i="8"/>
  <c r="BM33" i="3"/>
  <c r="BN37" i="3"/>
  <c r="BM23" i="3"/>
  <c r="BM26" i="3"/>
  <c r="BN9" i="3"/>
  <c r="AD65" i="4"/>
  <c r="U65" i="4"/>
  <c r="V65" i="4" s="1"/>
  <c r="W65" i="4" s="1"/>
  <c r="N65" i="4"/>
  <c r="O65" i="4" s="1"/>
  <c r="Q65" i="4" s="1"/>
  <c r="R65" i="4"/>
  <c r="S65" i="4" s="1"/>
  <c r="T65" i="4" s="1"/>
  <c r="AR40" i="3"/>
  <c r="B40" i="3"/>
  <c r="AQ40" i="3"/>
  <c r="A41" i="3"/>
  <c r="D40" i="3"/>
  <c r="C40" i="3"/>
  <c r="G40" i="3"/>
  <c r="H40" i="3" s="1"/>
  <c r="F40" i="3"/>
  <c r="BN39" i="3"/>
  <c r="AC139" i="4" l="1"/>
  <c r="AR139" i="4" s="1"/>
  <c r="AC132" i="4"/>
  <c r="AO132" i="4" s="1"/>
  <c r="AQ132" i="4" s="1"/>
  <c r="AU132" i="4" s="1"/>
  <c r="AC201" i="4"/>
  <c r="AO201" i="4" s="1"/>
  <c r="AQ201" i="4" s="1"/>
  <c r="AU201" i="4" s="1"/>
  <c r="AC184" i="4"/>
  <c r="AR184" i="4" s="1"/>
  <c r="AC192" i="4"/>
  <c r="AR192" i="4" s="1"/>
  <c r="AC166" i="4"/>
  <c r="AR166" i="4" s="1"/>
  <c r="AC170" i="4"/>
  <c r="AR170" i="4" s="1"/>
  <c r="AC121" i="4"/>
  <c r="AO121" i="4" s="1"/>
  <c r="AQ121" i="4" s="1"/>
  <c r="AU121" i="4" s="1"/>
  <c r="AC198" i="4"/>
  <c r="AO198" i="4" s="1"/>
  <c r="AQ198" i="4" s="1"/>
  <c r="AU198" i="4" s="1"/>
  <c r="AC125" i="4"/>
  <c r="AR125" i="4" s="1"/>
  <c r="AC154" i="4"/>
  <c r="AR154" i="4" s="1"/>
  <c r="AC138" i="4"/>
  <c r="AR138" i="4" s="1"/>
  <c r="AC186" i="4"/>
  <c r="AR186" i="4" s="1"/>
  <c r="AC183" i="4"/>
  <c r="AR183" i="4" s="1"/>
  <c r="AC200" i="4"/>
  <c r="AO200" i="4" s="1"/>
  <c r="AQ200" i="4" s="1"/>
  <c r="AU200" i="4" s="1"/>
  <c r="AC188" i="4"/>
  <c r="AR188" i="4" s="1"/>
  <c r="AC127" i="4"/>
  <c r="AO127" i="4" s="1"/>
  <c r="AQ127" i="4" s="1"/>
  <c r="AU127" i="4" s="1"/>
  <c r="AC208" i="4"/>
  <c r="AR208" i="4" s="1"/>
  <c r="AC141" i="4"/>
  <c r="AR141" i="4" s="1"/>
  <c r="AC118" i="4"/>
  <c r="AR118" i="4" s="1"/>
  <c r="AC134" i="4"/>
  <c r="AR134" i="4" s="1"/>
  <c r="AC150" i="4"/>
  <c r="AR150" i="4" s="1"/>
  <c r="AC179" i="4"/>
  <c r="AO179" i="4" s="1"/>
  <c r="AQ179" i="4" s="1"/>
  <c r="AU179" i="4" s="1"/>
  <c r="AC119" i="4"/>
  <c r="AR119" i="4" s="1"/>
  <c r="AG124" i="4"/>
  <c r="AS124" i="4" s="1"/>
  <c r="AG175" i="4"/>
  <c r="AS175" i="4" s="1"/>
  <c r="AG159" i="4"/>
  <c r="AS159" i="4" s="1"/>
  <c r="AG129" i="4"/>
  <c r="AS129" i="4" s="1"/>
  <c r="AC171" i="4"/>
  <c r="AO171" i="4" s="1"/>
  <c r="AQ171" i="4" s="1"/>
  <c r="AU171" i="4" s="1"/>
  <c r="AG195" i="4"/>
  <c r="AS195" i="4" s="1"/>
  <c r="AG117" i="4"/>
  <c r="AS117" i="4" s="1"/>
  <c r="AG153" i="4"/>
  <c r="AS153" i="4" s="1"/>
  <c r="AG143" i="4"/>
  <c r="AS143" i="4" s="1"/>
  <c r="AG196" i="4"/>
  <c r="AS196" i="4" s="1"/>
  <c r="AG131" i="4"/>
  <c r="AS131" i="4" s="1"/>
  <c r="AG181" i="4"/>
  <c r="AS181" i="4" s="1"/>
  <c r="AG209" i="4"/>
  <c r="AS209" i="4" s="1"/>
  <c r="AG165" i="4"/>
  <c r="AS165" i="4" s="1"/>
  <c r="AG130" i="4"/>
  <c r="AS130" i="4" s="1"/>
  <c r="AG185" i="4"/>
  <c r="AS185" i="4" s="1"/>
  <c r="AG142" i="4"/>
  <c r="AS142" i="4" s="1"/>
  <c r="AG122" i="4"/>
  <c r="AS122" i="4" s="1"/>
  <c r="AG164" i="4"/>
  <c r="AS164" i="4" s="1"/>
  <c r="AG173" i="4"/>
  <c r="AS173" i="4" s="1"/>
  <c r="AG174" i="4"/>
  <c r="AS174" i="4" s="1"/>
  <c r="AG152" i="4"/>
  <c r="AS152" i="4" s="1"/>
  <c r="AG146" i="4"/>
  <c r="AS146" i="4" s="1"/>
  <c r="AG110" i="4"/>
  <c r="AS110" i="4" s="1"/>
  <c r="AG123" i="4"/>
  <c r="AS123" i="4" s="1"/>
  <c r="AG163" i="4"/>
  <c r="AS163" i="4" s="1"/>
  <c r="AG162" i="4"/>
  <c r="AS162" i="4" s="1"/>
  <c r="AG197" i="4"/>
  <c r="AS197" i="4" s="1"/>
  <c r="AC147" i="4"/>
  <c r="AR147" i="4" s="1"/>
  <c r="AG133" i="4"/>
  <c r="AS133" i="4" s="1"/>
  <c r="AG120" i="4"/>
  <c r="AS120" i="4" s="1"/>
  <c r="AC196" i="4"/>
  <c r="AR196" i="4" s="1"/>
  <c r="AG140" i="4"/>
  <c r="AS140" i="4" s="1"/>
  <c r="AG135" i="4"/>
  <c r="AS135" i="4" s="1"/>
  <c r="AG167" i="4"/>
  <c r="AS167" i="4" s="1"/>
  <c r="AG182" i="4"/>
  <c r="AS182" i="4" s="1"/>
  <c r="AG190" i="4"/>
  <c r="AS190" i="4" s="1"/>
  <c r="AG112" i="4"/>
  <c r="AS112" i="4" s="1"/>
  <c r="AG160" i="4"/>
  <c r="AS160" i="4" s="1"/>
  <c r="AG207" i="4"/>
  <c r="AS207" i="4" s="1"/>
  <c r="AG113" i="4"/>
  <c r="AS113" i="4" s="1"/>
  <c r="AG189" i="4"/>
  <c r="AS189" i="4" s="1"/>
  <c r="AG203" i="4"/>
  <c r="AS203" i="4" s="1"/>
  <c r="AG158" i="4"/>
  <c r="AS158" i="4" s="1"/>
  <c r="AG156" i="4"/>
  <c r="AS156" i="4" s="1"/>
  <c r="AG114" i="4"/>
  <c r="AS114" i="4" s="1"/>
  <c r="AG148" i="4"/>
  <c r="AS148" i="4" s="1"/>
  <c r="AG147" i="4"/>
  <c r="AS147" i="4" s="1"/>
  <c r="AG115" i="4"/>
  <c r="AS115" i="4" s="1"/>
  <c r="AG191" i="4"/>
  <c r="AS191" i="4" s="1"/>
  <c r="AG168" i="4"/>
  <c r="AS168" i="4" s="1"/>
  <c r="AG180" i="4"/>
  <c r="AS180" i="4" s="1"/>
  <c r="AG137" i="4"/>
  <c r="AS137" i="4" s="1"/>
  <c r="AG169" i="4"/>
  <c r="AS169" i="4" s="1"/>
  <c r="AG116" i="4"/>
  <c r="AS116" i="4" s="1"/>
  <c r="AG157" i="4"/>
  <c r="AS157" i="4" s="1"/>
  <c r="AG206" i="4"/>
  <c r="AS206" i="4" s="1"/>
  <c r="AG136" i="4"/>
  <c r="AS136" i="4" s="1"/>
  <c r="AC204" i="4"/>
  <c r="AR204" i="4" s="1"/>
  <c r="AC178" i="4"/>
  <c r="AR178" i="4" s="1"/>
  <c r="AG178" i="4"/>
  <c r="AS178" i="4" s="1"/>
  <c r="AG144" i="4"/>
  <c r="AS144" i="4" s="1"/>
  <c r="AG151" i="4"/>
  <c r="AS151" i="4" s="1"/>
  <c r="AG202" i="4"/>
  <c r="AS202" i="4" s="1"/>
  <c r="AG126" i="4"/>
  <c r="AS126" i="4" s="1"/>
  <c r="AG172" i="4"/>
  <c r="AS172" i="4" s="1"/>
  <c r="AG145" i="4"/>
  <c r="AS145" i="4" s="1"/>
  <c r="AG176" i="4"/>
  <c r="AS176" i="4" s="1"/>
  <c r="AG194" i="4"/>
  <c r="AS194" i="4" s="1"/>
  <c r="AG149" i="4"/>
  <c r="AS149" i="4" s="1"/>
  <c r="AG128" i="4"/>
  <c r="AS128" i="4" s="1"/>
  <c r="AG161" i="4"/>
  <c r="AS161" i="4" s="1"/>
  <c r="AG177" i="4"/>
  <c r="AS177" i="4" s="1"/>
  <c r="AC205" i="4"/>
  <c r="AR205" i="4" s="1"/>
  <c r="AC189" i="4"/>
  <c r="AR189" i="4" s="1"/>
  <c r="AC187" i="4"/>
  <c r="AR187" i="4" s="1"/>
  <c r="AC193" i="4"/>
  <c r="AO193" i="4" s="1"/>
  <c r="AQ193" i="4" s="1"/>
  <c r="AU193" i="4" s="1"/>
  <c r="AC136" i="4"/>
  <c r="AC206" i="4"/>
  <c r="AR206" i="4" s="1"/>
  <c r="AC129" i="4"/>
  <c r="AC199" i="4"/>
  <c r="AR199" i="4" s="1"/>
  <c r="AC197" i="4"/>
  <c r="AR197" i="4" s="1"/>
  <c r="AG20" i="4"/>
  <c r="AS20" i="4" s="1"/>
  <c r="AG58" i="4"/>
  <c r="AS58" i="4" s="1"/>
  <c r="AG64" i="4"/>
  <c r="AS64" i="4" s="1"/>
  <c r="AG98" i="4"/>
  <c r="AS98" i="4" s="1"/>
  <c r="AG54" i="4"/>
  <c r="AS54" i="4" s="1"/>
  <c r="AG74" i="4"/>
  <c r="AS74" i="4" s="1"/>
  <c r="AG59" i="4"/>
  <c r="AS59" i="4" s="1"/>
  <c r="AC155" i="4"/>
  <c r="AR155" i="4" s="1"/>
  <c r="AG66" i="4"/>
  <c r="AS66" i="4" s="1"/>
  <c r="AG94" i="4"/>
  <c r="AS94" i="4" s="1"/>
  <c r="AG14" i="4"/>
  <c r="AS14" i="4" s="1"/>
  <c r="AG84" i="4"/>
  <c r="AS84" i="4" s="1"/>
  <c r="AG48" i="4"/>
  <c r="AS48" i="4" s="1"/>
  <c r="AG82" i="4"/>
  <c r="AS82" i="4" s="1"/>
  <c r="AG80" i="4"/>
  <c r="AS80" i="4" s="1"/>
  <c r="AG9" i="4"/>
  <c r="AS9" i="4" s="1"/>
  <c r="AC190" i="4"/>
  <c r="AR190" i="4" s="1"/>
  <c r="AC53" i="4"/>
  <c r="AC174" i="4"/>
  <c r="AR174" i="4" s="1"/>
  <c r="AG31" i="4"/>
  <c r="AS31" i="4" s="1"/>
  <c r="AG45" i="4"/>
  <c r="AS45" i="4" s="1"/>
  <c r="AG68" i="4"/>
  <c r="AS68" i="4" s="1"/>
  <c r="AG78" i="4"/>
  <c r="AS78" i="4" s="1"/>
  <c r="AG96" i="4"/>
  <c r="AS96" i="4" s="1"/>
  <c r="AG49" i="4"/>
  <c r="AS49" i="4" s="1"/>
  <c r="AG97" i="4"/>
  <c r="AS97" i="4" s="1"/>
  <c r="AG106" i="4"/>
  <c r="AS106" i="4" s="1"/>
  <c r="AG36" i="4"/>
  <c r="AS36" i="4" s="1"/>
  <c r="AG24" i="4"/>
  <c r="AS24" i="4" s="1"/>
  <c r="AG60" i="4"/>
  <c r="AS60" i="4" s="1"/>
  <c r="AC83" i="4"/>
  <c r="AR83" i="4" s="1"/>
  <c r="AC143" i="4"/>
  <c r="AC209" i="4"/>
  <c r="AR209" i="4" s="1"/>
  <c r="AC70" i="4"/>
  <c r="AC24" i="4"/>
  <c r="AC72" i="4"/>
  <c r="AC108" i="4"/>
  <c r="AR108" i="4" s="1"/>
  <c r="AC30" i="4"/>
  <c r="AC163" i="4"/>
  <c r="AR163" i="4" s="1"/>
  <c r="AC142" i="4"/>
  <c r="AR142" i="4" s="1"/>
  <c r="AC114" i="4"/>
  <c r="AR114" i="4" s="1"/>
  <c r="AC85" i="4"/>
  <c r="AR85" i="4" s="1"/>
  <c r="AC102" i="4"/>
  <c r="AR102" i="4" s="1"/>
  <c r="AC94" i="4"/>
  <c r="AR94" i="4" s="1"/>
  <c r="AC27" i="4"/>
  <c r="AC103" i="4"/>
  <c r="AR103" i="4" s="1"/>
  <c r="AG93" i="4"/>
  <c r="AS93" i="4" s="1"/>
  <c r="AC162" i="4"/>
  <c r="AR162" i="4" s="1"/>
  <c r="AC48" i="4"/>
  <c r="AC158" i="4"/>
  <c r="AC46" i="4"/>
  <c r="AC43" i="4"/>
  <c r="AG19" i="4"/>
  <c r="AS19" i="4" s="1"/>
  <c r="AG67" i="4"/>
  <c r="AS67" i="4" s="1"/>
  <c r="AG17" i="4"/>
  <c r="AG76" i="4"/>
  <c r="AS76" i="4" s="1"/>
  <c r="AG47" i="4"/>
  <c r="AS47" i="4" s="1"/>
  <c r="AC148" i="4"/>
  <c r="AR148" i="4" s="1"/>
  <c r="AG90" i="4"/>
  <c r="AS90" i="4" s="1"/>
  <c r="AG46" i="4"/>
  <c r="AS46" i="4" s="1"/>
  <c r="AG91" i="4"/>
  <c r="AS91" i="4" s="1"/>
  <c r="AC181" i="4"/>
  <c r="AR181" i="4" s="1"/>
  <c r="AC51" i="4"/>
  <c r="AG83" i="4"/>
  <c r="AS83" i="4" s="1"/>
  <c r="AG86" i="4"/>
  <c r="AS86" i="4" s="1"/>
  <c r="AG79" i="4"/>
  <c r="AS79" i="4" s="1"/>
  <c r="AG61" i="4"/>
  <c r="AS61" i="4" s="1"/>
  <c r="AG11" i="4"/>
  <c r="AS11" i="4" s="1"/>
  <c r="AG62" i="4"/>
  <c r="AS62" i="4" s="1"/>
  <c r="AG57" i="4"/>
  <c r="AS57" i="4" s="1"/>
  <c r="AG105" i="4"/>
  <c r="AS105" i="4" s="1"/>
  <c r="AC64" i="4"/>
  <c r="AC12" i="4"/>
  <c r="AC71" i="4"/>
  <c r="AC90" i="4"/>
  <c r="AR90" i="4" s="1"/>
  <c r="AC54" i="4"/>
  <c r="AC10" i="4"/>
  <c r="AC99" i="4"/>
  <c r="AR99" i="4" s="1"/>
  <c r="AC50" i="4"/>
  <c r="AC44" i="4"/>
  <c r="AC86" i="4"/>
  <c r="AR86" i="4" s="1"/>
  <c r="AC81" i="4"/>
  <c r="AR81" i="4" s="1"/>
  <c r="AC87" i="4"/>
  <c r="AR87" i="4" s="1"/>
  <c r="AC91" i="4"/>
  <c r="AR91" i="4" s="1"/>
  <c r="AC75" i="4"/>
  <c r="AC37" i="4"/>
  <c r="AC146" i="4"/>
  <c r="AR146" i="4" s="1"/>
  <c r="AC47" i="4"/>
  <c r="AC25" i="4"/>
  <c r="AC88" i="4"/>
  <c r="AR88" i="4" s="1"/>
  <c r="AC79" i="4"/>
  <c r="AC40" i="4"/>
  <c r="AC17" i="4"/>
  <c r="AC19" i="4"/>
  <c r="AC77" i="4"/>
  <c r="AC16" i="4"/>
  <c r="AC105" i="4"/>
  <c r="AR105" i="4" s="1"/>
  <c r="AC89" i="4"/>
  <c r="AR89" i="4" s="1"/>
  <c r="AC76" i="4"/>
  <c r="AC96" i="4"/>
  <c r="AR96" i="4" s="1"/>
  <c r="AC55" i="4"/>
  <c r="AC135" i="4"/>
  <c r="AR135" i="4" s="1"/>
  <c r="AC160" i="4"/>
  <c r="AR160" i="4" s="1"/>
  <c r="AC59" i="4"/>
  <c r="AC78" i="4"/>
  <c r="AC67" i="4"/>
  <c r="AC101" i="4"/>
  <c r="AR101" i="4" s="1"/>
  <c r="AC61" i="4"/>
  <c r="AC42" i="4"/>
  <c r="AC52" i="4"/>
  <c r="AC107" i="4"/>
  <c r="AR107" i="4" s="1"/>
  <c r="AC22" i="4"/>
  <c r="AC57" i="4"/>
  <c r="AC117" i="4"/>
  <c r="AR117" i="4" s="1"/>
  <c r="AC23" i="4"/>
  <c r="AC35" i="4"/>
  <c r="AC33" i="4"/>
  <c r="AC29" i="4"/>
  <c r="AC60" i="4"/>
  <c r="AC13" i="4"/>
  <c r="AC45" i="4"/>
  <c r="AC63" i="4"/>
  <c r="AC92" i="4"/>
  <c r="AR92" i="4" s="1"/>
  <c r="AC69" i="4"/>
  <c r="AC39" i="4"/>
  <c r="AC93" i="4"/>
  <c r="AR93" i="4" s="1"/>
  <c r="AC28" i="4"/>
  <c r="AC36" i="4"/>
  <c r="AG77" i="4"/>
  <c r="AS77" i="4" s="1"/>
  <c r="AG40" i="4"/>
  <c r="AS40" i="4" s="1"/>
  <c r="AG50" i="4"/>
  <c r="AS50" i="4" s="1"/>
  <c r="AG25" i="4"/>
  <c r="AS25" i="4" s="1"/>
  <c r="AC175" i="4"/>
  <c r="AC15" i="4"/>
  <c r="AG73" i="4"/>
  <c r="AS73" i="4" s="1"/>
  <c r="AG41" i="4"/>
  <c r="AS41" i="4" s="1"/>
  <c r="AC176" i="4"/>
  <c r="AR176" i="4" s="1"/>
  <c r="AC82" i="4"/>
  <c r="AR82" i="4" s="1"/>
  <c r="AC26" i="4"/>
  <c r="AC31" i="4"/>
  <c r="AC14" i="4"/>
  <c r="AC18" i="4"/>
  <c r="AC38" i="4"/>
  <c r="AC34" i="4"/>
  <c r="AC80" i="4"/>
  <c r="AC156" i="4"/>
  <c r="AR156" i="4" s="1"/>
  <c r="AC149" i="4"/>
  <c r="AC32" i="4"/>
  <c r="AC66" i="4"/>
  <c r="AC84" i="4"/>
  <c r="AR84" i="4" s="1"/>
  <c r="AC95" i="4"/>
  <c r="AR95" i="4" s="1"/>
  <c r="AC73" i="4"/>
  <c r="AC62" i="4"/>
  <c r="AC112" i="4"/>
  <c r="AR112" i="4" s="1"/>
  <c r="AC74" i="4"/>
  <c r="AC106" i="4"/>
  <c r="AR106" i="4" s="1"/>
  <c r="AG102" i="4"/>
  <c r="AS102" i="4" s="1"/>
  <c r="AC195" i="4"/>
  <c r="AR195" i="4" s="1"/>
  <c r="AC144" i="4"/>
  <c r="AR144" i="4" s="1"/>
  <c r="AC41" i="4"/>
  <c r="AC11" i="4"/>
  <c r="AC58" i="4"/>
  <c r="AC98" i="4"/>
  <c r="AR98" i="4" s="1"/>
  <c r="AC20" i="4"/>
  <c r="AC180" i="4"/>
  <c r="AR180" i="4" s="1"/>
  <c r="AC203" i="4"/>
  <c r="AR203" i="4" s="1"/>
  <c r="AC100" i="4"/>
  <c r="AR100" i="4" s="1"/>
  <c r="AC49" i="4"/>
  <c r="AC9" i="4"/>
  <c r="AC104" i="4"/>
  <c r="AR104" i="4" s="1"/>
  <c r="AC56" i="4"/>
  <c r="AC97" i="4"/>
  <c r="AR97" i="4" s="1"/>
  <c r="AC109" i="4"/>
  <c r="AR109" i="4" s="1"/>
  <c r="AC68" i="4"/>
  <c r="AC21" i="4"/>
  <c r="AG12" i="4"/>
  <c r="AS12" i="4" s="1"/>
  <c r="AG63" i="4"/>
  <c r="AS63" i="4" s="1"/>
  <c r="AG34" i="4"/>
  <c r="AS34" i="4" s="1"/>
  <c r="AG70" i="4"/>
  <c r="AS70" i="4" s="1"/>
  <c r="AG13" i="4"/>
  <c r="AS13" i="4" s="1"/>
  <c r="AG103" i="4"/>
  <c r="AS103" i="4" s="1"/>
  <c r="AG53" i="4"/>
  <c r="AS53" i="4" s="1"/>
  <c r="AG38" i="4"/>
  <c r="AS38" i="4" s="1"/>
  <c r="AG85" i="4"/>
  <c r="AS85" i="4" s="1"/>
  <c r="AG39" i="4"/>
  <c r="AS39" i="4" s="1"/>
  <c r="AG43" i="4"/>
  <c r="AS43" i="4" s="1"/>
  <c r="AG44" i="4"/>
  <c r="AS44" i="4" s="1"/>
  <c r="AG109" i="4"/>
  <c r="AS109" i="4" s="1"/>
  <c r="AG104" i="4"/>
  <c r="AS104" i="4" s="1"/>
  <c r="AG69" i="4"/>
  <c r="AS69" i="4" s="1"/>
  <c r="AG35" i="4"/>
  <c r="AS35" i="4" s="1"/>
  <c r="AG18" i="4"/>
  <c r="AS18" i="4" s="1"/>
  <c r="AG100" i="4"/>
  <c r="AS100" i="4" s="1"/>
  <c r="AG26" i="4"/>
  <c r="AS26" i="4" s="1"/>
  <c r="AG23" i="4"/>
  <c r="AS23" i="4" s="1"/>
  <c r="M65" i="4"/>
  <c r="AA65" i="4" s="1"/>
  <c r="AB65" i="4"/>
  <c r="AF65" i="4"/>
  <c r="Z65" i="4"/>
  <c r="AC145" i="4"/>
  <c r="AR145" i="4" s="1"/>
  <c r="AC133" i="4"/>
  <c r="AR133" i="4" s="1"/>
  <c r="AC110" i="4"/>
  <c r="AR110" i="4" s="1"/>
  <c r="AC191" i="4"/>
  <c r="AR191" i="4" s="1"/>
  <c r="AC159" i="4"/>
  <c r="AC164" i="4"/>
  <c r="AC152" i="4"/>
  <c r="AC177" i="4"/>
  <c r="AR177" i="4" s="1"/>
  <c r="AC128" i="4"/>
  <c r="AR128" i="4" s="1"/>
  <c r="AC167" i="4"/>
  <c r="AC173" i="4"/>
  <c r="AR173" i="4" s="1"/>
  <c r="AC120" i="4"/>
  <c r="AC153" i="4"/>
  <c r="AR153" i="4" s="1"/>
  <c r="AC137" i="4"/>
  <c r="AC172" i="4"/>
  <c r="AR172" i="4" s="1"/>
  <c r="AC131" i="4"/>
  <c r="AC185" i="4"/>
  <c r="AC116" i="4"/>
  <c r="AR116" i="4" s="1"/>
  <c r="AC124" i="4"/>
  <c r="AR124" i="4" s="1"/>
  <c r="AC122" i="4"/>
  <c r="AR122" i="4" s="1"/>
  <c r="AC151" i="4"/>
  <c r="AR151" i="4" s="1"/>
  <c r="AC207" i="4"/>
  <c r="AR207" i="4" s="1"/>
  <c r="AC115" i="4"/>
  <c r="AR115" i="4" s="1"/>
  <c r="AC157" i="4"/>
  <c r="AR157" i="4" s="1"/>
  <c r="AC169" i="4"/>
  <c r="AR169" i="4" s="1"/>
  <c r="AC182" i="4"/>
  <c r="AR182" i="4" s="1"/>
  <c r="AC202" i="4"/>
  <c r="AC123" i="4"/>
  <c r="AC140" i="4"/>
  <c r="AR140" i="4" s="1"/>
  <c r="AC113" i="4"/>
  <c r="AC130" i="4"/>
  <c r="AC126" i="4"/>
  <c r="AC161" i="4"/>
  <c r="AC165" i="4"/>
  <c r="AR111" i="4"/>
  <c r="AO111" i="4"/>
  <c r="AQ111" i="4" s="1"/>
  <c r="AU111" i="4" s="1"/>
  <c r="AC168" i="4"/>
  <c r="AC194" i="4"/>
  <c r="A265" i="2"/>
  <c r="AE65" i="4"/>
  <c r="AH65" i="4"/>
  <c r="R6" i="8"/>
  <c r="R5" i="8"/>
  <c r="S5" i="8" s="1"/>
  <c r="B265" i="2"/>
  <c r="C265" i="2"/>
  <c r="BM40" i="3"/>
  <c r="C53" i="16"/>
  <c r="D53" i="16" s="1"/>
  <c r="B139" i="2"/>
  <c r="A253" i="2" s="1"/>
  <c r="C39" i="16"/>
  <c r="D39" i="16" s="1"/>
  <c r="A237" i="2"/>
  <c r="B237" i="2"/>
  <c r="B142" i="2"/>
  <c r="A256" i="2" s="1"/>
  <c r="B78" i="1"/>
  <c r="E3" i="8"/>
  <c r="E159" i="8" s="1"/>
  <c r="E158" i="8" s="1"/>
  <c r="E157" i="8" s="1"/>
  <c r="E156" i="8" s="1"/>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E4" i="8" s="1"/>
  <c r="S31" i="8" s="1"/>
  <c r="C78" i="1" s="1"/>
  <c r="B76" i="1"/>
  <c r="D3" i="8"/>
  <c r="D159" i="8" s="1"/>
  <c r="D158" i="8" s="1"/>
  <c r="D157" i="8" s="1"/>
  <c r="D156" i="8" s="1"/>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S29" i="8" s="1"/>
  <c r="C76" i="1" s="1"/>
  <c r="R30" i="8"/>
  <c r="R28" i="8"/>
  <c r="AQ41" i="3"/>
  <c r="AR41" i="3"/>
  <c r="A42" i="3"/>
  <c r="B41" i="3"/>
  <c r="D41" i="3"/>
  <c r="C41" i="3"/>
  <c r="G41" i="3"/>
  <c r="H41" i="3" s="1"/>
  <c r="F41" i="3"/>
  <c r="BN40" i="3"/>
  <c r="AO139" i="4" l="1"/>
  <c r="AQ139" i="4" s="1"/>
  <c r="AU139" i="4" s="1"/>
  <c r="AR132" i="4"/>
  <c r="AO79" i="4"/>
  <c r="AQ79" i="4" s="1"/>
  <c r="AU79" i="4" s="1"/>
  <c r="AR14" i="4"/>
  <c r="AO14" i="4"/>
  <c r="AQ14" i="4" s="1"/>
  <c r="AU14" i="4" s="1"/>
  <c r="AO42" i="4"/>
  <c r="AQ42" i="4" s="1"/>
  <c r="AU42" i="4" s="1"/>
  <c r="AR20" i="4"/>
  <c r="AO20" i="4"/>
  <c r="AQ20" i="4" s="1"/>
  <c r="AU20" i="4" s="1"/>
  <c r="AR32" i="4"/>
  <c r="AO32" i="4"/>
  <c r="AQ32" i="4" s="1"/>
  <c r="AU32" i="4" s="1"/>
  <c r="AR31" i="4"/>
  <c r="AO31" i="4"/>
  <c r="AQ31" i="4" s="1"/>
  <c r="AU31" i="4" s="1"/>
  <c r="AR69" i="4"/>
  <c r="AO69" i="4"/>
  <c r="AQ69" i="4" s="1"/>
  <c r="AU69" i="4" s="1"/>
  <c r="AR35" i="4"/>
  <c r="AO35" i="4"/>
  <c r="AQ35" i="4" s="1"/>
  <c r="AU35" i="4" s="1"/>
  <c r="AR61" i="4"/>
  <c r="AO61" i="4"/>
  <c r="AQ61" i="4" s="1"/>
  <c r="AU61" i="4" s="1"/>
  <c r="AR40" i="4"/>
  <c r="AO40" i="4"/>
  <c r="AQ40" i="4" s="1"/>
  <c r="AU40" i="4" s="1"/>
  <c r="AR54" i="4"/>
  <c r="AO54" i="4"/>
  <c r="AQ54" i="4" s="1"/>
  <c r="AU54" i="4" s="1"/>
  <c r="AR43" i="4"/>
  <c r="AO43" i="4"/>
  <c r="AQ43" i="4" s="1"/>
  <c r="AU43" i="4" s="1"/>
  <c r="AR72" i="4"/>
  <c r="AO72" i="4"/>
  <c r="AQ72" i="4" s="1"/>
  <c r="AU72" i="4" s="1"/>
  <c r="AR33" i="4"/>
  <c r="AO33" i="4"/>
  <c r="AQ33" i="4" s="1"/>
  <c r="AU33" i="4" s="1"/>
  <c r="AR10" i="4"/>
  <c r="AO10" i="4"/>
  <c r="AQ10" i="4" s="1"/>
  <c r="AU10" i="4" s="1"/>
  <c r="AR56" i="4"/>
  <c r="AO56" i="4"/>
  <c r="AQ56" i="4" s="1"/>
  <c r="AU56" i="4" s="1"/>
  <c r="AR74" i="4"/>
  <c r="AO74" i="4"/>
  <c r="AQ74" i="4" s="1"/>
  <c r="AU74" i="4" s="1"/>
  <c r="AR26" i="4"/>
  <c r="AO26" i="4"/>
  <c r="AQ26" i="4" s="1"/>
  <c r="AU26" i="4" s="1"/>
  <c r="AR23" i="4"/>
  <c r="AO23" i="4"/>
  <c r="AQ23" i="4" s="1"/>
  <c r="AU23" i="4" s="1"/>
  <c r="AR76" i="4"/>
  <c r="AO76" i="4"/>
  <c r="AQ76" i="4" s="1"/>
  <c r="AU76" i="4" s="1"/>
  <c r="AR46" i="4"/>
  <c r="AO46" i="4"/>
  <c r="AQ46" i="4" s="1"/>
  <c r="AU46" i="4" s="1"/>
  <c r="AR24" i="4"/>
  <c r="AO24" i="4"/>
  <c r="AQ24" i="4" s="1"/>
  <c r="AU24" i="4" s="1"/>
  <c r="AR66" i="4"/>
  <c r="AO66" i="4"/>
  <c r="AQ66" i="4" s="1"/>
  <c r="AU66" i="4" s="1"/>
  <c r="AR75" i="4"/>
  <c r="AO75" i="4"/>
  <c r="AQ75" i="4" s="1"/>
  <c r="AU75" i="4" s="1"/>
  <c r="AR27" i="4"/>
  <c r="AO27" i="4"/>
  <c r="AQ27" i="4" s="1"/>
  <c r="AU27" i="4" s="1"/>
  <c r="AR58" i="4"/>
  <c r="AO58" i="4"/>
  <c r="AQ58" i="4" s="1"/>
  <c r="AU58" i="4" s="1"/>
  <c r="AR63" i="4"/>
  <c r="AO63" i="4"/>
  <c r="AQ63" i="4" s="1"/>
  <c r="AU63" i="4" s="1"/>
  <c r="AR67" i="4"/>
  <c r="AO67" i="4"/>
  <c r="AQ67" i="4" s="1"/>
  <c r="AU67" i="4" s="1"/>
  <c r="AR71" i="4"/>
  <c r="AO71" i="4"/>
  <c r="AQ71" i="4" s="1"/>
  <c r="AU71" i="4" s="1"/>
  <c r="AR70" i="4"/>
  <c r="AO70" i="4"/>
  <c r="AQ70" i="4" s="1"/>
  <c r="AU70" i="4" s="1"/>
  <c r="AR53" i="4"/>
  <c r="AO53" i="4"/>
  <c r="AQ53" i="4" s="1"/>
  <c r="AU53" i="4" s="1"/>
  <c r="AR9" i="4"/>
  <c r="AO9" i="4"/>
  <c r="AQ9" i="4" s="1"/>
  <c r="AU9" i="4" s="1"/>
  <c r="AR11" i="4"/>
  <c r="AO11" i="4"/>
  <c r="AQ11" i="4" s="1"/>
  <c r="AU11" i="4" s="1"/>
  <c r="AR62" i="4"/>
  <c r="AO62" i="4"/>
  <c r="AQ62" i="4" s="1"/>
  <c r="AU62" i="4" s="1"/>
  <c r="AR80" i="4"/>
  <c r="AO80" i="4"/>
  <c r="AQ80" i="4" s="1"/>
  <c r="AU80" i="4" s="1"/>
  <c r="AR45" i="4"/>
  <c r="AO45" i="4"/>
  <c r="AQ45" i="4" s="1"/>
  <c r="AU45" i="4" s="1"/>
  <c r="AR57" i="4"/>
  <c r="AO57" i="4"/>
  <c r="AQ57" i="4" s="1"/>
  <c r="AU57" i="4" s="1"/>
  <c r="AR78" i="4"/>
  <c r="AO78" i="4"/>
  <c r="AQ78" i="4" s="1"/>
  <c r="AU78" i="4" s="1"/>
  <c r="AR25" i="4"/>
  <c r="AO25" i="4"/>
  <c r="AQ25" i="4" s="1"/>
  <c r="AU25" i="4" s="1"/>
  <c r="AR12" i="4"/>
  <c r="AO12" i="4"/>
  <c r="AQ12" i="4" s="1"/>
  <c r="AU12" i="4" s="1"/>
  <c r="AR48" i="4"/>
  <c r="AO48" i="4"/>
  <c r="AQ48" i="4" s="1"/>
  <c r="AU48" i="4" s="1"/>
  <c r="AR17" i="4"/>
  <c r="AO17" i="4"/>
  <c r="AQ17" i="4" s="1"/>
  <c r="AU17" i="4" s="1"/>
  <c r="AR49" i="4"/>
  <c r="AO49" i="4"/>
  <c r="AQ49" i="4" s="1"/>
  <c r="AU49" i="4" s="1"/>
  <c r="AR41" i="4"/>
  <c r="AO41" i="4"/>
  <c r="AQ41" i="4" s="1"/>
  <c r="AU41" i="4" s="1"/>
  <c r="AR73" i="4"/>
  <c r="AO73" i="4"/>
  <c r="AQ73" i="4" s="1"/>
  <c r="AU73" i="4" s="1"/>
  <c r="AR34" i="4"/>
  <c r="AO34" i="4"/>
  <c r="AQ34" i="4" s="1"/>
  <c r="AU34" i="4" s="1"/>
  <c r="AR36" i="4"/>
  <c r="AO36" i="4"/>
  <c r="AQ36" i="4" s="1"/>
  <c r="AU36" i="4" s="1"/>
  <c r="AR13" i="4"/>
  <c r="AO13" i="4"/>
  <c r="AQ13" i="4" s="1"/>
  <c r="AU13" i="4" s="1"/>
  <c r="AR22" i="4"/>
  <c r="AO22" i="4"/>
  <c r="AQ22" i="4" s="1"/>
  <c r="AU22" i="4" s="1"/>
  <c r="AR59" i="4"/>
  <c r="AO59" i="4"/>
  <c r="AQ59" i="4" s="1"/>
  <c r="AU59" i="4" s="1"/>
  <c r="AR16" i="4"/>
  <c r="AO16" i="4"/>
  <c r="AQ16" i="4" s="1"/>
  <c r="AU16" i="4" s="1"/>
  <c r="AR47" i="4"/>
  <c r="AO47" i="4"/>
  <c r="AQ47" i="4" s="1"/>
  <c r="AU47" i="4" s="1"/>
  <c r="AR44" i="4"/>
  <c r="AO44" i="4"/>
  <c r="AQ44" i="4" s="1"/>
  <c r="AU44" i="4" s="1"/>
  <c r="AR64" i="4"/>
  <c r="AO64" i="4"/>
  <c r="AQ64" i="4" s="1"/>
  <c r="AU64" i="4" s="1"/>
  <c r="AR21" i="4"/>
  <c r="AO21" i="4"/>
  <c r="AQ21" i="4" s="1"/>
  <c r="AU21" i="4" s="1"/>
  <c r="AR38" i="4"/>
  <c r="AO38" i="4"/>
  <c r="AQ38" i="4" s="1"/>
  <c r="AU38" i="4" s="1"/>
  <c r="AR28" i="4"/>
  <c r="AO28" i="4"/>
  <c r="AQ28" i="4" s="1"/>
  <c r="AU28" i="4" s="1"/>
  <c r="AR60" i="4"/>
  <c r="AO60" i="4"/>
  <c r="AQ60" i="4" s="1"/>
  <c r="AU60" i="4" s="1"/>
  <c r="AR77" i="4"/>
  <c r="AO77" i="4"/>
  <c r="AQ77" i="4" s="1"/>
  <c r="AU77" i="4" s="1"/>
  <c r="AR50" i="4"/>
  <c r="AO50" i="4"/>
  <c r="AQ50" i="4" s="1"/>
  <c r="AU50" i="4" s="1"/>
  <c r="AR51" i="4"/>
  <c r="AO51" i="4"/>
  <c r="AQ51" i="4" s="1"/>
  <c r="AU51" i="4" s="1"/>
  <c r="AR39" i="4"/>
  <c r="AO39" i="4"/>
  <c r="AQ39" i="4" s="1"/>
  <c r="AU39" i="4" s="1"/>
  <c r="AR55" i="4"/>
  <c r="AO55" i="4"/>
  <c r="AQ55" i="4" s="1"/>
  <c r="AU55" i="4" s="1"/>
  <c r="AR68" i="4"/>
  <c r="AO68" i="4"/>
  <c r="AQ68" i="4" s="1"/>
  <c r="AU68" i="4" s="1"/>
  <c r="AR18" i="4"/>
  <c r="AO18" i="4"/>
  <c r="AQ18" i="4" s="1"/>
  <c r="AU18" i="4" s="1"/>
  <c r="AR15" i="4"/>
  <c r="AO15" i="4"/>
  <c r="AQ15" i="4" s="1"/>
  <c r="AU15" i="4" s="1"/>
  <c r="AR29" i="4"/>
  <c r="AO29" i="4"/>
  <c r="AQ29" i="4" s="1"/>
  <c r="AU29" i="4" s="1"/>
  <c r="AR52" i="4"/>
  <c r="AO52" i="4"/>
  <c r="AQ52" i="4" s="1"/>
  <c r="AU52" i="4" s="1"/>
  <c r="AR19" i="4"/>
  <c r="AO19" i="4"/>
  <c r="AQ19" i="4" s="1"/>
  <c r="AU19" i="4" s="1"/>
  <c r="AR37" i="4"/>
  <c r="AO37" i="4"/>
  <c r="AQ37" i="4" s="1"/>
  <c r="AU37" i="4" s="1"/>
  <c r="AR30" i="4"/>
  <c r="AO30" i="4"/>
  <c r="AQ30" i="4" s="1"/>
  <c r="AU30" i="4" s="1"/>
  <c r="AO136" i="4"/>
  <c r="AQ136" i="4" s="1"/>
  <c r="AU136" i="4" s="1"/>
  <c r="AO184" i="4"/>
  <c r="AQ184" i="4" s="1"/>
  <c r="AU184" i="4" s="1"/>
  <c r="AR201" i="4"/>
  <c r="AO166" i="4"/>
  <c r="AQ166" i="4" s="1"/>
  <c r="AU166" i="4" s="1"/>
  <c r="AO149" i="4"/>
  <c r="AQ149" i="4" s="1"/>
  <c r="AU149" i="4" s="1"/>
  <c r="AO192" i="4"/>
  <c r="AQ192" i="4" s="1"/>
  <c r="AU192" i="4" s="1"/>
  <c r="AR121" i="4"/>
  <c r="AO170" i="4"/>
  <c r="AQ170" i="4" s="1"/>
  <c r="AU170" i="4" s="1"/>
  <c r="AR198" i="4"/>
  <c r="AO125" i="4"/>
  <c r="AQ125" i="4" s="1"/>
  <c r="AU125" i="4" s="1"/>
  <c r="AO186" i="4"/>
  <c r="AQ186" i="4" s="1"/>
  <c r="AU186" i="4" s="1"/>
  <c r="AO138" i="4"/>
  <c r="AQ138" i="4" s="1"/>
  <c r="AU138" i="4" s="1"/>
  <c r="AO188" i="4"/>
  <c r="AQ188" i="4" s="1"/>
  <c r="AU188" i="4" s="1"/>
  <c r="AO154" i="4"/>
  <c r="AQ154" i="4" s="1"/>
  <c r="AU154" i="4" s="1"/>
  <c r="AO183" i="4"/>
  <c r="AQ183" i="4" s="1"/>
  <c r="AU183" i="4" s="1"/>
  <c r="AR200" i="4"/>
  <c r="AO141" i="4"/>
  <c r="AQ141" i="4" s="1"/>
  <c r="AU141" i="4" s="1"/>
  <c r="AR127" i="4"/>
  <c r="AO150" i="4"/>
  <c r="AQ150" i="4" s="1"/>
  <c r="AU150" i="4" s="1"/>
  <c r="AO208" i="4"/>
  <c r="AQ208" i="4" s="1"/>
  <c r="AU208" i="4" s="1"/>
  <c r="AO118" i="4"/>
  <c r="AQ118" i="4" s="1"/>
  <c r="AU118" i="4" s="1"/>
  <c r="AO134" i="4"/>
  <c r="AQ134" i="4" s="1"/>
  <c r="AU134" i="4" s="1"/>
  <c r="AR179" i="4"/>
  <c r="AO119" i="4"/>
  <c r="AQ119" i="4" s="1"/>
  <c r="AU119" i="4" s="1"/>
  <c r="AO175" i="4"/>
  <c r="AQ175" i="4" s="1"/>
  <c r="AU175" i="4" s="1"/>
  <c r="AO129" i="4"/>
  <c r="AQ129" i="4" s="1"/>
  <c r="AU129" i="4" s="1"/>
  <c r="AO131" i="4"/>
  <c r="AQ131" i="4" s="1"/>
  <c r="AU131" i="4" s="1"/>
  <c r="AO202" i="4"/>
  <c r="AQ202" i="4" s="1"/>
  <c r="AU202" i="4" s="1"/>
  <c r="AO185" i="4"/>
  <c r="AQ185" i="4" s="1"/>
  <c r="AU185" i="4" s="1"/>
  <c r="AR171" i="4"/>
  <c r="AO164" i="4"/>
  <c r="AQ164" i="4" s="1"/>
  <c r="AU164" i="4" s="1"/>
  <c r="AO205" i="4"/>
  <c r="AQ205" i="4" s="1"/>
  <c r="AU205" i="4" s="1"/>
  <c r="AO152" i="4"/>
  <c r="AQ152" i="4" s="1"/>
  <c r="AU152" i="4" s="1"/>
  <c r="AO137" i="4"/>
  <c r="AQ137" i="4" s="1"/>
  <c r="AU137" i="4" s="1"/>
  <c r="AO196" i="4"/>
  <c r="AQ196" i="4" s="1"/>
  <c r="AU196" i="4" s="1"/>
  <c r="AO143" i="4"/>
  <c r="AQ143" i="4" s="1"/>
  <c r="AU143" i="4" s="1"/>
  <c r="AO204" i="4"/>
  <c r="AQ204" i="4" s="1"/>
  <c r="AU204" i="4" s="1"/>
  <c r="AO167" i="4"/>
  <c r="AQ167" i="4" s="1"/>
  <c r="AU167" i="4" s="1"/>
  <c r="AO120" i="4"/>
  <c r="AQ120" i="4" s="1"/>
  <c r="AU120" i="4" s="1"/>
  <c r="AO189" i="4"/>
  <c r="AQ189" i="4" s="1"/>
  <c r="AU189" i="4" s="1"/>
  <c r="AO147" i="4"/>
  <c r="AQ147" i="4" s="1"/>
  <c r="AU147" i="4" s="1"/>
  <c r="AO187" i="4"/>
  <c r="AQ187" i="4" s="1"/>
  <c r="AU187" i="4" s="1"/>
  <c r="AO160" i="4"/>
  <c r="AQ160" i="4" s="1"/>
  <c r="AU160" i="4" s="1"/>
  <c r="AO158" i="4"/>
  <c r="AQ158" i="4" s="1"/>
  <c r="AU158" i="4" s="1"/>
  <c r="AR136" i="4"/>
  <c r="AR193" i="4"/>
  <c r="AO178" i="4"/>
  <c r="AQ178" i="4" s="1"/>
  <c r="AU178" i="4" s="1"/>
  <c r="AO197" i="4"/>
  <c r="AQ197" i="4" s="1"/>
  <c r="AU197" i="4" s="1"/>
  <c r="AO199" i="4"/>
  <c r="AQ199" i="4" s="1"/>
  <c r="AU199" i="4" s="1"/>
  <c r="AR129" i="4"/>
  <c r="AO206" i="4"/>
  <c r="AQ206" i="4" s="1"/>
  <c r="AU206" i="4" s="1"/>
  <c r="AO142" i="4"/>
  <c r="AQ142" i="4" s="1"/>
  <c r="AU142" i="4" s="1"/>
  <c r="AR143" i="4"/>
  <c r="AO162" i="4"/>
  <c r="AQ162" i="4" s="1"/>
  <c r="AU162" i="4" s="1"/>
  <c r="AR175" i="4"/>
  <c r="AO97" i="4"/>
  <c r="AQ97" i="4" s="1"/>
  <c r="AU97" i="4" s="1"/>
  <c r="AO92" i="4"/>
  <c r="AQ92" i="4" s="1"/>
  <c r="AU92" i="4" s="1"/>
  <c r="AO146" i="4"/>
  <c r="AQ146" i="4" s="1"/>
  <c r="AU146" i="4" s="1"/>
  <c r="AO163" i="4"/>
  <c r="AQ163" i="4" s="1"/>
  <c r="AU163" i="4" s="1"/>
  <c r="AO107" i="4"/>
  <c r="AQ107" i="4" s="1"/>
  <c r="AU107" i="4" s="1"/>
  <c r="AO155" i="4"/>
  <c r="AQ155" i="4" s="1"/>
  <c r="AU155" i="4" s="1"/>
  <c r="AO174" i="4"/>
  <c r="AQ174" i="4" s="1"/>
  <c r="AU174" i="4" s="1"/>
  <c r="AO181" i="4"/>
  <c r="AQ181" i="4" s="1"/>
  <c r="AU181" i="4" s="1"/>
  <c r="AO81" i="4"/>
  <c r="AQ81" i="4" s="1"/>
  <c r="AU81" i="4" s="1"/>
  <c r="AO117" i="4"/>
  <c r="AQ117" i="4" s="1"/>
  <c r="AU117" i="4" s="1"/>
  <c r="AO91" i="4"/>
  <c r="AQ91" i="4" s="1"/>
  <c r="AU91" i="4" s="1"/>
  <c r="AO191" i="4"/>
  <c r="AQ191" i="4" s="1"/>
  <c r="AU191" i="4" s="1"/>
  <c r="AO209" i="4"/>
  <c r="AQ209" i="4" s="1"/>
  <c r="AU209" i="4" s="1"/>
  <c r="B308" i="2" s="1"/>
  <c r="AO114" i="4"/>
  <c r="AQ114" i="4" s="1"/>
  <c r="AU114" i="4" s="1"/>
  <c r="AO94" i="4"/>
  <c r="AQ94" i="4" s="1"/>
  <c r="AU94" i="4" s="1"/>
  <c r="AO190" i="4"/>
  <c r="AQ190" i="4" s="1"/>
  <c r="AU190" i="4" s="1"/>
  <c r="AR42" i="4"/>
  <c r="AO93" i="4"/>
  <c r="AQ93" i="4" s="1"/>
  <c r="AU93" i="4" s="1"/>
  <c r="AO84" i="4"/>
  <c r="AQ84" i="4" s="1"/>
  <c r="AU84" i="4" s="1"/>
  <c r="AR158" i="4"/>
  <c r="AO88" i="4"/>
  <c r="AQ88" i="4" s="1"/>
  <c r="AU88" i="4" s="1"/>
  <c r="AO99" i="4"/>
  <c r="AQ99" i="4" s="1"/>
  <c r="AU99" i="4" s="1"/>
  <c r="AO156" i="4"/>
  <c r="AQ156" i="4" s="1"/>
  <c r="AU156" i="4" s="1"/>
  <c r="AO89" i="4"/>
  <c r="AQ89" i="4" s="1"/>
  <c r="AU89" i="4" s="1"/>
  <c r="AO195" i="4"/>
  <c r="AQ195" i="4" s="1"/>
  <c r="AU195" i="4" s="1"/>
  <c r="AO148" i="4"/>
  <c r="AQ148" i="4" s="1"/>
  <c r="AU148" i="4" s="1"/>
  <c r="AO112" i="4"/>
  <c r="AQ112" i="4" s="1"/>
  <c r="AU112" i="4" s="1"/>
  <c r="AO109" i="4"/>
  <c r="AQ109" i="4" s="1"/>
  <c r="AU109" i="4" s="1"/>
  <c r="B309" i="2" s="1"/>
  <c r="AO85" i="4"/>
  <c r="AQ85" i="4" s="1"/>
  <c r="AU85" i="4" s="1"/>
  <c r="AO108" i="4"/>
  <c r="AQ108" i="4" s="1"/>
  <c r="AU108" i="4" s="1"/>
  <c r="AO82" i="4"/>
  <c r="AQ82" i="4" s="1"/>
  <c r="AU82" i="4" s="1"/>
  <c r="AO86" i="4"/>
  <c r="AQ86" i="4" s="1"/>
  <c r="AU86" i="4" s="1"/>
  <c r="AO180" i="4"/>
  <c r="AQ180" i="4" s="1"/>
  <c r="AU180" i="4" s="1"/>
  <c r="AO135" i="4"/>
  <c r="AQ135" i="4" s="1"/>
  <c r="AU135" i="4" s="1"/>
  <c r="AO203" i="4"/>
  <c r="AQ203" i="4" s="1"/>
  <c r="AU203" i="4" s="1"/>
  <c r="AO98" i="4"/>
  <c r="AQ98" i="4" s="1"/>
  <c r="AU98" i="4" s="1"/>
  <c r="AO90" i="4"/>
  <c r="AQ90" i="4" s="1"/>
  <c r="AU90" i="4" s="1"/>
  <c r="AO105" i="4"/>
  <c r="AQ105" i="4" s="1"/>
  <c r="AU105" i="4" s="1"/>
  <c r="AO101" i="4"/>
  <c r="AQ101" i="4" s="1"/>
  <c r="AU101" i="4" s="1"/>
  <c r="AO144" i="4"/>
  <c r="AQ144" i="4" s="1"/>
  <c r="AU144" i="4" s="1"/>
  <c r="AR149" i="4"/>
  <c r="AO87" i="4"/>
  <c r="AQ87" i="4" s="1"/>
  <c r="AU87" i="4" s="1"/>
  <c r="AS17" i="4"/>
  <c r="AR79" i="4"/>
  <c r="AO95" i="4"/>
  <c r="AQ95" i="4" s="1"/>
  <c r="AU95" i="4" s="1"/>
  <c r="AO83" i="4"/>
  <c r="AQ83" i="4" s="1"/>
  <c r="AU83" i="4" s="1"/>
  <c r="AO106" i="4"/>
  <c r="AQ106" i="4" s="1"/>
  <c r="AU106" i="4" s="1"/>
  <c r="AG65" i="4"/>
  <c r="AS65" i="4" s="1"/>
  <c r="AO145" i="4"/>
  <c r="AQ145" i="4" s="1"/>
  <c r="AU145" i="4" s="1"/>
  <c r="AO96" i="4"/>
  <c r="AQ96" i="4" s="1"/>
  <c r="AU96" i="4" s="1"/>
  <c r="AO102" i="4"/>
  <c r="AQ102" i="4" s="1"/>
  <c r="AU102" i="4" s="1"/>
  <c r="AO176" i="4"/>
  <c r="AQ176" i="4" s="1"/>
  <c r="AU176" i="4" s="1"/>
  <c r="AC65" i="4"/>
  <c r="AO100" i="4"/>
  <c r="AQ100" i="4" s="1"/>
  <c r="AU100" i="4" s="1"/>
  <c r="AR167" i="4"/>
  <c r="AO104" i="4"/>
  <c r="AQ104" i="4" s="1"/>
  <c r="AU104" i="4" s="1"/>
  <c r="AO103" i="4"/>
  <c r="AQ103" i="4" s="1"/>
  <c r="AU103" i="4" s="1"/>
  <c r="AO110" i="4"/>
  <c r="AQ110" i="4" s="1"/>
  <c r="AU110" i="4" s="1"/>
  <c r="AO182" i="4"/>
  <c r="AQ182" i="4" s="1"/>
  <c r="AU182" i="4" s="1"/>
  <c r="AR137" i="4"/>
  <c r="AO133" i="4"/>
  <c r="AQ133" i="4" s="1"/>
  <c r="AU133" i="4" s="1"/>
  <c r="AO177" i="4"/>
  <c r="AQ177" i="4" s="1"/>
  <c r="AU177" i="4" s="1"/>
  <c r="AO173" i="4"/>
  <c r="AQ173" i="4" s="1"/>
  <c r="AU173" i="4" s="1"/>
  <c r="AO122" i="4"/>
  <c r="AQ122" i="4" s="1"/>
  <c r="AU122" i="4" s="1"/>
  <c r="AR164" i="4"/>
  <c r="AR131" i="4"/>
  <c r="AO128" i="4"/>
  <c r="AQ128" i="4" s="1"/>
  <c r="AU128" i="4" s="1"/>
  <c r="AR152" i="4"/>
  <c r="AO140" i="4"/>
  <c r="AQ140" i="4" s="1"/>
  <c r="AU140" i="4" s="1"/>
  <c r="AR185" i="4"/>
  <c r="AR159" i="4"/>
  <c r="AO159" i="4"/>
  <c r="AQ159" i="4" s="1"/>
  <c r="AU159" i="4" s="1"/>
  <c r="AR202" i="4"/>
  <c r="AO115" i="4"/>
  <c r="AQ115" i="4" s="1"/>
  <c r="AU115" i="4" s="1"/>
  <c r="AO169" i="4"/>
  <c r="AQ169" i="4" s="1"/>
  <c r="AU169" i="4" s="1"/>
  <c r="AO172" i="4"/>
  <c r="AQ172" i="4" s="1"/>
  <c r="AU172" i="4" s="1"/>
  <c r="AR120" i="4"/>
  <c r="AO124" i="4"/>
  <c r="AQ124" i="4" s="1"/>
  <c r="AU124" i="4" s="1"/>
  <c r="AO116" i="4"/>
  <c r="AQ116" i="4" s="1"/>
  <c r="AU116" i="4" s="1"/>
  <c r="AO153" i="4"/>
  <c r="AQ153" i="4" s="1"/>
  <c r="AU153" i="4" s="1"/>
  <c r="AO207" i="4"/>
  <c r="AQ207" i="4" s="1"/>
  <c r="AU207" i="4" s="1"/>
  <c r="AO151" i="4"/>
  <c r="AQ151" i="4" s="1"/>
  <c r="AU151" i="4" s="1"/>
  <c r="AO157" i="4"/>
  <c r="AQ157" i="4" s="1"/>
  <c r="AU157" i="4" s="1"/>
  <c r="AR123" i="4"/>
  <c r="AO123" i="4"/>
  <c r="AQ123" i="4" s="1"/>
  <c r="AU123" i="4" s="1"/>
  <c r="AR126" i="4"/>
  <c r="AO126" i="4"/>
  <c r="AQ126" i="4" s="1"/>
  <c r="AU126" i="4" s="1"/>
  <c r="AR168" i="4"/>
  <c r="AO168" i="4"/>
  <c r="AQ168" i="4" s="1"/>
  <c r="AU168" i="4" s="1"/>
  <c r="AR161" i="4"/>
  <c r="AO161" i="4"/>
  <c r="AQ161" i="4" s="1"/>
  <c r="AU161" i="4" s="1"/>
  <c r="AR130" i="4"/>
  <c r="AO130" i="4"/>
  <c r="AQ130" i="4" s="1"/>
  <c r="AU130" i="4" s="1"/>
  <c r="AR194" i="4"/>
  <c r="AO194" i="4"/>
  <c r="AQ194" i="4" s="1"/>
  <c r="AU194" i="4" s="1"/>
  <c r="AR165" i="4"/>
  <c r="AO165" i="4"/>
  <c r="AQ165" i="4" s="1"/>
  <c r="AU165" i="4" s="1"/>
  <c r="AR113" i="4"/>
  <c r="AO113" i="4"/>
  <c r="AQ113" i="4" s="1"/>
  <c r="AU113" i="4" s="1"/>
  <c r="H3" i="8"/>
  <c r="R23" i="8"/>
  <c r="R13" i="8"/>
  <c r="B66" i="2"/>
  <c r="BM41" i="3"/>
  <c r="B253" i="2"/>
  <c r="C41" i="16"/>
  <c r="D41" i="16" s="1"/>
  <c r="C40" i="16"/>
  <c r="D40" i="16" s="1"/>
  <c r="B140" i="2"/>
  <c r="B256" i="2"/>
  <c r="BN41" i="3"/>
  <c r="R29" i="8"/>
  <c r="R31" i="8"/>
  <c r="AQ42" i="3"/>
  <c r="B42" i="3"/>
  <c r="A43" i="3"/>
  <c r="AR42" i="3"/>
  <c r="C42" i="3"/>
  <c r="D42" i="3"/>
  <c r="G42" i="3"/>
  <c r="H42" i="3" s="1"/>
  <c r="F42" i="3"/>
  <c r="AR65" i="4" l="1"/>
  <c r="AO65" i="4"/>
  <c r="AQ65" i="4" s="1"/>
  <c r="AU65" i="4" s="1"/>
  <c r="A254" i="2"/>
  <c r="B254" i="2"/>
  <c r="AD33" i="3"/>
  <c r="B141" i="2"/>
  <c r="AE29" i="3" s="1"/>
  <c r="B143" i="2"/>
  <c r="AK19" i="3" s="1"/>
  <c r="AD22" i="3"/>
  <c r="AD16" i="3"/>
  <c r="AD17" i="3"/>
  <c r="AD34" i="3"/>
  <c r="AD36" i="3"/>
  <c r="AD11" i="3"/>
  <c r="AD42" i="3"/>
  <c r="AD12" i="3"/>
  <c r="AD23" i="3"/>
  <c r="AD14" i="3"/>
  <c r="AD29" i="3"/>
  <c r="AD683" i="3"/>
  <c r="AD25" i="3"/>
  <c r="AD18" i="3"/>
  <c r="AD37" i="3"/>
  <c r="AD9" i="3"/>
  <c r="AD19" i="3"/>
  <c r="AD32" i="3"/>
  <c r="AD31" i="3"/>
  <c r="B149" i="2"/>
  <c r="P41" i="3" s="1"/>
  <c r="AD21" i="3"/>
  <c r="AD20" i="3"/>
  <c r="AD13" i="3"/>
  <c r="AD39" i="3"/>
  <c r="AD35" i="3"/>
  <c r="AD10" i="3"/>
  <c r="AD28" i="3"/>
  <c r="AD24" i="3"/>
  <c r="AD38" i="3"/>
  <c r="AD26" i="3"/>
  <c r="AD682" i="3"/>
  <c r="AD27" i="3"/>
  <c r="AD30" i="3"/>
  <c r="AD15" i="3"/>
  <c r="AD41" i="3"/>
  <c r="AD40" i="3"/>
  <c r="BM42" i="3"/>
  <c r="BN42" i="3"/>
  <c r="AQ43" i="3"/>
  <c r="AR43" i="3"/>
  <c r="A44" i="3"/>
  <c r="B43" i="3"/>
  <c r="C43" i="3"/>
  <c r="D43" i="3"/>
  <c r="AD43" i="3"/>
  <c r="G43" i="3"/>
  <c r="H43" i="3" s="1"/>
  <c r="F43" i="3"/>
  <c r="AK12" i="3" l="1"/>
  <c r="AM42" i="3"/>
  <c r="AF26" i="3"/>
  <c r="AK16" i="3"/>
  <c r="AF35" i="3"/>
  <c r="AF21" i="3"/>
  <c r="O27" i="3"/>
  <c r="AF33" i="3"/>
  <c r="AF30" i="3"/>
  <c r="AE37" i="3"/>
  <c r="AE43" i="3"/>
  <c r="AE41" i="3"/>
  <c r="AF9" i="3"/>
  <c r="O41" i="3"/>
  <c r="O13" i="3"/>
  <c r="P22" i="3"/>
  <c r="O683" i="3"/>
  <c r="M682" i="3"/>
  <c r="P26" i="3"/>
  <c r="P14" i="3"/>
  <c r="P36" i="3"/>
  <c r="A257" i="2"/>
  <c r="AK30" i="3"/>
  <c r="AE12" i="3"/>
  <c r="AF13" i="3"/>
  <c r="AE15" i="3"/>
  <c r="M19" i="3"/>
  <c r="P42" i="3"/>
  <c r="O12" i="3"/>
  <c r="O28" i="3"/>
  <c r="P17" i="3"/>
  <c r="O23" i="3"/>
  <c r="P15" i="3"/>
  <c r="P16" i="3"/>
  <c r="P682" i="3"/>
  <c r="AF38" i="3"/>
  <c r="AF27" i="3"/>
  <c r="AE38" i="3"/>
  <c r="M24" i="3"/>
  <c r="AE10" i="3"/>
  <c r="M26" i="3"/>
  <c r="M43" i="3"/>
  <c r="AE18" i="3"/>
  <c r="AF12" i="3"/>
  <c r="AF23" i="3"/>
  <c r="AF29" i="3"/>
  <c r="AG29" i="3" s="1"/>
  <c r="AF17" i="3"/>
  <c r="AE40" i="3"/>
  <c r="AF22" i="3"/>
  <c r="AF37" i="3"/>
  <c r="AF683" i="3"/>
  <c r="AF24" i="3"/>
  <c r="AF16" i="3"/>
  <c r="B152" i="2"/>
  <c r="V42" i="3" s="1"/>
  <c r="AE23" i="3"/>
  <c r="M25" i="3"/>
  <c r="M31" i="3"/>
  <c r="AE11" i="3"/>
  <c r="M28" i="3"/>
  <c r="M37" i="3"/>
  <c r="M11" i="3"/>
  <c r="M36" i="3"/>
  <c r="AF39" i="3"/>
  <c r="AE27" i="3"/>
  <c r="AE14" i="3"/>
  <c r="M34" i="3"/>
  <c r="AE20" i="3"/>
  <c r="M23" i="3"/>
  <c r="M38" i="3"/>
  <c r="AE42" i="3"/>
  <c r="M27" i="3"/>
  <c r="P20" i="3"/>
  <c r="P21" i="3"/>
  <c r="O32" i="3"/>
  <c r="P24" i="3"/>
  <c r="P35" i="3"/>
  <c r="O38" i="3"/>
  <c r="O10" i="3"/>
  <c r="O30" i="3"/>
  <c r="O35" i="3"/>
  <c r="P40" i="3"/>
  <c r="O24" i="3"/>
  <c r="P37" i="3"/>
  <c r="P23" i="3"/>
  <c r="O9" i="3"/>
  <c r="O37" i="3"/>
  <c r="O36" i="3"/>
  <c r="O16" i="3"/>
  <c r="O25" i="3"/>
  <c r="P13" i="3"/>
  <c r="O42" i="3"/>
  <c r="AM39" i="3"/>
  <c r="B151" i="2"/>
  <c r="T42" i="3" s="1"/>
  <c r="AM29" i="3"/>
  <c r="AM24" i="3"/>
  <c r="AM37" i="3"/>
  <c r="AK43" i="3"/>
  <c r="AM27" i="3"/>
  <c r="AM682" i="3"/>
  <c r="AK11" i="3"/>
  <c r="AK23" i="3"/>
  <c r="AM26" i="3"/>
  <c r="AK32" i="3"/>
  <c r="AM17" i="3"/>
  <c r="AK33" i="3"/>
  <c r="AK29" i="3"/>
  <c r="AK41" i="3"/>
  <c r="AM20" i="3"/>
  <c r="AK21" i="3"/>
  <c r="AM15" i="3"/>
  <c r="AK15" i="3"/>
  <c r="AM31" i="3"/>
  <c r="AM11" i="3"/>
  <c r="AM683" i="3"/>
  <c r="AK17" i="3"/>
  <c r="AK682" i="3"/>
  <c r="AM30" i="3"/>
  <c r="AK14" i="3"/>
  <c r="AK27" i="3"/>
  <c r="AK22" i="3"/>
  <c r="AK26" i="3"/>
  <c r="AK20" i="3"/>
  <c r="AK31" i="3"/>
  <c r="AM28" i="3"/>
  <c r="AK38" i="3"/>
  <c r="AM43" i="3"/>
  <c r="AK39" i="3"/>
  <c r="AM38" i="3"/>
  <c r="AM23" i="3"/>
  <c r="AM16" i="3"/>
  <c r="AM19" i="3"/>
  <c r="AN19" i="3" s="1"/>
  <c r="AK24" i="3"/>
  <c r="AM41" i="3"/>
  <c r="AK28" i="3"/>
  <c r="AK36" i="3"/>
  <c r="AM18" i="3"/>
  <c r="AM13" i="3"/>
  <c r="AK34" i="3"/>
  <c r="B257" i="2"/>
  <c r="AM40" i="3"/>
  <c r="AK683" i="3"/>
  <c r="AM21" i="3"/>
  <c r="AK9" i="3"/>
  <c r="B150" i="2"/>
  <c r="R42" i="3" s="1"/>
  <c r="AM12" i="3"/>
  <c r="AK25" i="3"/>
  <c r="AK13" i="3"/>
  <c r="AK37" i="3"/>
  <c r="AM10" i="3"/>
  <c r="AM9" i="3"/>
  <c r="AM34" i="3"/>
  <c r="AK42" i="3"/>
  <c r="AM33" i="3"/>
  <c r="AK40" i="3"/>
  <c r="AM14" i="3"/>
  <c r="AM22" i="3"/>
  <c r="AK35" i="3"/>
  <c r="AM25" i="3"/>
  <c r="AM32" i="3"/>
  <c r="AM35" i="3"/>
  <c r="AM36" i="3"/>
  <c r="AK10" i="3"/>
  <c r="AK18" i="3"/>
  <c r="AE683" i="3"/>
  <c r="AE24" i="3"/>
  <c r="AE21" i="3"/>
  <c r="AE22" i="3"/>
  <c r="AE9" i="3"/>
  <c r="M41" i="3"/>
  <c r="O39" i="3"/>
  <c r="P43" i="3"/>
  <c r="AF43" i="3"/>
  <c r="O43" i="3"/>
  <c r="AE30" i="3"/>
  <c r="AE31" i="3"/>
  <c r="AF28" i="3"/>
  <c r="B255" i="2"/>
  <c r="AF15" i="3"/>
  <c r="AF11" i="3"/>
  <c r="AF32" i="3"/>
  <c r="AF34" i="3"/>
  <c r="AF18" i="3"/>
  <c r="AF25" i="3"/>
  <c r="AF682" i="3"/>
  <c r="AE682" i="3"/>
  <c r="AE34" i="3"/>
  <c r="AF19" i="3"/>
  <c r="AF14" i="3"/>
  <c r="AF10" i="3"/>
  <c r="AF36" i="3"/>
  <c r="M40" i="3"/>
  <c r="AE26" i="3"/>
  <c r="A255" i="2"/>
  <c r="AF31" i="3"/>
  <c r="AF40" i="3"/>
  <c r="P31" i="3"/>
  <c r="F74" i="1"/>
  <c r="P9" i="3"/>
  <c r="AF20" i="3"/>
  <c r="O29" i="3"/>
  <c r="P19" i="3"/>
  <c r="O22" i="3"/>
  <c r="O21" i="3"/>
  <c r="O20" i="3"/>
  <c r="O19" i="3"/>
  <c r="P11" i="3"/>
  <c r="P27" i="3"/>
  <c r="P28" i="3"/>
  <c r="P32" i="3"/>
  <c r="P18" i="3"/>
  <c r="O15" i="3"/>
  <c r="O11" i="3"/>
  <c r="O31" i="3"/>
  <c r="O682" i="3"/>
  <c r="P683" i="3"/>
  <c r="AE39" i="3"/>
  <c r="AE32" i="3"/>
  <c r="AE17" i="3"/>
  <c r="AE13" i="3"/>
  <c r="AE25" i="3"/>
  <c r="M14" i="3"/>
  <c r="M35" i="3"/>
  <c r="M13" i="3"/>
  <c r="M29" i="3"/>
  <c r="AE16" i="3"/>
  <c r="M39" i="3"/>
  <c r="M15" i="3"/>
  <c r="M22" i="3"/>
  <c r="M10" i="3"/>
  <c r="M21" i="3"/>
  <c r="M42" i="3"/>
  <c r="P29" i="3"/>
  <c r="O33" i="3"/>
  <c r="P10" i="3"/>
  <c r="O14" i="3"/>
  <c r="P30" i="3"/>
  <c r="O17" i="3"/>
  <c r="O18" i="3"/>
  <c r="P12" i="3"/>
  <c r="O26" i="3"/>
  <c r="O40" i="3"/>
  <c r="AE35" i="3"/>
  <c r="AE19" i="3"/>
  <c r="M20" i="3"/>
  <c r="M18" i="3"/>
  <c r="AE28" i="3"/>
  <c r="M9" i="3"/>
  <c r="M12" i="3"/>
  <c r="P25" i="3"/>
  <c r="P38" i="3"/>
  <c r="P33" i="3"/>
  <c r="P39" i="3"/>
  <c r="AE36" i="3"/>
  <c r="M32" i="3"/>
  <c r="M30" i="3"/>
  <c r="P34" i="3"/>
  <c r="O34" i="3"/>
  <c r="M17" i="3"/>
  <c r="M16" i="3"/>
  <c r="M33" i="3"/>
  <c r="M683" i="3"/>
  <c r="AF42" i="3"/>
  <c r="AF41" i="3"/>
  <c r="AE33" i="3"/>
  <c r="AG33" i="3" s="1"/>
  <c r="A684" i="3"/>
  <c r="AF684" i="3" s="1"/>
  <c r="BN43" i="3"/>
  <c r="BM43" i="3"/>
  <c r="AR44" i="3"/>
  <c r="B44" i="3"/>
  <c r="AQ44" i="3"/>
  <c r="A45" i="3"/>
  <c r="C44" i="3"/>
  <c r="AM44" i="3"/>
  <c r="AK44" i="3"/>
  <c r="AD44" i="3"/>
  <c r="O44" i="3"/>
  <c r="AF44" i="3"/>
  <c r="AE44" i="3"/>
  <c r="M44" i="3"/>
  <c r="P44" i="3"/>
  <c r="F44" i="3"/>
  <c r="D44" i="3"/>
  <c r="G44" i="3"/>
  <c r="H44" i="3" s="1"/>
  <c r="AH42" i="3" l="1"/>
  <c r="AG19" i="3"/>
  <c r="AG20" i="3"/>
  <c r="AG16" i="3"/>
  <c r="AH15" i="3"/>
  <c r="AO29" i="3"/>
  <c r="AN25" i="3"/>
  <c r="AN22" i="3"/>
  <c r="AO12" i="3"/>
  <c r="T38" i="3"/>
  <c r="T27" i="3"/>
  <c r="T26" i="3"/>
  <c r="F76" i="1"/>
  <c r="T20" i="3"/>
  <c r="T37" i="3"/>
  <c r="T40" i="3"/>
  <c r="T33" i="3"/>
  <c r="S28" i="3"/>
  <c r="AH9" i="3"/>
  <c r="S44" i="3"/>
  <c r="S10" i="3"/>
  <c r="S13" i="3"/>
  <c r="S17" i="3"/>
  <c r="T18" i="3"/>
  <c r="S11" i="3"/>
  <c r="AG13" i="3"/>
  <c r="AH23" i="3"/>
  <c r="S34" i="3"/>
  <c r="T30" i="3"/>
  <c r="T14" i="3"/>
  <c r="T23" i="3"/>
  <c r="S43" i="3"/>
  <c r="V34" i="3"/>
  <c r="V682" i="3"/>
  <c r="AN43" i="3"/>
  <c r="AO682" i="3"/>
  <c r="AG683" i="3"/>
  <c r="AO24" i="3"/>
  <c r="AN682" i="3"/>
  <c r="R14" i="3"/>
  <c r="R24" i="3"/>
  <c r="Q10" i="3"/>
  <c r="R31" i="3"/>
  <c r="R11" i="3"/>
  <c r="R43" i="3"/>
  <c r="Q41" i="3"/>
  <c r="AN41" i="3"/>
  <c r="AH12" i="3"/>
  <c r="AO16" i="3"/>
  <c r="AN36" i="3"/>
  <c r="Q23" i="3"/>
  <c r="Q21" i="3"/>
  <c r="AO39" i="3"/>
  <c r="AN17" i="3"/>
  <c r="AG38" i="3"/>
  <c r="AH24" i="3"/>
  <c r="AN26" i="3"/>
  <c r="AO11" i="3"/>
  <c r="AG28" i="3"/>
  <c r="AO13" i="3"/>
  <c r="AN27" i="3"/>
  <c r="AO40" i="3"/>
  <c r="AO28" i="3"/>
  <c r="S42" i="3"/>
  <c r="AG23" i="3"/>
  <c r="AO42" i="3"/>
  <c r="U40" i="3"/>
  <c r="V33" i="3"/>
  <c r="V29" i="3"/>
  <c r="V37" i="3"/>
  <c r="AH35" i="3"/>
  <c r="AG26" i="3"/>
  <c r="AH25" i="3"/>
  <c r="AG18" i="3"/>
  <c r="Q684" i="3"/>
  <c r="AN16" i="3"/>
  <c r="Y42" i="3"/>
  <c r="Z42" i="3" s="1"/>
  <c r="AO17" i="3"/>
  <c r="AN9" i="3"/>
  <c r="Q35" i="3"/>
  <c r="R38" i="3"/>
  <c r="Q20" i="3"/>
  <c r="Q683" i="3"/>
  <c r="R10" i="3"/>
  <c r="Q13" i="3"/>
  <c r="R41" i="3"/>
  <c r="Q26" i="3"/>
  <c r="R17" i="3"/>
  <c r="AN35" i="3"/>
  <c r="AN34" i="3"/>
  <c r="AN683" i="3"/>
  <c r="AO23" i="3"/>
  <c r="AO30" i="3"/>
  <c r="AO15" i="3"/>
  <c r="AH29" i="3"/>
  <c r="AU29" i="3" s="1"/>
  <c r="U24" i="3"/>
  <c r="U21" i="3"/>
  <c r="V28" i="3"/>
  <c r="U682" i="3"/>
  <c r="AH38" i="3"/>
  <c r="V31" i="3"/>
  <c r="V15" i="3"/>
  <c r="U26" i="3"/>
  <c r="V10" i="3"/>
  <c r="U20" i="3"/>
  <c r="U28" i="3"/>
  <c r="V32" i="3"/>
  <c r="U10" i="3"/>
  <c r="AD684" i="3"/>
  <c r="AO21" i="3"/>
  <c r="AG37" i="3"/>
  <c r="V44" i="3"/>
  <c r="AH26" i="3"/>
  <c r="U42" i="3"/>
  <c r="V14" i="3"/>
  <c r="V11" i="3"/>
  <c r="U19" i="3"/>
  <c r="V38" i="3"/>
  <c r="V36" i="3"/>
  <c r="U36" i="3"/>
  <c r="U31" i="3"/>
  <c r="V39" i="3"/>
  <c r="V35" i="3"/>
  <c r="U30" i="3"/>
  <c r="U14" i="3"/>
  <c r="U29" i="3"/>
  <c r="V21" i="3"/>
  <c r="V16" i="3"/>
  <c r="V43" i="3"/>
  <c r="U25" i="3"/>
  <c r="AN11" i="3"/>
  <c r="AO19" i="3"/>
  <c r="AN12" i="3"/>
  <c r="V12" i="3"/>
  <c r="AO26" i="3"/>
  <c r="AO27" i="3"/>
  <c r="AH33" i="3"/>
  <c r="AT33" i="3" s="1"/>
  <c r="AO41" i="3"/>
  <c r="AN39" i="3"/>
  <c r="AG12" i="3"/>
  <c r="AH37" i="3"/>
  <c r="U44" i="3"/>
  <c r="V27" i="3"/>
  <c r="U23" i="3"/>
  <c r="U12" i="3"/>
  <c r="U35" i="3"/>
  <c r="U33" i="3"/>
  <c r="V25" i="3"/>
  <c r="U18" i="3"/>
  <c r="U16" i="3"/>
  <c r="A687" i="3"/>
  <c r="AR687" i="3" s="1"/>
  <c r="U13" i="3"/>
  <c r="U27" i="3"/>
  <c r="V22" i="3"/>
  <c r="V18" i="3"/>
  <c r="V20" i="3"/>
  <c r="V26" i="3"/>
  <c r="U32" i="3"/>
  <c r="V683" i="3"/>
  <c r="V41" i="3"/>
  <c r="AG24" i="3"/>
  <c r="V24" i="3"/>
  <c r="U17" i="3"/>
  <c r="U9" i="3"/>
  <c r="U34" i="3"/>
  <c r="V23" i="3"/>
  <c r="U11" i="3"/>
  <c r="V30" i="3"/>
  <c r="U37" i="3"/>
  <c r="V13" i="3"/>
  <c r="U22" i="3"/>
  <c r="U15" i="3"/>
  <c r="U38" i="3"/>
  <c r="V40" i="3"/>
  <c r="AG35" i="3"/>
  <c r="AT35" i="3" s="1"/>
  <c r="V19" i="3"/>
  <c r="V9" i="3"/>
  <c r="U41" i="3"/>
  <c r="U43" i="3"/>
  <c r="V17" i="3"/>
  <c r="U39" i="3"/>
  <c r="F77" i="1"/>
  <c r="U683" i="3"/>
  <c r="AG41" i="3"/>
  <c r="AG40" i="3"/>
  <c r="AH10" i="3"/>
  <c r="AH11" i="3"/>
  <c r="AH21" i="3"/>
  <c r="AN37" i="3"/>
  <c r="AN21" i="3"/>
  <c r="AO18" i="3"/>
  <c r="AO38" i="3"/>
  <c r="AN28" i="3"/>
  <c r="AO22" i="3"/>
  <c r="AN14" i="3"/>
  <c r="AN24" i="3"/>
  <c r="AG14" i="3"/>
  <c r="AH22" i="3"/>
  <c r="AH27" i="3"/>
  <c r="AH43" i="3"/>
  <c r="AH30" i="3"/>
  <c r="AH683" i="3"/>
  <c r="V684" i="3"/>
  <c r="Q16" i="3"/>
  <c r="Q14" i="3"/>
  <c r="R23" i="3"/>
  <c r="R29" i="3"/>
  <c r="Q36" i="3"/>
  <c r="Q12" i="3"/>
  <c r="Q31" i="3"/>
  <c r="A685" i="3"/>
  <c r="G685" i="3" s="1"/>
  <c r="H685" i="3" s="1"/>
  <c r="Q682" i="3"/>
  <c r="R13" i="3"/>
  <c r="Q33" i="3"/>
  <c r="R15" i="3"/>
  <c r="R683" i="3"/>
  <c r="AN42" i="3"/>
  <c r="R19" i="3"/>
  <c r="Q9" i="3"/>
  <c r="AO14" i="3"/>
  <c r="A686" i="3"/>
  <c r="U686" i="3" s="1"/>
  <c r="T22" i="3"/>
  <c r="T12" i="3"/>
  <c r="S36" i="3"/>
  <c r="S38" i="3"/>
  <c r="S18" i="3"/>
  <c r="S23" i="3"/>
  <c r="T21" i="3"/>
  <c r="T683" i="3"/>
  <c r="S32" i="3"/>
  <c r="S37" i="3"/>
  <c r="T32" i="3"/>
  <c r="S26" i="3"/>
  <c r="S40" i="3"/>
  <c r="R18" i="3"/>
  <c r="T10" i="3"/>
  <c r="S9" i="3"/>
  <c r="T682" i="3"/>
  <c r="S41" i="3"/>
  <c r="T9" i="3"/>
  <c r="Q27" i="3"/>
  <c r="AG30" i="3"/>
  <c r="AN30" i="3"/>
  <c r="AG27" i="3"/>
  <c r="AG10" i="3"/>
  <c r="AG17" i="3"/>
  <c r="AG39" i="3"/>
  <c r="AH14" i="3"/>
  <c r="AH18" i="3"/>
  <c r="AG43" i="3"/>
  <c r="AG22" i="3"/>
  <c r="AN40" i="3"/>
  <c r="AN38" i="3"/>
  <c r="AO31" i="3"/>
  <c r="AN20" i="3"/>
  <c r="AN33" i="3"/>
  <c r="AO32" i="3"/>
  <c r="AN23" i="3"/>
  <c r="AO43" i="3"/>
  <c r="S684" i="3"/>
  <c r="G684" i="3"/>
  <c r="H684" i="3" s="1"/>
  <c r="T44" i="3"/>
  <c r="R44" i="3"/>
  <c r="Q44" i="3"/>
  <c r="R20" i="3"/>
  <c r="R12" i="3"/>
  <c r="R36" i="3"/>
  <c r="Q11" i="3"/>
  <c r="Q34" i="3"/>
  <c r="F75" i="1"/>
  <c r="R27" i="3"/>
  <c r="Q29" i="3"/>
  <c r="Q24" i="3"/>
  <c r="R34" i="3"/>
  <c r="Q17" i="3"/>
  <c r="R9" i="3"/>
  <c r="R35" i="3"/>
  <c r="R28" i="3"/>
  <c r="R33" i="3"/>
  <c r="Q38" i="3"/>
  <c r="R39" i="3"/>
  <c r="Q40" i="3"/>
  <c r="Q37" i="3"/>
  <c r="R32" i="3"/>
  <c r="R30" i="3"/>
  <c r="R37" i="3"/>
  <c r="Q15" i="3"/>
  <c r="R22" i="3"/>
  <c r="Q32" i="3"/>
  <c r="Q30" i="3"/>
  <c r="R682" i="3"/>
  <c r="Q43" i="3"/>
  <c r="AO33" i="3"/>
  <c r="Q22" i="3"/>
  <c r="Q19" i="3"/>
  <c r="Q18" i="3"/>
  <c r="R26" i="3"/>
  <c r="R40" i="3"/>
  <c r="AN32" i="3"/>
  <c r="AO37" i="3"/>
  <c r="S20" i="3"/>
  <c r="S29" i="3"/>
  <c r="S21" i="3"/>
  <c r="T24" i="3"/>
  <c r="T29" i="3"/>
  <c r="T25" i="3"/>
  <c r="T13" i="3"/>
  <c r="S19" i="3"/>
  <c r="S35" i="3"/>
  <c r="S31" i="3"/>
  <c r="S24" i="3"/>
  <c r="S12" i="3"/>
  <c r="T17" i="3"/>
  <c r="S16" i="3"/>
  <c r="T28" i="3"/>
  <c r="S682" i="3"/>
  <c r="S39" i="3"/>
  <c r="T41" i="3"/>
  <c r="S33" i="3"/>
  <c r="T34" i="3"/>
  <c r="S15" i="3"/>
  <c r="T16" i="3"/>
  <c r="T15" i="3"/>
  <c r="S30" i="3"/>
  <c r="T31" i="3"/>
  <c r="T36" i="3"/>
  <c r="S683" i="3"/>
  <c r="R21" i="3"/>
  <c r="R16" i="3"/>
  <c r="Q39" i="3"/>
  <c r="S25" i="3"/>
  <c r="S14" i="3"/>
  <c r="T11" i="3"/>
  <c r="T19" i="3"/>
  <c r="T39" i="3"/>
  <c r="S27" i="3"/>
  <c r="S22" i="3"/>
  <c r="T35" i="3"/>
  <c r="R25" i="3"/>
  <c r="T43" i="3"/>
  <c r="Q42" i="3"/>
  <c r="AO683" i="3"/>
  <c r="AO10" i="3"/>
  <c r="Q28" i="3"/>
  <c r="Q25" i="3"/>
  <c r="AG21" i="3"/>
  <c r="AE684" i="3"/>
  <c r="AK684" i="3"/>
  <c r="O684" i="3"/>
  <c r="AG9" i="3"/>
  <c r="AH36" i="3"/>
  <c r="AG15" i="3"/>
  <c r="AH17" i="3"/>
  <c r="AH39" i="3"/>
  <c r="AG42" i="3"/>
  <c r="AG34" i="3"/>
  <c r="AH31" i="3"/>
  <c r="AG31" i="3"/>
  <c r="AH41" i="3"/>
  <c r="AH13" i="3"/>
  <c r="AH40" i="3"/>
  <c r="M684" i="3"/>
  <c r="AH20" i="3"/>
  <c r="U684" i="3"/>
  <c r="D684" i="3"/>
  <c r="T684" i="3"/>
  <c r="C684" i="3"/>
  <c r="AH16" i="3"/>
  <c r="P684" i="3"/>
  <c r="AM684" i="3"/>
  <c r="R684" i="3"/>
  <c r="AN29" i="3"/>
  <c r="AN31" i="3"/>
  <c r="AN15" i="3"/>
  <c r="AO20" i="3"/>
  <c r="AO25" i="3"/>
  <c r="AO34" i="3"/>
  <c r="AN18" i="3"/>
  <c r="AO35" i="3"/>
  <c r="AN10" i="3"/>
  <c r="AO9" i="3"/>
  <c r="AN13" i="3"/>
  <c r="AO36" i="3"/>
  <c r="AG32" i="3"/>
  <c r="AH682" i="3"/>
  <c r="AG25" i="3"/>
  <c r="AH34" i="3"/>
  <c r="AH19" i="3"/>
  <c r="AG11" i="3"/>
  <c r="AH32" i="3"/>
  <c r="AG682" i="3"/>
  <c r="AG36" i="3"/>
  <c r="AH28" i="3"/>
  <c r="B684" i="3"/>
  <c r="AR684" i="3"/>
  <c r="F684" i="3"/>
  <c r="AQ684" i="3"/>
  <c r="BM44" i="3"/>
  <c r="AO44" i="3"/>
  <c r="AG44" i="3"/>
  <c r="AH44" i="3"/>
  <c r="AQ45" i="3"/>
  <c r="AR45" i="3"/>
  <c r="A46" i="3"/>
  <c r="B45" i="3"/>
  <c r="AM45" i="3"/>
  <c r="AK45" i="3"/>
  <c r="T45" i="3"/>
  <c r="C45" i="3"/>
  <c r="Q45" i="3"/>
  <c r="P45" i="3"/>
  <c r="R45" i="3"/>
  <c r="AD45" i="3"/>
  <c r="O45" i="3"/>
  <c r="AE45" i="3"/>
  <c r="M45" i="3"/>
  <c r="U45" i="3"/>
  <c r="AF45" i="3"/>
  <c r="V45" i="3"/>
  <c r="D45" i="3"/>
  <c r="G45" i="3"/>
  <c r="H45" i="3" s="1"/>
  <c r="F45" i="3"/>
  <c r="S45" i="3"/>
  <c r="BN44" i="3"/>
  <c r="AN44" i="3"/>
  <c r="AT20" i="3" l="1"/>
  <c r="AT19" i="3"/>
  <c r="AT42" i="3"/>
  <c r="AT16" i="3"/>
  <c r="AT15" i="3"/>
  <c r="AU12" i="3"/>
  <c r="X17" i="3"/>
  <c r="X683" i="3"/>
  <c r="Y26" i="3"/>
  <c r="Z26" i="3" s="1"/>
  <c r="X34" i="3"/>
  <c r="Y23" i="3"/>
  <c r="Z23" i="3" s="1"/>
  <c r="AU23" i="3"/>
  <c r="Y40" i="3"/>
  <c r="Z40" i="3" s="1"/>
  <c r="U685" i="3"/>
  <c r="D686" i="3"/>
  <c r="AT683" i="3"/>
  <c r="Y38" i="3"/>
  <c r="Z38" i="3" s="1"/>
  <c r="Y14" i="3"/>
  <c r="Z14" i="3" s="1"/>
  <c r="AF685" i="3"/>
  <c r="AT23" i="3"/>
  <c r="O686" i="3"/>
  <c r="M686" i="3"/>
  <c r="AU35" i="3"/>
  <c r="AV35" i="3" s="1"/>
  <c r="X10" i="3"/>
  <c r="D685" i="3"/>
  <c r="AU38" i="3"/>
  <c r="AK685" i="3"/>
  <c r="AU28" i="3"/>
  <c r="AT11" i="3"/>
  <c r="AP9" i="3"/>
  <c r="Y31" i="3"/>
  <c r="Z31" i="3" s="1"/>
  <c r="X26" i="3"/>
  <c r="AQ685" i="3"/>
  <c r="AX21" i="3"/>
  <c r="AX23" i="3"/>
  <c r="AU24" i="3"/>
  <c r="AT37" i="3"/>
  <c r="S686" i="3"/>
  <c r="X28" i="3"/>
  <c r="Y24" i="3"/>
  <c r="Z24" i="3" s="1"/>
  <c r="X44" i="3"/>
  <c r="B686" i="3"/>
  <c r="R686" i="3"/>
  <c r="AW682" i="3"/>
  <c r="AX35" i="3"/>
  <c r="AH684" i="3"/>
  <c r="X21" i="3"/>
  <c r="X37" i="3"/>
  <c r="Y34" i="3"/>
  <c r="Z34" i="3" s="1"/>
  <c r="Y19" i="3"/>
  <c r="Z19" i="3" s="1"/>
  <c r="AT38" i="3"/>
  <c r="Y29" i="3"/>
  <c r="Z29" i="3" s="1"/>
  <c r="X40" i="3"/>
  <c r="AX12" i="3"/>
  <c r="AX683" i="3"/>
  <c r="X29" i="3"/>
  <c r="AT43" i="3"/>
  <c r="Y10" i="3"/>
  <c r="Z10" i="3" s="1"/>
  <c r="X16" i="3"/>
  <c r="Y37" i="3"/>
  <c r="Z37" i="3" s="1"/>
  <c r="Y33" i="3"/>
  <c r="Z33" i="3" s="1"/>
  <c r="AU21" i="3"/>
  <c r="AU683" i="3"/>
  <c r="Y11" i="3"/>
  <c r="Z11" i="3" s="1"/>
  <c r="AT18" i="3"/>
  <c r="AT29" i="3"/>
  <c r="AV29" i="3" s="1"/>
  <c r="D687" i="3"/>
  <c r="AU18" i="3"/>
  <c r="AU25" i="3"/>
  <c r="AW29" i="3"/>
  <c r="X682" i="3"/>
  <c r="AW16" i="3"/>
  <c r="X13" i="3"/>
  <c r="AW21" i="3"/>
  <c r="AW23" i="3"/>
  <c r="X20" i="3"/>
  <c r="AX40" i="3"/>
  <c r="X22" i="3"/>
  <c r="X33" i="3"/>
  <c r="Y28" i="3"/>
  <c r="Z28" i="3" s="1"/>
  <c r="AW33" i="3"/>
  <c r="Y682" i="3"/>
  <c r="Z682" i="3" s="1"/>
  <c r="AX38" i="3"/>
  <c r="X19" i="3"/>
  <c r="Y18" i="3"/>
  <c r="Z18" i="3" s="1"/>
  <c r="X12" i="3"/>
  <c r="Y27" i="3"/>
  <c r="Z27" i="3" s="1"/>
  <c r="Y21" i="3"/>
  <c r="Z21" i="3" s="1"/>
  <c r="X14" i="3"/>
  <c r="AW26" i="3"/>
  <c r="Y32" i="3"/>
  <c r="Z32" i="3" s="1"/>
  <c r="AT26" i="3"/>
  <c r="P687" i="3"/>
  <c r="AX26" i="3"/>
  <c r="AW30" i="3"/>
  <c r="AG684" i="3"/>
  <c r="AU26" i="3"/>
  <c r="AX37" i="3"/>
  <c r="S687" i="3"/>
  <c r="T687" i="3"/>
  <c r="AE687" i="3"/>
  <c r="B687" i="3"/>
  <c r="AX24" i="3"/>
  <c r="AU37" i="3"/>
  <c r="Y683" i="3"/>
  <c r="Z683" i="3" s="1"/>
  <c r="AX43" i="3"/>
  <c r="Y35" i="3"/>
  <c r="Z35" i="3" s="1"/>
  <c r="Y36" i="3"/>
  <c r="Z36" i="3" s="1"/>
  <c r="Y12" i="3"/>
  <c r="Z12" i="3" s="1"/>
  <c r="AU27" i="3"/>
  <c r="X15" i="3"/>
  <c r="AW37" i="3"/>
  <c r="X18" i="3"/>
  <c r="AX33" i="3"/>
  <c r="Y43" i="3"/>
  <c r="Z43" i="3" s="1"/>
  <c r="X31" i="3"/>
  <c r="AX27" i="3"/>
  <c r="AR685" i="3"/>
  <c r="AD685" i="3"/>
  <c r="C687" i="3"/>
  <c r="AU33" i="3"/>
  <c r="AV33" i="3" s="1"/>
  <c r="R685" i="3"/>
  <c r="F687" i="3"/>
  <c r="G686" i="3"/>
  <c r="H686" i="3" s="1"/>
  <c r="P686" i="3"/>
  <c r="P685" i="3"/>
  <c r="AW24" i="3"/>
  <c r="F686" i="3"/>
  <c r="V686" i="3"/>
  <c r="AE686" i="3"/>
  <c r="M685" i="3"/>
  <c r="Y30" i="3"/>
  <c r="Z30" i="3" s="1"/>
  <c r="X9" i="3"/>
  <c r="Y41" i="3"/>
  <c r="Z41" i="3" s="1"/>
  <c r="Y20" i="3"/>
  <c r="Z20" i="3" s="1"/>
  <c r="Y22" i="3"/>
  <c r="Z22" i="3" s="1"/>
  <c r="Y25" i="3"/>
  <c r="Z25" i="3" s="1"/>
  <c r="X30" i="3"/>
  <c r="X36" i="3"/>
  <c r="Y44" i="3"/>
  <c r="Z44" i="3" s="1"/>
  <c r="AX14" i="3"/>
  <c r="AW27" i="3"/>
  <c r="AT30" i="3"/>
  <c r="AW17" i="3"/>
  <c r="AU43" i="3"/>
  <c r="AW22" i="3"/>
  <c r="AX41" i="3"/>
  <c r="AT12" i="3"/>
  <c r="AW683" i="3"/>
  <c r="AW12" i="3"/>
  <c r="AT22" i="3"/>
  <c r="AX16" i="3"/>
  <c r="AU17" i="3"/>
  <c r="AU34" i="3"/>
  <c r="AT41" i="3"/>
  <c r="AT17" i="3"/>
  <c r="X42" i="3"/>
  <c r="Y16" i="3"/>
  <c r="Z16" i="3" s="1"/>
  <c r="Y17" i="3"/>
  <c r="Z17" i="3" s="1"/>
  <c r="X35" i="3"/>
  <c r="X32" i="3"/>
  <c r="X23" i="3"/>
  <c r="AW39" i="3"/>
  <c r="X39" i="3"/>
  <c r="AW43" i="3"/>
  <c r="AU22" i="3"/>
  <c r="AU10" i="3"/>
  <c r="X41" i="3"/>
  <c r="Y39" i="3"/>
  <c r="Z39" i="3" s="1"/>
  <c r="X24" i="3"/>
  <c r="AW18" i="3"/>
  <c r="X27" i="3"/>
  <c r="X38" i="3"/>
  <c r="Y15" i="3"/>
  <c r="Z15" i="3" s="1"/>
  <c r="Y13" i="3"/>
  <c r="Z13" i="3" s="1"/>
  <c r="AU30" i="3"/>
  <c r="AT27" i="3"/>
  <c r="AU14" i="3"/>
  <c r="X43" i="3"/>
  <c r="Y9" i="3"/>
  <c r="Z9" i="3" s="1"/>
  <c r="X11" i="3"/>
  <c r="AW38" i="3"/>
  <c r="R687" i="3"/>
  <c r="Q687" i="3"/>
  <c r="AM687" i="3"/>
  <c r="G687" i="3"/>
  <c r="H687" i="3" s="1"/>
  <c r="M687" i="3"/>
  <c r="AT10" i="3"/>
  <c r="AW10" i="3"/>
  <c r="AX30" i="3"/>
  <c r="AX18" i="3"/>
  <c r="AT40" i="3"/>
  <c r="S685" i="3"/>
  <c r="C685" i="3"/>
  <c r="AM685" i="3"/>
  <c r="O685" i="3"/>
  <c r="AX22" i="3"/>
  <c r="AK687" i="3"/>
  <c r="V687" i="3"/>
  <c r="AD687" i="3"/>
  <c r="T685" i="3"/>
  <c r="AE685" i="3"/>
  <c r="AT24" i="3"/>
  <c r="AW14" i="3"/>
  <c r="U687" i="3"/>
  <c r="AF687" i="3"/>
  <c r="AQ686" i="3"/>
  <c r="T686" i="3"/>
  <c r="C686" i="3"/>
  <c r="AM686" i="3"/>
  <c r="AK686" i="3"/>
  <c r="O687" i="3"/>
  <c r="AQ687" i="3"/>
  <c r="F685" i="3"/>
  <c r="Q686" i="3"/>
  <c r="AD686" i="3"/>
  <c r="V685" i="3"/>
  <c r="Q685" i="3"/>
  <c r="AR686" i="3"/>
  <c r="B685" i="3"/>
  <c r="AF686" i="3"/>
  <c r="AT14" i="3"/>
  <c r="AX15" i="3"/>
  <c r="X25" i="3"/>
  <c r="AW42" i="3"/>
  <c r="AT31" i="3"/>
  <c r="AX10" i="3"/>
  <c r="AT682" i="3"/>
  <c r="AU15" i="3"/>
  <c r="AV15" i="3" s="1"/>
  <c r="AX29" i="3"/>
  <c r="AW34" i="3"/>
  <c r="AX9" i="3"/>
  <c r="AX34" i="3"/>
  <c r="AX39" i="3"/>
  <c r="AX11" i="3"/>
  <c r="AX682" i="3"/>
  <c r="AY682" i="3" s="1"/>
  <c r="AW28" i="3"/>
  <c r="AU9" i="3"/>
  <c r="AU3" i="3" s="1"/>
  <c r="AU4" i="3" s="1"/>
  <c r="AT9" i="3"/>
  <c r="AT3" i="3" s="1"/>
  <c r="AT4" i="3" s="1"/>
  <c r="AW9" i="3"/>
  <c r="AT21" i="3"/>
  <c r="AX42" i="3"/>
  <c r="AI9" i="3"/>
  <c r="AU42" i="3"/>
  <c r="AU16" i="3"/>
  <c r="AX17" i="3"/>
  <c r="AU41" i="3"/>
  <c r="AN684" i="3"/>
  <c r="AU31" i="3"/>
  <c r="AW15" i="3"/>
  <c r="AU682" i="3"/>
  <c r="AT39" i="3"/>
  <c r="AU39" i="3"/>
  <c r="AW11" i="3"/>
  <c r="AX20" i="3"/>
  <c r="AO684" i="3"/>
  <c r="AU11" i="3"/>
  <c r="AW40" i="3"/>
  <c r="AX28" i="3"/>
  <c r="AT36" i="3"/>
  <c r="AW25" i="3"/>
  <c r="Y684" i="3"/>
  <c r="Z684" i="3" s="1"/>
  <c r="AX25" i="3"/>
  <c r="AW31" i="3"/>
  <c r="AX13" i="3"/>
  <c r="AT32" i="3"/>
  <c r="AT13" i="3"/>
  <c r="AW41" i="3"/>
  <c r="AW13" i="3"/>
  <c r="AU13" i="3"/>
  <c r="AT34" i="3"/>
  <c r="AU40" i="3"/>
  <c r="AX32" i="3"/>
  <c r="AT28" i="3"/>
  <c r="AU20" i="3"/>
  <c r="AW20" i="3"/>
  <c r="X684" i="3"/>
  <c r="AW32" i="3"/>
  <c r="AX36" i="3"/>
  <c r="AW35" i="3"/>
  <c r="AU32" i="3"/>
  <c r="AU36" i="3"/>
  <c r="AU19" i="3"/>
  <c r="AX19" i="3"/>
  <c r="AT25" i="3"/>
  <c r="AW19" i="3"/>
  <c r="AW36" i="3"/>
  <c r="AX31" i="3"/>
  <c r="BM45" i="3"/>
  <c r="AU44" i="3"/>
  <c r="AG45" i="3"/>
  <c r="AO45" i="3"/>
  <c r="AT44" i="3"/>
  <c r="AW44" i="3"/>
  <c r="X45" i="3"/>
  <c r="Y45" i="3"/>
  <c r="Z45" i="3" s="1"/>
  <c r="BN45" i="3"/>
  <c r="AQ46" i="3"/>
  <c r="B46" i="3"/>
  <c r="A47" i="3"/>
  <c r="AR46" i="3"/>
  <c r="D46" i="3"/>
  <c r="AM46" i="3"/>
  <c r="T46" i="3"/>
  <c r="R46" i="3"/>
  <c r="AK46" i="3"/>
  <c r="O46" i="3"/>
  <c r="Q46" i="3"/>
  <c r="AD46" i="3"/>
  <c r="P46" i="3"/>
  <c r="M46" i="3"/>
  <c r="AF46" i="3"/>
  <c r="U46" i="3"/>
  <c r="V46" i="3"/>
  <c r="AE46" i="3"/>
  <c r="G46" i="3"/>
  <c r="H46" i="3" s="1"/>
  <c r="C46" i="3"/>
  <c r="F46" i="3"/>
  <c r="S46" i="3"/>
  <c r="AN45" i="3"/>
  <c r="AX44" i="3"/>
  <c r="AH45" i="3"/>
  <c r="AV20" i="3" l="1"/>
  <c r="AV42" i="3"/>
  <c r="AY12" i="3"/>
  <c r="AV19" i="3"/>
  <c r="AO685" i="3"/>
  <c r="AY16" i="3"/>
  <c r="AY21" i="3"/>
  <c r="BA29" i="3"/>
  <c r="BB29" i="3" s="1"/>
  <c r="AV12" i="3"/>
  <c r="AV11" i="3"/>
  <c r="AY24" i="3"/>
  <c r="AV14" i="3"/>
  <c r="AY9" i="3"/>
  <c r="AY18" i="3"/>
  <c r="AV23" i="3"/>
  <c r="AY36" i="3"/>
  <c r="AV683" i="3"/>
  <c r="BA23" i="3"/>
  <c r="BB23" i="3" s="1"/>
  <c r="AW684" i="3"/>
  <c r="AV38" i="3"/>
  <c r="AT684" i="3"/>
  <c r="AV41" i="3"/>
  <c r="AV28" i="3"/>
  <c r="AV37" i="3"/>
  <c r="BA24" i="3"/>
  <c r="BF24" i="3" s="1"/>
  <c r="BA37" i="3"/>
  <c r="BF37" i="3" s="1"/>
  <c r="AY683" i="3"/>
  <c r="AY35" i="3"/>
  <c r="BC35" i="3" s="1"/>
  <c r="BG35" i="3" s="1"/>
  <c r="BH35" i="3" s="1"/>
  <c r="BI35" i="3" s="1"/>
  <c r="AY17" i="3"/>
  <c r="AV43" i="3"/>
  <c r="AY23" i="3"/>
  <c r="AV21" i="3"/>
  <c r="AV18" i="3"/>
  <c r="AY41" i="3"/>
  <c r="AY40" i="3"/>
  <c r="AH687" i="3"/>
  <c r="AG687" i="3"/>
  <c r="AH685" i="3"/>
  <c r="AY38" i="3"/>
  <c r="AY29" i="3"/>
  <c r="BC29" i="3" s="1"/>
  <c r="BG29" i="3" s="1"/>
  <c r="BH29" i="3" s="1"/>
  <c r="BI29" i="3" s="1"/>
  <c r="AY37" i="3"/>
  <c r="AV30" i="3"/>
  <c r="AV22" i="3"/>
  <c r="AV17" i="3"/>
  <c r="BA33" i="3"/>
  <c r="BF33" i="3" s="1"/>
  <c r="AV26" i="3"/>
  <c r="AY33" i="3"/>
  <c r="BC33" i="3" s="1"/>
  <c r="BD33" i="3" s="1"/>
  <c r="AU684" i="3"/>
  <c r="BA12" i="3"/>
  <c r="BB12" i="3" s="1"/>
  <c r="AV40" i="3"/>
  <c r="AV27" i="3"/>
  <c r="BA30" i="3"/>
  <c r="BQ30" i="3" s="1"/>
  <c r="BA14" i="3"/>
  <c r="BQ14" i="3" s="1"/>
  <c r="AY26" i="3"/>
  <c r="BA26" i="3"/>
  <c r="BB26" i="3" s="1"/>
  <c r="BA38" i="3"/>
  <c r="BB38" i="3" s="1"/>
  <c r="AY30" i="3"/>
  <c r="Y686" i="3"/>
  <c r="Z686" i="3" s="1"/>
  <c r="AG685" i="3"/>
  <c r="BA16" i="3"/>
  <c r="BF16" i="3" s="1"/>
  <c r="BA43" i="3"/>
  <c r="BB43" i="3" s="1"/>
  <c r="X686" i="3"/>
  <c r="AN685" i="3"/>
  <c r="AY14" i="3"/>
  <c r="X687" i="3"/>
  <c r="AY27" i="3"/>
  <c r="BA683" i="3"/>
  <c r="BB683" i="3" s="1"/>
  <c r="AY22" i="3"/>
  <c r="AV10" i="3"/>
  <c r="AY43" i="3"/>
  <c r="BA27" i="3"/>
  <c r="BQ27" i="3" s="1"/>
  <c r="AV16" i="3"/>
  <c r="AV24" i="3"/>
  <c r="AO687" i="3"/>
  <c r="BA18" i="3"/>
  <c r="BB18" i="3" s="1"/>
  <c r="AY39" i="3"/>
  <c r="BA34" i="3"/>
  <c r="BF34" i="3" s="1"/>
  <c r="BA25" i="3"/>
  <c r="BF25" i="3" s="1"/>
  <c r="BA40" i="3"/>
  <c r="BQ40" i="3" s="1"/>
  <c r="BA22" i="3"/>
  <c r="BB22" i="3" s="1"/>
  <c r="AX684" i="3"/>
  <c r="AG686" i="3"/>
  <c r="AO686" i="3"/>
  <c r="Y685" i="3"/>
  <c r="Z685" i="3" s="1"/>
  <c r="X685" i="3"/>
  <c r="BA10" i="3"/>
  <c r="BB10" i="3" s="1"/>
  <c r="AN687" i="3"/>
  <c r="Y687" i="3"/>
  <c r="Z687" i="3" s="1"/>
  <c r="AV32" i="3"/>
  <c r="BA9" i="3"/>
  <c r="BQ9" i="3" s="1"/>
  <c r="AY10" i="3"/>
  <c r="AV25" i="3"/>
  <c r="BA17" i="3"/>
  <c r="BF17" i="3" s="1"/>
  <c r="AH686" i="3"/>
  <c r="AN686" i="3"/>
  <c r="AY15" i="3"/>
  <c r="BC15" i="3" s="1"/>
  <c r="BG15" i="3" s="1"/>
  <c r="BH15" i="3" s="1"/>
  <c r="BI15" i="3" s="1"/>
  <c r="AV34" i="3"/>
  <c r="BA15" i="3"/>
  <c r="BQ15" i="3" s="1"/>
  <c r="BA42" i="3"/>
  <c r="BQ42" i="3" s="1"/>
  <c r="AY42" i="3"/>
  <c r="AV36" i="3"/>
  <c r="AV31" i="3"/>
  <c r="BA19" i="3"/>
  <c r="BB19" i="3" s="1"/>
  <c r="AV39" i="3"/>
  <c r="AY20" i="3"/>
  <c r="BA682" i="3"/>
  <c r="BF682" i="3" s="1"/>
  <c r="AY34" i="3"/>
  <c r="BA21" i="3"/>
  <c r="BF21" i="3" s="1"/>
  <c r="AV9" i="3"/>
  <c r="BA31" i="3"/>
  <c r="BB31" i="3" s="1"/>
  <c r="AV682" i="3"/>
  <c r="BC682" i="3" s="1"/>
  <c r="BD682" i="3" s="1"/>
  <c r="AY11" i="3"/>
  <c r="AY28" i="3"/>
  <c r="BA39" i="3"/>
  <c r="BF39" i="3" s="1"/>
  <c r="BA11" i="3"/>
  <c r="BF11" i="3" s="1"/>
  <c r="BA41" i="3"/>
  <c r="BF41" i="3" s="1"/>
  <c r="BA28" i="3"/>
  <c r="BB28" i="3" s="1"/>
  <c r="AY31" i="3"/>
  <c r="AY25" i="3"/>
  <c r="AY13" i="3"/>
  <c r="AY32" i="3"/>
  <c r="BA13" i="3"/>
  <c r="BB13" i="3" s="1"/>
  <c r="BA36" i="3"/>
  <c r="BF36" i="3" s="1"/>
  <c r="BA32" i="3"/>
  <c r="BQ32" i="3" s="1"/>
  <c r="AV13" i="3"/>
  <c r="BA35" i="3"/>
  <c r="BB35" i="3" s="1"/>
  <c r="BA20" i="3"/>
  <c r="BF20" i="3" s="1"/>
  <c r="AY19" i="3"/>
  <c r="AV44" i="3"/>
  <c r="BN46" i="3"/>
  <c r="AX45" i="3"/>
  <c r="AY44" i="3"/>
  <c r="AG46" i="3"/>
  <c r="AN46" i="3"/>
  <c r="X46" i="3"/>
  <c r="Y46" i="3"/>
  <c r="Z46" i="3" s="1"/>
  <c r="AQ47" i="3"/>
  <c r="AR47" i="3"/>
  <c r="A48" i="3"/>
  <c r="B47" i="3"/>
  <c r="C47" i="3"/>
  <c r="AM47" i="3"/>
  <c r="D47" i="3"/>
  <c r="AK47" i="3"/>
  <c r="T47" i="3"/>
  <c r="Q47" i="3"/>
  <c r="AD47" i="3"/>
  <c r="R47" i="3"/>
  <c r="P47" i="3"/>
  <c r="O47" i="3"/>
  <c r="AE47" i="3"/>
  <c r="M47" i="3"/>
  <c r="AF47" i="3"/>
  <c r="U47" i="3"/>
  <c r="V47" i="3"/>
  <c r="F47" i="3"/>
  <c r="G47" i="3"/>
  <c r="H47" i="3" s="1"/>
  <c r="S47" i="3"/>
  <c r="BA44" i="3"/>
  <c r="AH46" i="3"/>
  <c r="AT45" i="3"/>
  <c r="AW45" i="3"/>
  <c r="AU45" i="3"/>
  <c r="BM46" i="3"/>
  <c r="AO46" i="3"/>
  <c r="BC20" i="3" l="1"/>
  <c r="BG20" i="3" s="1"/>
  <c r="BH20" i="3" s="1"/>
  <c r="BI20" i="3" s="1"/>
  <c r="BC42" i="3"/>
  <c r="BG42" i="3" s="1"/>
  <c r="BH42" i="3" s="1"/>
  <c r="BI42" i="3" s="1"/>
  <c r="BC12" i="3"/>
  <c r="BD12" i="3" s="1"/>
  <c r="BC16" i="3"/>
  <c r="BG16" i="3" s="1"/>
  <c r="BH16" i="3" s="1"/>
  <c r="BI16" i="3" s="1"/>
  <c r="BC19" i="3"/>
  <c r="BD19" i="3" s="1"/>
  <c r="BC43" i="3"/>
  <c r="BG43" i="3" s="1"/>
  <c r="BH43" i="3" s="1"/>
  <c r="BI43" i="3" s="1"/>
  <c r="BC21" i="3"/>
  <c r="BG21" i="3" s="1"/>
  <c r="BH21" i="3" s="1"/>
  <c r="BI21" i="3" s="1"/>
  <c r="BF23" i="3"/>
  <c r="BJ23" i="3" s="1"/>
  <c r="BK23" i="3" s="1"/>
  <c r="BJ33" i="3"/>
  <c r="BK33" i="3" s="1"/>
  <c r="BC17" i="3"/>
  <c r="BD17" i="3" s="1"/>
  <c r="BQ29" i="3"/>
  <c r="BF29" i="3"/>
  <c r="AV684" i="3"/>
  <c r="BC11" i="3"/>
  <c r="BD11" i="3" s="1"/>
  <c r="BC38" i="3"/>
  <c r="BD38" i="3" s="1"/>
  <c r="BC24" i="3"/>
  <c r="BD24" i="3" s="1"/>
  <c r="BC18" i="3"/>
  <c r="BG18" i="3" s="1"/>
  <c r="BH18" i="3" s="1"/>
  <c r="BI18" i="3" s="1"/>
  <c r="BC14" i="3"/>
  <c r="BD14" i="3" s="1"/>
  <c r="BC9" i="3"/>
  <c r="BG9" i="3" s="1"/>
  <c r="BH9" i="3" s="1"/>
  <c r="BI9" i="3" s="1"/>
  <c r="BC26" i="3"/>
  <c r="BG26" i="3" s="1"/>
  <c r="BH26" i="3" s="1"/>
  <c r="BI26" i="3" s="1"/>
  <c r="BC23" i="3"/>
  <c r="BD23" i="3" s="1"/>
  <c r="BC36" i="3"/>
  <c r="BD36" i="3" s="1"/>
  <c r="BC683" i="3"/>
  <c r="BG683" i="3" s="1"/>
  <c r="BH683" i="3" s="1"/>
  <c r="BI683" i="3" s="1"/>
  <c r="BC28" i="3"/>
  <c r="BD28" i="3" s="1"/>
  <c r="BQ23" i="3"/>
  <c r="BC34" i="3"/>
  <c r="BD34" i="3" s="1"/>
  <c r="AY684" i="3"/>
  <c r="BB37" i="3"/>
  <c r="BQ37" i="3"/>
  <c r="BJ36" i="3"/>
  <c r="BK36" i="3" s="1"/>
  <c r="BC41" i="3"/>
  <c r="BD41" i="3" s="1"/>
  <c r="BF30" i="3"/>
  <c r="BQ24" i="3"/>
  <c r="BC37" i="3"/>
  <c r="BG37" i="3" s="1"/>
  <c r="BH37" i="3" s="1"/>
  <c r="BI37" i="3" s="1"/>
  <c r="BB24" i="3"/>
  <c r="BJ24" i="3"/>
  <c r="BK24" i="3" s="1"/>
  <c r="BC40" i="3"/>
  <c r="BG40" i="3" s="1"/>
  <c r="BH40" i="3" s="1"/>
  <c r="BI40" i="3" s="1"/>
  <c r="AU687" i="3"/>
  <c r="BB30" i="3"/>
  <c r="BC30" i="3"/>
  <c r="BD30" i="3" s="1"/>
  <c r="AT687" i="3"/>
  <c r="BQ26" i="3"/>
  <c r="BF683" i="3"/>
  <c r="AU685" i="3"/>
  <c r="AX685" i="3"/>
  <c r="BA684" i="3"/>
  <c r="BF684" i="3" s="1"/>
  <c r="BQ33" i="3"/>
  <c r="BB33" i="3"/>
  <c r="BB14" i="3"/>
  <c r="BF12" i="3"/>
  <c r="BJ11" i="3" s="1"/>
  <c r="BK11" i="3" s="1"/>
  <c r="BC22" i="3"/>
  <c r="BG22" i="3" s="1"/>
  <c r="BH22" i="3" s="1"/>
  <c r="BI22" i="3" s="1"/>
  <c r="BQ43" i="3"/>
  <c r="AT685" i="3"/>
  <c r="BQ17" i="3"/>
  <c r="BB42" i="3"/>
  <c r="BF43" i="3"/>
  <c r="BF26" i="3"/>
  <c r="BJ25" i="3" s="1"/>
  <c r="BK25" i="3" s="1"/>
  <c r="BQ34" i="3"/>
  <c r="BQ12" i="3"/>
  <c r="AW685" i="3"/>
  <c r="BF14" i="3"/>
  <c r="BC27" i="3"/>
  <c r="BD27" i="3" s="1"/>
  <c r="BF38" i="3"/>
  <c r="BJ38" i="3" s="1"/>
  <c r="BC32" i="3"/>
  <c r="BG32" i="3" s="1"/>
  <c r="BH32" i="3" s="1"/>
  <c r="BI32" i="3" s="1"/>
  <c r="BF32" i="3"/>
  <c r="BJ32" i="3" s="1"/>
  <c r="BK32" i="3" s="1"/>
  <c r="BC25" i="3"/>
  <c r="BG25" i="3" s="1"/>
  <c r="BH25" i="3" s="1"/>
  <c r="BI25" i="3" s="1"/>
  <c r="BQ25" i="3"/>
  <c r="BQ38" i="3"/>
  <c r="BB25" i="3"/>
  <c r="BQ22" i="3"/>
  <c r="BQ16" i="3"/>
  <c r="BB16" i="3"/>
  <c r="BJ16" i="3"/>
  <c r="BK16" i="3" s="1"/>
  <c r="AX687" i="3"/>
  <c r="BQ19" i="3"/>
  <c r="BF22" i="3"/>
  <c r="BQ10" i="3"/>
  <c r="AW687" i="3"/>
  <c r="BC10" i="3"/>
  <c r="BD10" i="3" s="1"/>
  <c r="BB27" i="3"/>
  <c r="BF18" i="3"/>
  <c r="BJ17" i="3" s="1"/>
  <c r="BK17" i="3" s="1"/>
  <c r="BF9" i="3"/>
  <c r="BB34" i="3"/>
  <c r="BF27" i="3"/>
  <c r="BQ18" i="3"/>
  <c r="BF40" i="3"/>
  <c r="BJ40" i="3" s="1"/>
  <c r="BK40" i="3" s="1"/>
  <c r="BQ36" i="3"/>
  <c r="BB36" i="3"/>
  <c r="BB20" i="3"/>
  <c r="BQ13" i="3"/>
  <c r="BF19" i="3"/>
  <c r="BJ19" i="3" s="1"/>
  <c r="BK19" i="3" s="1"/>
  <c r="BB17" i="3"/>
  <c r="BF28" i="3"/>
  <c r="BQ28" i="3"/>
  <c r="BF42" i="3"/>
  <c r="BJ41" i="3" s="1"/>
  <c r="BK41" i="3" s="1"/>
  <c r="BF10" i="3"/>
  <c r="BJ10" i="3" s="1"/>
  <c r="BK10" i="3" s="1"/>
  <c r="BC39" i="3"/>
  <c r="BD39" i="3" s="1"/>
  <c r="BF15" i="3"/>
  <c r="BJ15" i="3" s="1"/>
  <c r="BK15" i="3" s="1"/>
  <c r="BB40" i="3"/>
  <c r="AU686" i="3"/>
  <c r="AT686" i="3"/>
  <c r="BB9" i="3"/>
  <c r="BQ31" i="3"/>
  <c r="BB15" i="3"/>
  <c r="BF31" i="3"/>
  <c r="BB21" i="3"/>
  <c r="BB11" i="3"/>
  <c r="BQ21" i="3"/>
  <c r="AW686" i="3"/>
  <c r="AX686" i="3"/>
  <c r="BC31" i="3"/>
  <c r="BG31" i="3" s="1"/>
  <c r="BH31" i="3" s="1"/>
  <c r="BI31" i="3" s="1"/>
  <c r="BG33" i="3"/>
  <c r="BH33" i="3" s="1"/>
  <c r="BI33" i="3" s="1"/>
  <c r="BQ20" i="3"/>
  <c r="BJ20" i="3"/>
  <c r="BK20" i="3" s="1"/>
  <c r="BB682" i="3"/>
  <c r="BQ39" i="3"/>
  <c r="BF13" i="3"/>
  <c r="BG682" i="3"/>
  <c r="BH682" i="3" s="1"/>
  <c r="BI682" i="3" s="1"/>
  <c r="BB39" i="3"/>
  <c r="BF35" i="3"/>
  <c r="BJ34" i="3" s="1"/>
  <c r="BK34" i="3" s="1"/>
  <c r="BQ41" i="3"/>
  <c r="BB41" i="3"/>
  <c r="BQ11" i="3"/>
  <c r="BC13" i="3"/>
  <c r="BG13" i="3" s="1"/>
  <c r="BH13" i="3" s="1"/>
  <c r="BI13" i="3" s="1"/>
  <c r="BD35" i="3"/>
  <c r="BB32" i="3"/>
  <c r="BQ35" i="3"/>
  <c r="BN47" i="3"/>
  <c r="BD15" i="3"/>
  <c r="BD29" i="3"/>
  <c r="BC44" i="3"/>
  <c r="BG44" i="3" s="1"/>
  <c r="BH44" i="3" s="1"/>
  <c r="BI44" i="3" s="1"/>
  <c r="AT46" i="3"/>
  <c r="BM47" i="3"/>
  <c r="AO47" i="3"/>
  <c r="AY45" i="3"/>
  <c r="AU46" i="3"/>
  <c r="AX46" i="3"/>
  <c r="AV45" i="3"/>
  <c r="BB44" i="3"/>
  <c r="BF44" i="3"/>
  <c r="BQ44" i="3"/>
  <c r="Y47" i="3"/>
  <c r="Z47" i="3" s="1"/>
  <c r="AR48" i="3"/>
  <c r="B48" i="3"/>
  <c r="AQ48" i="3"/>
  <c r="A49" i="3"/>
  <c r="AM48" i="3"/>
  <c r="R48" i="3"/>
  <c r="AK48" i="3"/>
  <c r="S48" i="3"/>
  <c r="T48" i="3"/>
  <c r="AD48" i="3"/>
  <c r="O48" i="3"/>
  <c r="P48" i="3"/>
  <c r="M48" i="3"/>
  <c r="AE48" i="3"/>
  <c r="AF48" i="3"/>
  <c r="U48" i="3"/>
  <c r="V48" i="3"/>
  <c r="Q48" i="3"/>
  <c r="C48" i="3"/>
  <c r="D48" i="3"/>
  <c r="G48" i="3"/>
  <c r="H48" i="3" s="1"/>
  <c r="F48" i="3"/>
  <c r="BA45" i="3"/>
  <c r="AW46" i="3"/>
  <c r="AG47" i="3"/>
  <c r="AH47" i="3"/>
  <c r="X47" i="3"/>
  <c r="AN47" i="3"/>
  <c r="BD42" i="3" l="1"/>
  <c r="BD20" i="3"/>
  <c r="BG12" i="3"/>
  <c r="BH12" i="3" s="1"/>
  <c r="BI12" i="3" s="1"/>
  <c r="BG19" i="3"/>
  <c r="BH19" i="3" s="1"/>
  <c r="BI19" i="3" s="1"/>
  <c r="BD16" i="3"/>
  <c r="BD43" i="3"/>
  <c r="BG17" i="3"/>
  <c r="BH17" i="3" s="1"/>
  <c r="BI17" i="3" s="1"/>
  <c r="BD21" i="3"/>
  <c r="BJ28" i="3"/>
  <c r="BK28" i="3" s="1"/>
  <c r="BJ22" i="3"/>
  <c r="BK22" i="3" s="1"/>
  <c r="BJ29" i="3"/>
  <c r="BK29" i="3" s="1"/>
  <c r="BC684" i="3"/>
  <c r="BD684" i="3" s="1"/>
  <c r="BG14" i="3"/>
  <c r="BH14" i="3" s="1"/>
  <c r="BI14" i="3" s="1"/>
  <c r="BG11" i="3"/>
  <c r="BH11" i="3" s="1"/>
  <c r="BI11" i="3" s="1"/>
  <c r="BG38" i="3"/>
  <c r="BH38" i="3" s="1"/>
  <c r="BI38" i="3" s="1"/>
  <c r="BG24" i="3"/>
  <c r="BH24" i="3" s="1"/>
  <c r="BI24" i="3" s="1"/>
  <c r="BD18" i="3"/>
  <c r="BD9" i="3"/>
  <c r="BD26" i="3"/>
  <c r="BG23" i="3"/>
  <c r="BH23" i="3" s="1"/>
  <c r="BI23" i="3" s="1"/>
  <c r="AY687" i="3"/>
  <c r="BD683" i="3"/>
  <c r="BG36" i="3"/>
  <c r="BH36" i="3" s="1"/>
  <c r="BI36" i="3" s="1"/>
  <c r="BG28" i="3"/>
  <c r="BH28" i="3" s="1"/>
  <c r="BI28" i="3" s="1"/>
  <c r="BJ30" i="3"/>
  <c r="BK30" i="3" s="1"/>
  <c r="BG34" i="3"/>
  <c r="BH34" i="3" s="1"/>
  <c r="BI34" i="3" s="1"/>
  <c r="BG41" i="3"/>
  <c r="BH41" i="3" s="1"/>
  <c r="BI41" i="3" s="1"/>
  <c r="AV46" i="3"/>
  <c r="AV687" i="3"/>
  <c r="BD37" i="3"/>
  <c r="BD40" i="3"/>
  <c r="BG30" i="3"/>
  <c r="BH30" i="3" s="1"/>
  <c r="BI30" i="3" s="1"/>
  <c r="AO48" i="3"/>
  <c r="BJ43" i="3"/>
  <c r="BK43" i="3" s="1"/>
  <c r="BB684" i="3"/>
  <c r="AV685" i="3"/>
  <c r="BJ37" i="3"/>
  <c r="BK37" i="3" s="1"/>
  <c r="BD22" i="3"/>
  <c r="BJ13" i="3"/>
  <c r="BK13" i="3" s="1"/>
  <c r="AY685" i="3"/>
  <c r="BJ26" i="3"/>
  <c r="BK26" i="3" s="1"/>
  <c r="BD25" i="3"/>
  <c r="BA685" i="3"/>
  <c r="BB685" i="3" s="1"/>
  <c r="BG27" i="3"/>
  <c r="BH27" i="3" s="1"/>
  <c r="BI27" i="3" s="1"/>
  <c r="BD32" i="3"/>
  <c r="BA687" i="3"/>
  <c r="BB687" i="3" s="1"/>
  <c r="BJ31" i="3"/>
  <c r="BK31" i="3" s="1"/>
  <c r="BJ27" i="3"/>
  <c r="BK27" i="3" s="1"/>
  <c r="BJ21" i="3"/>
  <c r="BK21" i="3" s="1"/>
  <c r="BJ39" i="3"/>
  <c r="BJ42" i="3"/>
  <c r="BK42" i="3" s="1"/>
  <c r="BJ12" i="3"/>
  <c r="BK12" i="3" s="1"/>
  <c r="BG10" i="3"/>
  <c r="BH10" i="3" s="1"/>
  <c r="BI10" i="3" s="1"/>
  <c r="BJ18" i="3"/>
  <c r="BK18" i="3" s="1"/>
  <c r="BJ9" i="3"/>
  <c r="BK9" i="3" s="1"/>
  <c r="BG39" i="3"/>
  <c r="BH39" i="3" s="1"/>
  <c r="BI39" i="3" s="1"/>
  <c r="BD31" i="3"/>
  <c r="BJ14" i="3"/>
  <c r="BK14" i="3" s="1"/>
  <c r="BJ35" i="3"/>
  <c r="BK35" i="3" s="1"/>
  <c r="AV686" i="3"/>
  <c r="BA686" i="3"/>
  <c r="BB686" i="3" s="1"/>
  <c r="AY686" i="3"/>
  <c r="BK38" i="3"/>
  <c r="BD13" i="3"/>
  <c r="BD44" i="3"/>
  <c r="BN48" i="3"/>
  <c r="BC45" i="3"/>
  <c r="BD45" i="3" s="1"/>
  <c r="BA46" i="3"/>
  <c r="BQ46" i="3" s="1"/>
  <c r="AU47" i="3"/>
  <c r="AH48" i="3"/>
  <c r="AN48" i="3"/>
  <c r="X48" i="3"/>
  <c r="AY46" i="3"/>
  <c r="BB45" i="3"/>
  <c r="BF45" i="3"/>
  <c r="BJ44" i="3" s="1"/>
  <c r="BK44" i="3" s="1"/>
  <c r="BQ45" i="3"/>
  <c r="Y48" i="3"/>
  <c r="Z48" i="3" s="1"/>
  <c r="AQ49" i="3"/>
  <c r="AR49" i="3"/>
  <c r="A50" i="3"/>
  <c r="B49" i="3"/>
  <c r="D49" i="3"/>
  <c r="AK49" i="3"/>
  <c r="R49" i="3"/>
  <c r="AM49" i="3"/>
  <c r="S49" i="3"/>
  <c r="Q49" i="3"/>
  <c r="AD49" i="3"/>
  <c r="AE49" i="3"/>
  <c r="U49" i="3"/>
  <c r="P49" i="3"/>
  <c r="O49" i="3"/>
  <c r="AF49" i="3"/>
  <c r="M49" i="3"/>
  <c r="V49" i="3"/>
  <c r="C49" i="3"/>
  <c r="G49" i="3"/>
  <c r="H49" i="3" s="1"/>
  <c r="F49" i="3"/>
  <c r="T49" i="3"/>
  <c r="AT47" i="3"/>
  <c r="AW47" i="3"/>
  <c r="BM48" i="3"/>
  <c r="AG48" i="3"/>
  <c r="AX47" i="3"/>
  <c r="BG684" i="3" l="1"/>
  <c r="BH684" i="3" s="1"/>
  <c r="BI684" i="3" s="1"/>
  <c r="BC687" i="3"/>
  <c r="BD687" i="3" s="1"/>
  <c r="BC685" i="3"/>
  <c r="BD685" i="3" s="1"/>
  <c r="BC46" i="3"/>
  <c r="BG46" i="3" s="1"/>
  <c r="BH46" i="3" s="1"/>
  <c r="BI46" i="3" s="1"/>
  <c r="BK39" i="3"/>
  <c r="BF685" i="3"/>
  <c r="BF687" i="3"/>
  <c r="BC686" i="3"/>
  <c r="BF686" i="3"/>
  <c r="AN49" i="3"/>
  <c r="BB46" i="3"/>
  <c r="BM49" i="3"/>
  <c r="BG45" i="3"/>
  <c r="BH45" i="3" s="1"/>
  <c r="BI45" i="3" s="1"/>
  <c r="BF46" i="3"/>
  <c r="BJ45" i="3" s="1"/>
  <c r="BN49" i="3"/>
  <c r="AW48" i="3"/>
  <c r="Y49" i="3"/>
  <c r="Z49" i="3" s="1"/>
  <c r="AV47" i="3"/>
  <c r="BA47" i="3"/>
  <c r="AQ50" i="3"/>
  <c r="B50" i="3"/>
  <c r="A51" i="3"/>
  <c r="AR50" i="3"/>
  <c r="C50" i="3"/>
  <c r="AK50" i="3"/>
  <c r="T50" i="3"/>
  <c r="AM50" i="3"/>
  <c r="Q50" i="3"/>
  <c r="AD50" i="3"/>
  <c r="P50" i="3"/>
  <c r="S50" i="3"/>
  <c r="O50" i="3"/>
  <c r="AE50" i="3"/>
  <c r="AF50" i="3"/>
  <c r="U50" i="3"/>
  <c r="M50" i="3"/>
  <c r="V50" i="3"/>
  <c r="D50" i="3"/>
  <c r="G50" i="3"/>
  <c r="H50" i="3" s="1"/>
  <c r="F50" i="3"/>
  <c r="R50" i="3"/>
  <c r="AU48" i="3"/>
  <c r="AX48" i="3"/>
  <c r="X49" i="3"/>
  <c r="AH49" i="3"/>
  <c r="AY47" i="3"/>
  <c r="AT48" i="3"/>
  <c r="AG49" i="3"/>
  <c r="AO49" i="3"/>
  <c r="BM50" i="3" l="1"/>
  <c r="BG687" i="3"/>
  <c r="BH687" i="3" s="1"/>
  <c r="BI687" i="3" s="1"/>
  <c r="BG685" i="3"/>
  <c r="BH685" i="3" s="1"/>
  <c r="BI685" i="3" s="1"/>
  <c r="BD46" i="3"/>
  <c r="AN50" i="3"/>
  <c r="BG686" i="3"/>
  <c r="BH686" i="3" s="1"/>
  <c r="BI686" i="3" s="1"/>
  <c r="BD686" i="3"/>
  <c r="BN50" i="3"/>
  <c r="BC47" i="3"/>
  <c r="BD47" i="3" s="1"/>
  <c r="AY48" i="3"/>
  <c r="AG50" i="3"/>
  <c r="BK45" i="3"/>
  <c r="Y50" i="3"/>
  <c r="Z50" i="3" s="1"/>
  <c r="AQ51" i="3"/>
  <c r="AR51" i="3"/>
  <c r="A52" i="3"/>
  <c r="B51" i="3"/>
  <c r="D51" i="3"/>
  <c r="S51" i="3"/>
  <c r="AK51" i="3"/>
  <c r="AM51" i="3"/>
  <c r="AD51" i="3"/>
  <c r="Q51" i="3"/>
  <c r="R51" i="3"/>
  <c r="P51" i="3"/>
  <c r="O51" i="3"/>
  <c r="AE51" i="3"/>
  <c r="M51" i="3"/>
  <c r="AF51" i="3"/>
  <c r="U51" i="3"/>
  <c r="V51" i="3"/>
  <c r="C51" i="3"/>
  <c r="G51" i="3"/>
  <c r="H51" i="3" s="1"/>
  <c r="F51" i="3"/>
  <c r="T51" i="3"/>
  <c r="AX49" i="3"/>
  <c r="AO50" i="3"/>
  <c r="AT49" i="3"/>
  <c r="AW49" i="3"/>
  <c r="X50" i="3"/>
  <c r="AV48" i="3"/>
  <c r="BA48" i="3"/>
  <c r="BB47" i="3"/>
  <c r="BQ47" i="3"/>
  <c r="BF47" i="3"/>
  <c r="BJ46" i="3" s="1"/>
  <c r="BK46" i="3" s="1"/>
  <c r="AU49" i="3"/>
  <c r="AH50" i="3"/>
  <c r="BM51" i="3" l="1"/>
  <c r="AU50" i="3"/>
  <c r="BN51" i="3"/>
  <c r="BG47" i="3"/>
  <c r="BH47" i="3" s="1"/>
  <c r="BI47" i="3" s="1"/>
  <c r="BC48" i="3"/>
  <c r="BG48" i="3" s="1"/>
  <c r="BH48" i="3" s="1"/>
  <c r="BI48" i="3" s="1"/>
  <c r="Y51" i="3"/>
  <c r="Z51" i="3" s="1"/>
  <c r="AN51" i="3"/>
  <c r="AT50" i="3"/>
  <c r="AW50" i="3"/>
  <c r="AG51" i="3"/>
  <c r="AY49" i="3"/>
  <c r="BF48" i="3"/>
  <c r="BJ47" i="3" s="1"/>
  <c r="BK47" i="3" s="1"/>
  <c r="BB48" i="3"/>
  <c r="BQ48" i="3"/>
  <c r="AV49" i="3"/>
  <c r="BA49" i="3"/>
  <c r="AR52" i="3"/>
  <c r="B52" i="3"/>
  <c r="AQ52" i="3"/>
  <c r="A53" i="3"/>
  <c r="D52" i="3"/>
  <c r="AK52" i="3"/>
  <c r="R52" i="3"/>
  <c r="AM52" i="3"/>
  <c r="C52" i="3"/>
  <c r="P52" i="3"/>
  <c r="AD52" i="3"/>
  <c r="M52" i="3"/>
  <c r="AE52" i="3"/>
  <c r="U52" i="3"/>
  <c r="O52" i="3"/>
  <c r="AF52" i="3"/>
  <c r="V52" i="3"/>
  <c r="Q52" i="3"/>
  <c r="G52" i="3"/>
  <c r="H52" i="3" s="1"/>
  <c r="F52" i="3"/>
  <c r="T52" i="3"/>
  <c r="S52" i="3"/>
  <c r="AX50" i="3"/>
  <c r="X51" i="3"/>
  <c r="AH51" i="3"/>
  <c r="AO51" i="3"/>
  <c r="BN52" i="3" l="1"/>
  <c r="BD48" i="3"/>
  <c r="AV50" i="3"/>
  <c r="AY50" i="3"/>
  <c r="AN52" i="3"/>
  <c r="BM52" i="3"/>
  <c r="AT51" i="3"/>
  <c r="AG52" i="3"/>
  <c r="BC49" i="3"/>
  <c r="BG49" i="3" s="1"/>
  <c r="BH49" i="3" s="1"/>
  <c r="BI49" i="3" s="1"/>
  <c r="AW51" i="3"/>
  <c r="AU51" i="3"/>
  <c r="X52" i="3"/>
  <c r="Y52" i="3"/>
  <c r="Z52" i="3" s="1"/>
  <c r="BA50" i="3"/>
  <c r="BF50" i="3" s="1"/>
  <c r="AQ53" i="3"/>
  <c r="AR53" i="3"/>
  <c r="A54" i="3"/>
  <c r="B53" i="3"/>
  <c r="S53" i="3"/>
  <c r="AM53" i="3"/>
  <c r="AK53" i="3"/>
  <c r="Q53" i="3"/>
  <c r="AD53" i="3"/>
  <c r="P53" i="3"/>
  <c r="T53" i="3"/>
  <c r="R53" i="3"/>
  <c r="O53" i="3"/>
  <c r="AF53" i="3"/>
  <c r="M53" i="3"/>
  <c r="AE53" i="3"/>
  <c r="U53" i="3"/>
  <c r="V53" i="3"/>
  <c r="F53" i="3"/>
  <c r="D53" i="3"/>
  <c r="C53" i="3"/>
  <c r="G53" i="3"/>
  <c r="H53" i="3" s="1"/>
  <c r="BQ49" i="3"/>
  <c r="BB49" i="3"/>
  <c r="BF49" i="3"/>
  <c r="BJ48" i="3" s="1"/>
  <c r="BK48" i="3" s="1"/>
  <c r="AX51" i="3"/>
  <c r="AO52" i="3"/>
  <c r="AH52" i="3"/>
  <c r="BN53" i="3" l="1"/>
  <c r="BC50" i="3"/>
  <c r="BG50" i="3" s="1"/>
  <c r="BH50" i="3" s="1"/>
  <c r="BI50" i="3" s="1"/>
  <c r="AV51" i="3"/>
  <c r="AX52" i="3"/>
  <c r="BD49" i="3"/>
  <c r="BM53" i="3"/>
  <c r="BA51" i="3"/>
  <c r="BF51" i="3" s="1"/>
  <c r="AT52" i="3"/>
  <c r="AU52" i="3"/>
  <c r="AW52" i="3"/>
  <c r="AH53" i="3"/>
  <c r="AO53" i="3"/>
  <c r="BB50" i="3"/>
  <c r="BQ50" i="3"/>
  <c r="Y53" i="3"/>
  <c r="Z53" i="3" s="1"/>
  <c r="AY51" i="3"/>
  <c r="AG53" i="3"/>
  <c r="AN53" i="3"/>
  <c r="BJ49" i="3"/>
  <c r="BK49" i="3" s="1"/>
  <c r="AQ54" i="3"/>
  <c r="B54" i="3"/>
  <c r="A55" i="3"/>
  <c r="AR54" i="3"/>
  <c r="D54" i="3"/>
  <c r="C54" i="3"/>
  <c r="AK54" i="3"/>
  <c r="S54" i="3"/>
  <c r="AM54" i="3"/>
  <c r="Q54" i="3"/>
  <c r="R54" i="3"/>
  <c r="O54" i="3"/>
  <c r="AD54" i="3"/>
  <c r="M54" i="3"/>
  <c r="AE54" i="3"/>
  <c r="AF54" i="3"/>
  <c r="U54" i="3"/>
  <c r="P54" i="3"/>
  <c r="V54" i="3"/>
  <c r="F54" i="3"/>
  <c r="G54" i="3"/>
  <c r="H54" i="3" s="1"/>
  <c r="T54" i="3"/>
  <c r="X53" i="3"/>
  <c r="BN54" i="3" l="1"/>
  <c r="BM54" i="3"/>
  <c r="BD50" i="3"/>
  <c r="BC51" i="3"/>
  <c r="BD51" i="3" s="1"/>
  <c r="BQ51" i="3"/>
  <c r="AN54" i="3"/>
  <c r="AY52" i="3"/>
  <c r="AG54" i="3"/>
  <c r="BB51" i="3"/>
  <c r="AX53" i="3"/>
  <c r="BA52" i="3"/>
  <c r="BF52" i="3" s="1"/>
  <c r="BJ51" i="3" s="1"/>
  <c r="AT53" i="3"/>
  <c r="AU53" i="3"/>
  <c r="AV52" i="3"/>
  <c r="AH54" i="3"/>
  <c r="AO54" i="3"/>
  <c r="Y54" i="3"/>
  <c r="Z54" i="3" s="1"/>
  <c r="X54" i="3"/>
  <c r="AW53" i="3"/>
  <c r="AQ55" i="3"/>
  <c r="AR55" i="3"/>
  <c r="A56" i="3"/>
  <c r="B55" i="3"/>
  <c r="C55" i="3"/>
  <c r="AM55" i="3"/>
  <c r="AK55" i="3"/>
  <c r="T55" i="3"/>
  <c r="Q55" i="3"/>
  <c r="R55" i="3"/>
  <c r="AD55" i="3"/>
  <c r="O55" i="3"/>
  <c r="P55" i="3"/>
  <c r="AE55" i="3"/>
  <c r="M55" i="3"/>
  <c r="V55" i="3"/>
  <c r="U55" i="3"/>
  <c r="AF55" i="3"/>
  <c r="G55" i="3"/>
  <c r="H55" i="3" s="1"/>
  <c r="F55" i="3"/>
  <c r="D55" i="3"/>
  <c r="S55" i="3"/>
  <c r="BJ50" i="3"/>
  <c r="BK50" i="3" s="1"/>
  <c r="BG51" i="3" l="1"/>
  <c r="BH51" i="3" s="1"/>
  <c r="BI51" i="3" s="1"/>
  <c r="BK51" i="3"/>
  <c r="AY53" i="3"/>
  <c r="AU54" i="3"/>
  <c r="BB52" i="3"/>
  <c r="BM55" i="3"/>
  <c r="BC52" i="3"/>
  <c r="BG52" i="3" s="1"/>
  <c r="BH52" i="3" s="1"/>
  <c r="BI52" i="3" s="1"/>
  <c r="AT54" i="3"/>
  <c r="BQ52" i="3"/>
  <c r="AV53" i="3"/>
  <c r="AN55" i="3"/>
  <c r="AX54" i="3"/>
  <c r="AW54" i="3"/>
  <c r="Y55" i="3"/>
  <c r="Z55" i="3" s="1"/>
  <c r="AR56" i="3"/>
  <c r="B56" i="3"/>
  <c r="AQ56" i="3"/>
  <c r="A57" i="3"/>
  <c r="C56" i="3"/>
  <c r="T56" i="3"/>
  <c r="Q56" i="3"/>
  <c r="AK56" i="3"/>
  <c r="AM56" i="3"/>
  <c r="R56" i="3"/>
  <c r="AD56" i="3"/>
  <c r="P56" i="3"/>
  <c r="O56" i="3"/>
  <c r="AE56" i="3"/>
  <c r="V56" i="3"/>
  <c r="M56" i="3"/>
  <c r="AF56" i="3"/>
  <c r="U56" i="3"/>
  <c r="G56" i="3"/>
  <c r="H56" i="3" s="1"/>
  <c r="F56" i="3"/>
  <c r="D56" i="3"/>
  <c r="S56" i="3"/>
  <c r="BN55" i="3"/>
  <c r="AH55" i="3"/>
  <c r="AO55" i="3"/>
  <c r="BA53" i="3"/>
  <c r="X55" i="3"/>
  <c r="AG55" i="3"/>
  <c r="BD52" i="3" l="1"/>
  <c r="AV54" i="3"/>
  <c r="BC53" i="3"/>
  <c r="BG53" i="3" s="1"/>
  <c r="BH53" i="3" s="1"/>
  <c r="BI53" i="3" s="1"/>
  <c r="AN56" i="3"/>
  <c r="BM56" i="3"/>
  <c r="BA54" i="3"/>
  <c r="BB54" i="3" s="1"/>
  <c r="AY54" i="3"/>
  <c r="AW55" i="3"/>
  <c r="X56" i="3"/>
  <c r="Y56" i="3"/>
  <c r="Z56" i="3" s="1"/>
  <c r="AT55" i="3"/>
  <c r="BN56" i="3"/>
  <c r="AH56" i="3"/>
  <c r="BB53" i="3"/>
  <c r="BQ53" i="3"/>
  <c r="BF53" i="3"/>
  <c r="BJ52" i="3" s="1"/>
  <c r="BK52" i="3" s="1"/>
  <c r="AU55" i="3"/>
  <c r="AX55" i="3"/>
  <c r="AQ57" i="3"/>
  <c r="AR57" i="3"/>
  <c r="A58" i="3"/>
  <c r="B57" i="3"/>
  <c r="AM57" i="3"/>
  <c r="Q57" i="3"/>
  <c r="AK57" i="3"/>
  <c r="T57" i="3"/>
  <c r="P57" i="3"/>
  <c r="O57" i="3"/>
  <c r="AD57" i="3"/>
  <c r="AF57" i="3"/>
  <c r="U57" i="3"/>
  <c r="AE57" i="3"/>
  <c r="M57" i="3"/>
  <c r="V57" i="3"/>
  <c r="C57" i="3"/>
  <c r="D57" i="3"/>
  <c r="G57" i="3"/>
  <c r="H57" i="3" s="1"/>
  <c r="R57" i="3"/>
  <c r="F57" i="3"/>
  <c r="BM57" i="3" s="1"/>
  <c r="S57" i="3"/>
  <c r="AG56" i="3"/>
  <c r="AO56" i="3"/>
  <c r="AO57" i="3" l="1"/>
  <c r="BC54" i="3"/>
  <c r="BD54" i="3" s="1"/>
  <c r="BD53" i="3"/>
  <c r="BN57" i="3"/>
  <c r="AY55" i="3"/>
  <c r="BF54" i="3"/>
  <c r="BJ53" i="3" s="1"/>
  <c r="BK53" i="3" s="1"/>
  <c r="BQ54" i="3"/>
  <c r="AH57" i="3"/>
  <c r="Y57" i="3"/>
  <c r="Z57" i="3" s="1"/>
  <c r="AV55" i="3"/>
  <c r="BA55" i="3"/>
  <c r="AW56" i="3"/>
  <c r="X57" i="3"/>
  <c r="AG57" i="3"/>
  <c r="AT56" i="3"/>
  <c r="AX56" i="3"/>
  <c r="AQ58" i="3"/>
  <c r="B58" i="3"/>
  <c r="A59" i="3"/>
  <c r="AR58" i="3"/>
  <c r="D58" i="3"/>
  <c r="AK58" i="3"/>
  <c r="S58" i="3"/>
  <c r="Q58" i="3"/>
  <c r="AM58" i="3"/>
  <c r="T58" i="3"/>
  <c r="R58" i="3"/>
  <c r="AD58" i="3"/>
  <c r="P58" i="3"/>
  <c r="O58" i="3"/>
  <c r="AE58" i="3"/>
  <c r="M58" i="3"/>
  <c r="AF58" i="3"/>
  <c r="U58" i="3"/>
  <c r="V58" i="3"/>
  <c r="C58" i="3"/>
  <c r="G58" i="3"/>
  <c r="H58" i="3" s="1"/>
  <c r="F58" i="3"/>
  <c r="AN57" i="3"/>
  <c r="AU56" i="3"/>
  <c r="BN58" i="3" l="1"/>
  <c r="BM58" i="3"/>
  <c r="AT57" i="3"/>
  <c r="BG54" i="3"/>
  <c r="BH54" i="3" s="1"/>
  <c r="BI54" i="3" s="1"/>
  <c r="BC55" i="3"/>
  <c r="BG55" i="3" s="1"/>
  <c r="BH55" i="3" s="1"/>
  <c r="BI55" i="3" s="1"/>
  <c r="AN58" i="3"/>
  <c r="AU57" i="3"/>
  <c r="AX57" i="3"/>
  <c r="Y58" i="3"/>
  <c r="Z58" i="3" s="1"/>
  <c r="AQ59" i="3"/>
  <c r="AR59" i="3"/>
  <c r="A60" i="3"/>
  <c r="B59" i="3"/>
  <c r="D59" i="3"/>
  <c r="AK59" i="3"/>
  <c r="C59" i="3"/>
  <c r="AM59" i="3"/>
  <c r="R59" i="3"/>
  <c r="Q59" i="3"/>
  <c r="AD59" i="3"/>
  <c r="P59" i="3"/>
  <c r="O59" i="3"/>
  <c r="AE59" i="3"/>
  <c r="M59" i="3"/>
  <c r="V59" i="3"/>
  <c r="AF59" i="3"/>
  <c r="U59" i="3"/>
  <c r="F59" i="3"/>
  <c r="G59" i="3"/>
  <c r="H59" i="3" s="1"/>
  <c r="T59" i="3"/>
  <c r="S59" i="3"/>
  <c r="BA56" i="3"/>
  <c r="AV56" i="3"/>
  <c r="AG58" i="3"/>
  <c r="AW57" i="3"/>
  <c r="AY56" i="3"/>
  <c r="BQ55" i="3"/>
  <c r="BF55" i="3"/>
  <c r="BJ54" i="3" s="1"/>
  <c r="BK54" i="3" s="1"/>
  <c r="BB55" i="3"/>
  <c r="X58" i="3"/>
  <c r="AH58" i="3"/>
  <c r="AO58" i="3"/>
  <c r="BM59" i="3" l="1"/>
  <c r="AV57" i="3"/>
  <c r="BD55" i="3"/>
  <c r="AN59" i="3"/>
  <c r="AU58" i="3"/>
  <c r="BN59" i="3"/>
  <c r="AY57" i="3"/>
  <c r="AG59" i="3"/>
  <c r="BA57" i="3"/>
  <c r="BB57" i="3" s="1"/>
  <c r="X59" i="3"/>
  <c r="AT58" i="3"/>
  <c r="AW58" i="3"/>
  <c r="BB56" i="3"/>
  <c r="BQ56" i="3"/>
  <c r="BF56" i="3"/>
  <c r="BJ55" i="3" s="1"/>
  <c r="BK55" i="3" s="1"/>
  <c r="Y59" i="3"/>
  <c r="Z59" i="3" s="1"/>
  <c r="AR60" i="3"/>
  <c r="B60" i="3"/>
  <c r="AQ60" i="3"/>
  <c r="A61" i="3"/>
  <c r="D60" i="3"/>
  <c r="AK60" i="3"/>
  <c r="AM60" i="3"/>
  <c r="T60" i="3"/>
  <c r="Q60" i="3"/>
  <c r="AD60" i="3"/>
  <c r="O60" i="3"/>
  <c r="S60" i="3"/>
  <c r="P60" i="3"/>
  <c r="AF60" i="3"/>
  <c r="V60" i="3"/>
  <c r="M60" i="3"/>
  <c r="AE60" i="3"/>
  <c r="U60" i="3"/>
  <c r="G60" i="3"/>
  <c r="H60" i="3" s="1"/>
  <c r="F60" i="3"/>
  <c r="R60" i="3"/>
  <c r="C60" i="3"/>
  <c r="AX58" i="3"/>
  <c r="AH59" i="3"/>
  <c r="BC56" i="3"/>
  <c r="AO59" i="3"/>
  <c r="AU59" i="3" l="1"/>
  <c r="BC57" i="3"/>
  <c r="BD57" i="3" s="1"/>
  <c r="BN60" i="3"/>
  <c r="BQ57" i="3"/>
  <c r="AW59" i="3"/>
  <c r="AT59" i="3"/>
  <c r="AN60" i="3"/>
  <c r="BF57" i="3"/>
  <c r="BJ56" i="3" s="1"/>
  <c r="X60" i="3"/>
  <c r="AG60" i="3"/>
  <c r="AQ61" i="3"/>
  <c r="AR61" i="3"/>
  <c r="A62" i="3"/>
  <c r="B61" i="3"/>
  <c r="D61" i="3"/>
  <c r="C61" i="3"/>
  <c r="AM61" i="3"/>
  <c r="S61" i="3"/>
  <c r="AK61" i="3"/>
  <c r="Q61" i="3"/>
  <c r="R61" i="3"/>
  <c r="AD61" i="3"/>
  <c r="P61" i="3"/>
  <c r="M61" i="3"/>
  <c r="AE61" i="3"/>
  <c r="O61" i="3"/>
  <c r="V61" i="3"/>
  <c r="U61" i="3"/>
  <c r="AF61" i="3"/>
  <c r="F61" i="3"/>
  <c r="G61" i="3"/>
  <c r="H61" i="3" s="1"/>
  <c r="T61" i="3"/>
  <c r="BA58" i="3"/>
  <c r="AV58" i="3"/>
  <c r="AX59" i="3"/>
  <c r="BM60" i="3"/>
  <c r="AH60" i="3"/>
  <c r="AO60" i="3"/>
  <c r="BD56" i="3"/>
  <c r="BG56" i="3"/>
  <c r="BH56" i="3" s="1"/>
  <c r="BI56" i="3" s="1"/>
  <c r="Y60" i="3"/>
  <c r="Z60" i="3" s="1"/>
  <c r="AY58" i="3"/>
  <c r="BN61" i="3" l="1"/>
  <c r="AV59" i="3"/>
  <c r="BK56" i="3"/>
  <c r="BG57" i="3"/>
  <c r="BH57" i="3" s="1"/>
  <c r="BI57" i="3" s="1"/>
  <c r="AY59" i="3"/>
  <c r="BM61" i="3"/>
  <c r="AO61" i="3"/>
  <c r="AT60" i="3"/>
  <c r="AW60" i="3"/>
  <c r="BC58" i="3"/>
  <c r="BG58" i="3" s="1"/>
  <c r="BH58" i="3" s="1"/>
  <c r="BI58" i="3" s="1"/>
  <c r="AX60" i="3"/>
  <c r="AH61" i="3"/>
  <c r="AG61" i="3"/>
  <c r="BB58" i="3"/>
  <c r="BQ58" i="3"/>
  <c r="BF58" i="3"/>
  <c r="BJ57" i="3" s="1"/>
  <c r="BK57" i="3" s="1"/>
  <c r="AU60" i="3"/>
  <c r="Y61" i="3"/>
  <c r="Z61" i="3" s="1"/>
  <c r="X61" i="3"/>
  <c r="BA59" i="3"/>
  <c r="AQ62" i="3"/>
  <c r="B62" i="3"/>
  <c r="A63" i="3"/>
  <c r="AR62" i="3"/>
  <c r="D62" i="3"/>
  <c r="AM62" i="3"/>
  <c r="Q62" i="3"/>
  <c r="R62" i="3"/>
  <c r="AK62" i="3"/>
  <c r="P62" i="3"/>
  <c r="O62" i="3"/>
  <c r="AD62" i="3"/>
  <c r="M62" i="3"/>
  <c r="AE62" i="3"/>
  <c r="AF62" i="3"/>
  <c r="V62" i="3"/>
  <c r="U62" i="3"/>
  <c r="F62" i="3"/>
  <c r="C62" i="3"/>
  <c r="T62" i="3"/>
  <c r="G62" i="3"/>
  <c r="H62" i="3" s="1"/>
  <c r="BN62" i="3" s="1"/>
  <c r="S62" i="3"/>
  <c r="AN61" i="3"/>
  <c r="BC59" i="3" l="1"/>
  <c r="BG59" i="3" s="1"/>
  <c r="BH59" i="3" s="1"/>
  <c r="BI59" i="3" s="1"/>
  <c r="AY60" i="3"/>
  <c r="BD58" i="3"/>
  <c r="BM62" i="3"/>
  <c r="AV60" i="3"/>
  <c r="AT61" i="3"/>
  <c r="AX61" i="3"/>
  <c r="AN62" i="3"/>
  <c r="AW61" i="3"/>
  <c r="AG62" i="3"/>
  <c r="AU61" i="3"/>
  <c r="BA60" i="3"/>
  <c r="BB60" i="3" s="1"/>
  <c r="X62" i="3"/>
  <c r="Y62" i="3"/>
  <c r="Z62" i="3" s="1"/>
  <c r="AQ63" i="3"/>
  <c r="AR63" i="3"/>
  <c r="A64" i="3"/>
  <c r="B63" i="3"/>
  <c r="D63" i="3"/>
  <c r="AK63" i="3"/>
  <c r="AM63" i="3"/>
  <c r="Q63" i="3"/>
  <c r="AD63" i="3"/>
  <c r="O63" i="3"/>
  <c r="P63" i="3"/>
  <c r="M63" i="3"/>
  <c r="AF63" i="3"/>
  <c r="AE63" i="3"/>
  <c r="U63" i="3"/>
  <c r="V63" i="3"/>
  <c r="C63" i="3"/>
  <c r="G63" i="3"/>
  <c r="H63" i="3" s="1"/>
  <c r="R63" i="3"/>
  <c r="F63" i="3"/>
  <c r="S63" i="3"/>
  <c r="T63" i="3"/>
  <c r="AH62" i="3"/>
  <c r="AO62" i="3"/>
  <c r="BQ59" i="3"/>
  <c r="BB59" i="3"/>
  <c r="BF59" i="3"/>
  <c r="BJ58" i="3" s="1"/>
  <c r="BK58" i="3" s="1"/>
  <c r="BD59" i="3" l="1"/>
  <c r="BC60" i="3"/>
  <c r="BD60" i="3" s="1"/>
  <c r="AV61" i="3"/>
  <c r="BM63" i="3"/>
  <c r="BN63" i="3"/>
  <c r="AO63" i="3"/>
  <c r="AU62" i="3"/>
  <c r="AT62" i="3"/>
  <c r="BF60" i="3"/>
  <c r="BJ59" i="3" s="1"/>
  <c r="BK59" i="3" s="1"/>
  <c r="BQ60" i="3"/>
  <c r="AY61" i="3"/>
  <c r="AW62" i="3"/>
  <c r="BA61" i="3"/>
  <c r="BQ61" i="3" s="1"/>
  <c r="Y63" i="3"/>
  <c r="Z63" i="3" s="1"/>
  <c r="AG63" i="3"/>
  <c r="AQ64" i="3"/>
  <c r="B64" i="3"/>
  <c r="A65" i="3"/>
  <c r="AR64" i="3"/>
  <c r="D64" i="3"/>
  <c r="C64" i="3"/>
  <c r="AM64" i="3"/>
  <c r="Q64" i="3"/>
  <c r="AK64" i="3"/>
  <c r="R64" i="3"/>
  <c r="S64" i="3"/>
  <c r="AD64" i="3"/>
  <c r="P64" i="3"/>
  <c r="O64" i="3"/>
  <c r="V64" i="3"/>
  <c r="AE64" i="3"/>
  <c r="AF64" i="3"/>
  <c r="M64" i="3"/>
  <c r="U64" i="3"/>
  <c r="F64" i="3"/>
  <c r="G64" i="3"/>
  <c r="H64" i="3" s="1"/>
  <c r="T64" i="3"/>
  <c r="AX62" i="3"/>
  <c r="X63" i="3"/>
  <c r="AH63" i="3"/>
  <c r="AN63" i="3"/>
  <c r="BN64" i="3" l="1"/>
  <c r="BG60" i="3"/>
  <c r="BH60" i="3" s="1"/>
  <c r="BI60" i="3" s="1"/>
  <c r="BM64" i="3"/>
  <c r="BC61" i="3"/>
  <c r="BD61" i="3" s="1"/>
  <c r="AO64" i="3"/>
  <c r="AV62" i="3"/>
  <c r="AG64" i="3"/>
  <c r="BF61" i="3"/>
  <c r="BJ60" i="3" s="1"/>
  <c r="BA62" i="3"/>
  <c r="BB62" i="3" s="1"/>
  <c r="BB61" i="3"/>
  <c r="AX63" i="3"/>
  <c r="AT63" i="3"/>
  <c r="Y64" i="3"/>
  <c r="Z64" i="3" s="1"/>
  <c r="AQ65" i="3"/>
  <c r="AR65" i="3"/>
  <c r="A66" i="3"/>
  <c r="B65" i="3"/>
  <c r="AK65" i="3"/>
  <c r="AM65" i="3"/>
  <c r="T65" i="3"/>
  <c r="R65" i="3"/>
  <c r="AD65" i="3"/>
  <c r="O65" i="3"/>
  <c r="S65" i="3"/>
  <c r="Q65" i="3"/>
  <c r="P65" i="3"/>
  <c r="M65" i="3"/>
  <c r="V65" i="3"/>
  <c r="U65" i="3"/>
  <c r="AF65" i="3"/>
  <c r="AE65" i="3"/>
  <c r="D65" i="3"/>
  <c r="F65" i="3"/>
  <c r="C65" i="3"/>
  <c r="G65" i="3"/>
  <c r="H65" i="3" s="1"/>
  <c r="AW63" i="3"/>
  <c r="AU63" i="3"/>
  <c r="AY62" i="3"/>
  <c r="AH64" i="3"/>
  <c r="AN64" i="3"/>
  <c r="X64" i="3"/>
  <c r="BK60" i="3" l="1"/>
  <c r="BG61" i="3"/>
  <c r="BH61" i="3" s="1"/>
  <c r="BI61" i="3" s="1"/>
  <c r="AV63" i="3"/>
  <c r="BC62" i="3"/>
  <c r="BD62" i="3" s="1"/>
  <c r="BQ62" i="3"/>
  <c r="AU64" i="3"/>
  <c r="AY63" i="3"/>
  <c r="BF62" i="3"/>
  <c r="BJ61" i="3" s="1"/>
  <c r="BK61" i="3" s="1"/>
  <c r="AO65" i="3"/>
  <c r="AT64" i="3"/>
  <c r="AW64" i="3"/>
  <c r="X65" i="3"/>
  <c r="Y65" i="3"/>
  <c r="Z65" i="3" s="1"/>
  <c r="AX64" i="3"/>
  <c r="BN65" i="3"/>
  <c r="BM65" i="3"/>
  <c r="AG65" i="3"/>
  <c r="AN65" i="3"/>
  <c r="BA63" i="3"/>
  <c r="AQ66" i="3"/>
  <c r="B66" i="3"/>
  <c r="A67" i="3"/>
  <c r="AR66" i="3"/>
  <c r="C66" i="3"/>
  <c r="Q66" i="3"/>
  <c r="AM66" i="3"/>
  <c r="AK66" i="3"/>
  <c r="AD66" i="3"/>
  <c r="R66" i="3"/>
  <c r="O66" i="3"/>
  <c r="AE66" i="3"/>
  <c r="M66" i="3"/>
  <c r="V66" i="3"/>
  <c r="U66" i="3"/>
  <c r="AF66" i="3"/>
  <c r="D66" i="3"/>
  <c r="F66" i="3"/>
  <c r="S66" i="3"/>
  <c r="T66" i="3"/>
  <c r="G66" i="3"/>
  <c r="H66" i="3" s="1"/>
  <c r="P66" i="3"/>
  <c r="AH65" i="3"/>
  <c r="BN66" i="3" l="1"/>
  <c r="AV64" i="3"/>
  <c r="BC63" i="3"/>
  <c r="BD63" i="3" s="1"/>
  <c r="BG62" i="3"/>
  <c r="BH62" i="3" s="1"/>
  <c r="BI62" i="3" s="1"/>
  <c r="BM66" i="3"/>
  <c r="AY64" i="3"/>
  <c r="AX65" i="3"/>
  <c r="AO66" i="3"/>
  <c r="BF63" i="3"/>
  <c r="BJ62" i="3" s="1"/>
  <c r="BK62" i="3" s="1"/>
  <c r="BQ63" i="3"/>
  <c r="BB63" i="3"/>
  <c r="Y66" i="3"/>
  <c r="Z66" i="3" s="1"/>
  <c r="AQ67" i="3"/>
  <c r="AR67" i="3"/>
  <c r="A68" i="3"/>
  <c r="B67" i="3"/>
  <c r="C67" i="3"/>
  <c r="AM67" i="3"/>
  <c r="S67" i="3"/>
  <c r="AK67" i="3"/>
  <c r="R67" i="3"/>
  <c r="Q67" i="3"/>
  <c r="AD67" i="3"/>
  <c r="P67" i="3"/>
  <c r="T67" i="3"/>
  <c r="O67" i="3"/>
  <c r="M67" i="3"/>
  <c r="AF67" i="3"/>
  <c r="V67" i="3"/>
  <c r="AE67" i="3"/>
  <c r="U67" i="3"/>
  <c r="D67" i="3"/>
  <c r="G67" i="3"/>
  <c r="H67" i="3" s="1"/>
  <c r="F67" i="3"/>
  <c r="AU65" i="3"/>
  <c r="X66" i="3"/>
  <c r="AH66" i="3"/>
  <c r="AN66" i="3"/>
  <c r="AT65" i="3"/>
  <c r="AW65" i="3"/>
  <c r="BA64" i="3"/>
  <c r="AG66" i="3"/>
  <c r="BC64" i="3" l="1"/>
  <c r="BD64" i="3" s="1"/>
  <c r="AO67" i="3"/>
  <c r="BG63" i="3"/>
  <c r="BH63" i="3" s="1"/>
  <c r="BI63" i="3" s="1"/>
  <c r="BM67" i="3"/>
  <c r="AT66" i="3"/>
  <c r="AY65" i="3"/>
  <c r="AG67" i="3"/>
  <c r="Y67" i="3"/>
  <c r="Z67" i="3" s="1"/>
  <c r="AH67" i="3"/>
  <c r="AN67" i="3"/>
  <c r="BF64" i="3"/>
  <c r="BJ63" i="3" s="1"/>
  <c r="BQ64" i="3"/>
  <c r="BB64" i="3"/>
  <c r="AV65" i="3"/>
  <c r="BA65" i="3"/>
  <c r="AQ68" i="3"/>
  <c r="B68" i="3"/>
  <c r="A69" i="3"/>
  <c r="AR68" i="3"/>
  <c r="AM68" i="3"/>
  <c r="AK68" i="3"/>
  <c r="D68" i="3"/>
  <c r="R68" i="3"/>
  <c r="T68" i="3"/>
  <c r="Q68" i="3"/>
  <c r="AD68" i="3"/>
  <c r="P68" i="3"/>
  <c r="AF68" i="3"/>
  <c r="V68" i="3"/>
  <c r="U68" i="3"/>
  <c r="O68" i="3"/>
  <c r="AE68" i="3"/>
  <c r="M68" i="3"/>
  <c r="C68" i="3"/>
  <c r="G68" i="3"/>
  <c r="H68" i="3" s="1"/>
  <c r="F68" i="3"/>
  <c r="S68" i="3"/>
  <c r="AW66" i="3"/>
  <c r="AU66" i="3"/>
  <c r="AX66" i="3"/>
  <c r="BN67" i="3"/>
  <c r="X67" i="3"/>
  <c r="BK63" i="3" l="1"/>
  <c r="BM68" i="3"/>
  <c r="BG64" i="3"/>
  <c r="BH64" i="3" s="1"/>
  <c r="BI64" i="3" s="1"/>
  <c r="AG68" i="3"/>
  <c r="AU67" i="3"/>
  <c r="AT67" i="3"/>
  <c r="BC65" i="3"/>
  <c r="BG65" i="3" s="1"/>
  <c r="BH65" i="3" s="1"/>
  <c r="BI65" i="3" s="1"/>
  <c r="AV66" i="3"/>
  <c r="AN68" i="3"/>
  <c r="AX67" i="3"/>
  <c r="AY66" i="3"/>
  <c r="Y68" i="3"/>
  <c r="Z68" i="3" s="1"/>
  <c r="BQ65" i="3"/>
  <c r="BF65" i="3"/>
  <c r="BB65" i="3"/>
  <c r="AH68" i="3"/>
  <c r="X68" i="3"/>
  <c r="BN68" i="3"/>
  <c r="AO68" i="3"/>
  <c r="AW67" i="3"/>
  <c r="BA66" i="3"/>
  <c r="AQ69" i="3"/>
  <c r="AR69" i="3"/>
  <c r="A70" i="3"/>
  <c r="B69" i="3"/>
  <c r="C69" i="3"/>
  <c r="AM69" i="3"/>
  <c r="S69" i="3"/>
  <c r="R69" i="3"/>
  <c r="D69" i="3"/>
  <c r="AK69" i="3"/>
  <c r="Q69" i="3"/>
  <c r="AD69" i="3"/>
  <c r="O69" i="3"/>
  <c r="P69" i="3"/>
  <c r="M69" i="3"/>
  <c r="AE69" i="3"/>
  <c r="U69" i="3"/>
  <c r="V69" i="3"/>
  <c r="AF69" i="3"/>
  <c r="F69" i="3"/>
  <c r="G69" i="3"/>
  <c r="H69" i="3" s="1"/>
  <c r="T69" i="3"/>
  <c r="BN69" i="3" l="1"/>
  <c r="BD65" i="3"/>
  <c r="AO69" i="3"/>
  <c r="AV67" i="3"/>
  <c r="BM69" i="3"/>
  <c r="BC66" i="3"/>
  <c r="BD66" i="3" s="1"/>
  <c r="AX68" i="3"/>
  <c r="AG69" i="3"/>
  <c r="BA67" i="3"/>
  <c r="BB67" i="3" s="1"/>
  <c r="AT68" i="3"/>
  <c r="AY67" i="3"/>
  <c r="AU68" i="3"/>
  <c r="AW68" i="3"/>
  <c r="Y69" i="3"/>
  <c r="Z69" i="3" s="1"/>
  <c r="BF66" i="3"/>
  <c r="BJ65" i="3" s="1"/>
  <c r="BK65" i="3" s="1"/>
  <c r="BB66" i="3"/>
  <c r="BQ66" i="3"/>
  <c r="AQ70" i="3"/>
  <c r="B70" i="3"/>
  <c r="A71" i="3"/>
  <c r="AR70" i="3"/>
  <c r="C70" i="3"/>
  <c r="D70" i="3"/>
  <c r="AK70" i="3"/>
  <c r="T70" i="3"/>
  <c r="AM70" i="3"/>
  <c r="R70" i="3"/>
  <c r="Q70" i="3"/>
  <c r="AD70" i="3"/>
  <c r="P70" i="3"/>
  <c r="O70" i="3"/>
  <c r="AE70" i="3"/>
  <c r="AF70" i="3"/>
  <c r="M70" i="3"/>
  <c r="V70" i="3"/>
  <c r="U70" i="3"/>
  <c r="G70" i="3"/>
  <c r="H70" i="3" s="1"/>
  <c r="F70" i="3"/>
  <c r="BM70" i="3" s="1"/>
  <c r="S70" i="3"/>
  <c r="AH69" i="3"/>
  <c r="AN69" i="3"/>
  <c r="X69" i="3"/>
  <c r="BJ64" i="3"/>
  <c r="BK64" i="3" s="1"/>
  <c r="BN70" i="3" l="1"/>
  <c r="AY68" i="3"/>
  <c r="AN70" i="3"/>
  <c r="BG66" i="3"/>
  <c r="BH66" i="3" s="1"/>
  <c r="BI66" i="3" s="1"/>
  <c r="BC67" i="3"/>
  <c r="BD67" i="3" s="1"/>
  <c r="AV68" i="3"/>
  <c r="BQ67" i="3"/>
  <c r="AT69" i="3"/>
  <c r="BF67" i="3"/>
  <c r="BJ66" i="3" s="1"/>
  <c r="BA68" i="3"/>
  <c r="BQ68" i="3" s="1"/>
  <c r="AX69" i="3"/>
  <c r="X70" i="3"/>
  <c r="AQ71" i="3"/>
  <c r="AR71" i="3"/>
  <c r="A72" i="3"/>
  <c r="B71" i="3"/>
  <c r="AM71" i="3"/>
  <c r="AK71" i="3"/>
  <c r="R71" i="3"/>
  <c r="AD71" i="3"/>
  <c r="P71" i="3"/>
  <c r="Q71" i="3"/>
  <c r="AE71" i="3"/>
  <c r="AF71" i="3"/>
  <c r="O71" i="3"/>
  <c r="M71" i="3"/>
  <c r="V71" i="3"/>
  <c r="U71" i="3"/>
  <c r="D71" i="3"/>
  <c r="G71" i="3"/>
  <c r="H71" i="3" s="1"/>
  <c r="C71" i="3"/>
  <c r="F71" i="3"/>
  <c r="T71" i="3"/>
  <c r="S71" i="3"/>
  <c r="AU69" i="3"/>
  <c r="AW69" i="3"/>
  <c r="AG70" i="3"/>
  <c r="AO70" i="3"/>
  <c r="Y70" i="3"/>
  <c r="Z70" i="3" s="1"/>
  <c r="AH70" i="3"/>
  <c r="BC68" i="3" l="1"/>
  <c r="BG68" i="3" s="1"/>
  <c r="BH68" i="3" s="1"/>
  <c r="BI68" i="3" s="1"/>
  <c r="BG67" i="3"/>
  <c r="BH67" i="3" s="1"/>
  <c r="BI67" i="3" s="1"/>
  <c r="BK66" i="3"/>
  <c r="BM71" i="3"/>
  <c r="BN71" i="3"/>
  <c r="AN71" i="3"/>
  <c r="BB68" i="3"/>
  <c r="AV69" i="3"/>
  <c r="BF68" i="3"/>
  <c r="BJ67" i="3" s="1"/>
  <c r="AX70" i="3"/>
  <c r="AY69" i="3"/>
  <c r="AO71" i="3"/>
  <c r="AG71" i="3"/>
  <c r="X71" i="3"/>
  <c r="BA69" i="3"/>
  <c r="BQ69" i="3" s="1"/>
  <c r="Y71" i="3"/>
  <c r="Z71" i="3" s="1"/>
  <c r="AH71" i="3"/>
  <c r="AQ72" i="3"/>
  <c r="B72" i="3"/>
  <c r="A73" i="3"/>
  <c r="AR72" i="3"/>
  <c r="D72" i="3"/>
  <c r="Q72" i="3"/>
  <c r="R72" i="3"/>
  <c r="AM72" i="3"/>
  <c r="AK72" i="3"/>
  <c r="S72" i="3"/>
  <c r="AD72" i="3"/>
  <c r="P72" i="3"/>
  <c r="O72" i="3"/>
  <c r="M72" i="3"/>
  <c r="U72" i="3"/>
  <c r="AF72" i="3"/>
  <c r="AE72" i="3"/>
  <c r="V72" i="3"/>
  <c r="F72" i="3"/>
  <c r="G72" i="3"/>
  <c r="H72" i="3" s="1"/>
  <c r="C72" i="3"/>
  <c r="T72" i="3"/>
  <c r="AT70" i="3"/>
  <c r="AU70" i="3"/>
  <c r="AW70" i="3"/>
  <c r="BK67" i="3" l="1"/>
  <c r="BD68" i="3"/>
  <c r="BN72" i="3"/>
  <c r="AG72" i="3"/>
  <c r="AO72" i="3"/>
  <c r="BF69" i="3"/>
  <c r="BJ68" i="3" s="1"/>
  <c r="BK68" i="3" s="1"/>
  <c r="X72" i="3"/>
  <c r="BC69" i="3"/>
  <c r="BG69" i="3" s="1"/>
  <c r="BH69" i="3" s="1"/>
  <c r="BI69" i="3" s="1"/>
  <c r="AY70" i="3"/>
  <c r="AU71" i="3"/>
  <c r="Y72" i="3"/>
  <c r="Z72" i="3" s="1"/>
  <c r="AX71" i="3"/>
  <c r="AW71" i="3"/>
  <c r="AT71" i="3"/>
  <c r="BB69" i="3"/>
  <c r="AV70" i="3"/>
  <c r="BA70" i="3"/>
  <c r="AN72" i="3"/>
  <c r="AQ73" i="3"/>
  <c r="AR73" i="3"/>
  <c r="A74" i="3"/>
  <c r="B73" i="3"/>
  <c r="AM73" i="3"/>
  <c r="D73" i="3"/>
  <c r="C73" i="3"/>
  <c r="AK73" i="3"/>
  <c r="R73" i="3"/>
  <c r="Q73" i="3"/>
  <c r="AD73" i="3"/>
  <c r="P73" i="3"/>
  <c r="O73" i="3"/>
  <c r="M73" i="3"/>
  <c r="AF73" i="3"/>
  <c r="AE73" i="3"/>
  <c r="U73" i="3"/>
  <c r="V73" i="3"/>
  <c r="G73" i="3"/>
  <c r="H73" i="3" s="1"/>
  <c r="F73" i="3"/>
  <c r="S73" i="3"/>
  <c r="T73" i="3"/>
  <c r="BM72" i="3"/>
  <c r="AH72" i="3"/>
  <c r="AV71" i="3" l="1"/>
  <c r="BC70" i="3"/>
  <c r="BD70" i="3" s="1"/>
  <c r="BM73" i="3"/>
  <c r="AX72" i="3"/>
  <c r="BD69" i="3"/>
  <c r="AU72" i="3"/>
  <c r="AY71" i="3"/>
  <c r="AO73" i="3"/>
  <c r="BA71" i="3"/>
  <c r="BB71" i="3" s="1"/>
  <c r="AG73" i="3"/>
  <c r="Y73" i="3"/>
  <c r="Z73" i="3" s="1"/>
  <c r="AQ74" i="3"/>
  <c r="B74" i="3"/>
  <c r="A75" i="3"/>
  <c r="AR74" i="3"/>
  <c r="D74" i="3"/>
  <c r="AK74" i="3"/>
  <c r="S74" i="3"/>
  <c r="R74" i="3"/>
  <c r="AM74" i="3"/>
  <c r="Q74" i="3"/>
  <c r="AD74" i="3"/>
  <c r="P74" i="3"/>
  <c r="O74" i="3"/>
  <c r="AE74" i="3"/>
  <c r="AF74" i="3"/>
  <c r="U74" i="3"/>
  <c r="V74" i="3"/>
  <c r="M74" i="3"/>
  <c r="F74" i="3"/>
  <c r="G74" i="3"/>
  <c r="H74" i="3" s="1"/>
  <c r="C74" i="3"/>
  <c r="T74" i="3"/>
  <c r="AW72" i="3"/>
  <c r="X73" i="3"/>
  <c r="BN73" i="3"/>
  <c r="AH73" i="3"/>
  <c r="AN73" i="3"/>
  <c r="AT72" i="3"/>
  <c r="BB70" i="3"/>
  <c r="BQ70" i="3"/>
  <c r="BF70" i="3"/>
  <c r="BJ69" i="3" s="1"/>
  <c r="BK69" i="3" s="1"/>
  <c r="BC71" i="3" l="1"/>
  <c r="BD71" i="3" s="1"/>
  <c r="AT73" i="3"/>
  <c r="BG70" i="3"/>
  <c r="BH70" i="3" s="1"/>
  <c r="BI70" i="3" s="1"/>
  <c r="BN74" i="3"/>
  <c r="AY72" i="3"/>
  <c r="AU73" i="3"/>
  <c r="BQ71" i="3"/>
  <c r="BF71" i="3"/>
  <c r="BJ70" i="3" s="1"/>
  <c r="AO74" i="3"/>
  <c r="Y74" i="3"/>
  <c r="Z74" i="3" s="1"/>
  <c r="AG74" i="3"/>
  <c r="AW73" i="3"/>
  <c r="AV72" i="3"/>
  <c r="BA72" i="3"/>
  <c r="A76" i="3"/>
  <c r="AQ75" i="3"/>
  <c r="B75" i="3"/>
  <c r="AR75" i="3"/>
  <c r="AM75" i="3"/>
  <c r="T75" i="3"/>
  <c r="S75" i="3"/>
  <c r="R75" i="3"/>
  <c r="AK75" i="3"/>
  <c r="Q75" i="3"/>
  <c r="AD75" i="3"/>
  <c r="M75" i="3"/>
  <c r="O75" i="3"/>
  <c r="AE75" i="3"/>
  <c r="U75" i="3"/>
  <c r="AF75" i="3"/>
  <c r="V75" i="3"/>
  <c r="C75" i="3"/>
  <c r="D75" i="3"/>
  <c r="F75" i="3"/>
  <c r="G75" i="3"/>
  <c r="H75" i="3" s="1"/>
  <c r="P75" i="3"/>
  <c r="AX73" i="3"/>
  <c r="X74" i="3"/>
  <c r="BM74" i="3"/>
  <c r="AH74" i="3"/>
  <c r="AN74" i="3"/>
  <c r="BM75" i="3" l="1"/>
  <c r="BG71" i="3"/>
  <c r="BH71" i="3" s="1"/>
  <c r="BI71" i="3" s="1"/>
  <c r="AV73" i="3"/>
  <c r="BK70" i="3"/>
  <c r="BN75" i="3"/>
  <c r="AO75" i="3"/>
  <c r="BC72" i="3"/>
  <c r="BD72" i="3" s="1"/>
  <c r="AT74" i="3"/>
  <c r="AY73" i="3"/>
  <c r="AX74" i="3"/>
  <c r="AH75" i="3"/>
  <c r="BQ72" i="3"/>
  <c r="BF72" i="3"/>
  <c r="BJ71" i="3" s="1"/>
  <c r="BB72" i="3"/>
  <c r="AW74" i="3"/>
  <c r="AU74" i="3"/>
  <c r="Y75" i="3"/>
  <c r="Z75" i="3" s="1"/>
  <c r="X75" i="3"/>
  <c r="AG75" i="3"/>
  <c r="BA73" i="3"/>
  <c r="A77" i="3"/>
  <c r="B76" i="3"/>
  <c r="AR76" i="3"/>
  <c r="AQ76" i="3"/>
  <c r="C76" i="3"/>
  <c r="D76" i="3"/>
  <c r="AM76" i="3"/>
  <c r="AK76" i="3"/>
  <c r="Q76" i="3"/>
  <c r="R76" i="3"/>
  <c r="AD76" i="3"/>
  <c r="O76" i="3"/>
  <c r="P76" i="3"/>
  <c r="AE76" i="3"/>
  <c r="M76" i="3"/>
  <c r="U76" i="3"/>
  <c r="AF76" i="3"/>
  <c r="V76" i="3"/>
  <c r="G76" i="3"/>
  <c r="H76" i="3" s="1"/>
  <c r="F76" i="3"/>
  <c r="T76" i="3"/>
  <c r="S76" i="3"/>
  <c r="AN75" i="3"/>
  <c r="BK71" i="3" l="1"/>
  <c r="AV74" i="3"/>
  <c r="BC73" i="3"/>
  <c r="BD73" i="3" s="1"/>
  <c r="AX75" i="3"/>
  <c r="BN76" i="3"/>
  <c r="BG72" i="3"/>
  <c r="BH72" i="3" s="1"/>
  <c r="BI72" i="3" s="1"/>
  <c r="AY74" i="3"/>
  <c r="AN76" i="3"/>
  <c r="BQ73" i="3"/>
  <c r="BB73" i="3"/>
  <c r="BF73" i="3"/>
  <c r="BJ72" i="3" s="1"/>
  <c r="AW75" i="3"/>
  <c r="X76" i="3"/>
  <c r="BM76" i="3"/>
  <c r="AG76" i="3"/>
  <c r="AO76" i="3"/>
  <c r="AT75" i="3"/>
  <c r="AR77" i="3"/>
  <c r="B77" i="3"/>
  <c r="AQ77" i="3"/>
  <c r="A78" i="3"/>
  <c r="AM77" i="3"/>
  <c r="C77" i="3"/>
  <c r="AK77" i="3"/>
  <c r="T77" i="3"/>
  <c r="R77" i="3"/>
  <c r="AD77" i="3"/>
  <c r="P77" i="3"/>
  <c r="O77" i="3"/>
  <c r="U77" i="3"/>
  <c r="AE77" i="3"/>
  <c r="M77" i="3"/>
  <c r="AF77" i="3"/>
  <c r="V77" i="3"/>
  <c r="G77" i="3"/>
  <c r="H77" i="3" s="1"/>
  <c r="F77" i="3"/>
  <c r="Q77" i="3"/>
  <c r="D77" i="3"/>
  <c r="S77" i="3"/>
  <c r="Y76" i="3"/>
  <c r="Z76" i="3" s="1"/>
  <c r="AH76" i="3"/>
  <c r="AU75" i="3"/>
  <c r="BA74" i="3"/>
  <c r="BC74" i="3" l="1"/>
  <c r="BD74" i="3" s="1"/>
  <c r="BG73" i="3"/>
  <c r="BH73" i="3" s="1"/>
  <c r="BI73" i="3" s="1"/>
  <c r="AY75" i="3"/>
  <c r="BK72" i="3"/>
  <c r="AO77" i="3"/>
  <c r="AH77" i="3"/>
  <c r="BM77" i="3"/>
  <c r="AX76" i="3"/>
  <c r="AT76" i="3"/>
  <c r="AU76" i="3"/>
  <c r="Y77" i="3"/>
  <c r="Z77" i="3" s="1"/>
  <c r="BB74" i="3"/>
  <c r="BF74" i="3"/>
  <c r="BJ73" i="3" s="1"/>
  <c r="BK73" i="3" s="1"/>
  <c r="BQ74" i="3"/>
  <c r="B78" i="3"/>
  <c r="AQ78" i="3"/>
  <c r="AR78" i="3"/>
  <c r="A79" i="3"/>
  <c r="AK78" i="3"/>
  <c r="AM78" i="3"/>
  <c r="R78" i="3"/>
  <c r="Q78" i="3"/>
  <c r="T78" i="3"/>
  <c r="AD78" i="3"/>
  <c r="P78" i="3"/>
  <c r="M78" i="3"/>
  <c r="AF78" i="3"/>
  <c r="AE78" i="3"/>
  <c r="V78" i="3"/>
  <c r="O78" i="3"/>
  <c r="U78" i="3"/>
  <c r="D78" i="3"/>
  <c r="C78" i="3"/>
  <c r="G78" i="3"/>
  <c r="H78" i="3" s="1"/>
  <c r="F78" i="3"/>
  <c r="S78" i="3"/>
  <c r="BA75" i="3"/>
  <c r="AV75" i="3"/>
  <c r="X77" i="3"/>
  <c r="BN77" i="3"/>
  <c r="AG77" i="3"/>
  <c r="AW76" i="3"/>
  <c r="AN77" i="3"/>
  <c r="BG74" i="3" l="1"/>
  <c r="BH74" i="3" s="1"/>
  <c r="BI74" i="3" s="1"/>
  <c r="AY76" i="3"/>
  <c r="BM78" i="3"/>
  <c r="BN78" i="3"/>
  <c r="BC75" i="3"/>
  <c r="BD75" i="3" s="1"/>
  <c r="AO78" i="3"/>
  <c r="AX77" i="3"/>
  <c r="AV76" i="3"/>
  <c r="BF75" i="3"/>
  <c r="BJ74" i="3" s="1"/>
  <c r="BK74" i="3" s="1"/>
  <c r="BQ75" i="3"/>
  <c r="BB75" i="3"/>
  <c r="Y78" i="3"/>
  <c r="Z78" i="3" s="1"/>
  <c r="A80" i="3"/>
  <c r="AQ79" i="3"/>
  <c r="B79" i="3"/>
  <c r="AR79" i="3"/>
  <c r="C79" i="3"/>
  <c r="D79" i="3"/>
  <c r="AM79" i="3"/>
  <c r="T79" i="3"/>
  <c r="S79" i="3"/>
  <c r="AK79" i="3"/>
  <c r="R79" i="3"/>
  <c r="Q79" i="3"/>
  <c r="AD79" i="3"/>
  <c r="O79" i="3"/>
  <c r="P79" i="3"/>
  <c r="M79" i="3"/>
  <c r="AE79" i="3"/>
  <c r="AF79" i="3"/>
  <c r="U79" i="3"/>
  <c r="V79" i="3"/>
  <c r="G79" i="3"/>
  <c r="H79" i="3" s="1"/>
  <c r="F79" i="3"/>
  <c r="AW77" i="3"/>
  <c r="AU77" i="3"/>
  <c r="AT77" i="3"/>
  <c r="X78" i="3"/>
  <c r="AG78" i="3"/>
  <c r="AH78" i="3"/>
  <c r="AN78" i="3"/>
  <c r="BA76" i="3"/>
  <c r="BC76" i="3" l="1"/>
  <c r="BD76" i="3" s="1"/>
  <c r="BG75" i="3"/>
  <c r="BH75" i="3" s="1"/>
  <c r="BI75" i="3" s="1"/>
  <c r="AY77" i="3"/>
  <c r="BM79" i="3"/>
  <c r="BN79" i="3"/>
  <c r="AG79" i="3"/>
  <c r="AN79" i="3"/>
  <c r="BQ76" i="3"/>
  <c r="BB76" i="3"/>
  <c r="BF76" i="3"/>
  <c r="BJ75" i="3" s="1"/>
  <c r="BK75" i="3" s="1"/>
  <c r="BA77" i="3"/>
  <c r="AV77" i="3"/>
  <c r="Y79" i="3"/>
  <c r="Z79" i="3" s="1"/>
  <c r="AW78" i="3"/>
  <c r="AT78" i="3"/>
  <c r="AU78" i="3"/>
  <c r="AX78" i="3"/>
  <c r="AO79" i="3"/>
  <c r="A81" i="3"/>
  <c r="B80" i="3"/>
  <c r="AR80" i="3"/>
  <c r="AQ80" i="3"/>
  <c r="T80" i="3"/>
  <c r="AK80" i="3"/>
  <c r="AM80" i="3"/>
  <c r="S80" i="3"/>
  <c r="Q80" i="3"/>
  <c r="R80" i="3"/>
  <c r="AD80" i="3"/>
  <c r="P80" i="3"/>
  <c r="O80" i="3"/>
  <c r="M80" i="3"/>
  <c r="AF80" i="3"/>
  <c r="AE80" i="3"/>
  <c r="U80" i="3"/>
  <c r="V80" i="3"/>
  <c r="D80" i="3"/>
  <c r="C80" i="3"/>
  <c r="F80" i="3"/>
  <c r="G80" i="3"/>
  <c r="H80" i="3" s="1"/>
  <c r="AH79" i="3"/>
  <c r="X79" i="3"/>
  <c r="BG76" i="3" l="1"/>
  <c r="BH76" i="3" s="1"/>
  <c r="BI76" i="3" s="1"/>
  <c r="BN80" i="3"/>
  <c r="BC77" i="3"/>
  <c r="BD77" i="3" s="1"/>
  <c r="AO80" i="3"/>
  <c r="AX79" i="3"/>
  <c r="AG80" i="3"/>
  <c r="X80" i="3"/>
  <c r="AY78" i="3"/>
  <c r="Y80" i="3"/>
  <c r="Z80" i="3" s="1"/>
  <c r="AR81" i="3"/>
  <c r="B81" i="3"/>
  <c r="AQ81" i="3"/>
  <c r="A82" i="3"/>
  <c r="AM81" i="3"/>
  <c r="R81" i="3"/>
  <c r="C81" i="3"/>
  <c r="AK81" i="3"/>
  <c r="S81" i="3"/>
  <c r="O81" i="3"/>
  <c r="AD81" i="3"/>
  <c r="P81" i="3"/>
  <c r="M81" i="3"/>
  <c r="AE81" i="3"/>
  <c r="AF81" i="3"/>
  <c r="V81" i="3"/>
  <c r="U81" i="3"/>
  <c r="D81" i="3"/>
  <c r="Q81" i="3"/>
  <c r="G81" i="3"/>
  <c r="H81" i="3" s="1"/>
  <c r="F81" i="3"/>
  <c r="T81" i="3"/>
  <c r="AV78" i="3"/>
  <c r="BA78" i="3"/>
  <c r="AW79" i="3"/>
  <c r="BM80" i="3"/>
  <c r="AH80" i="3"/>
  <c r="AN80" i="3"/>
  <c r="AT79" i="3"/>
  <c r="BB77" i="3"/>
  <c r="BQ77" i="3"/>
  <c r="BF77" i="3"/>
  <c r="BJ76" i="3" s="1"/>
  <c r="BK76" i="3" s="1"/>
  <c r="AU79" i="3"/>
  <c r="BC78" i="3" l="1"/>
  <c r="BD78" i="3" s="1"/>
  <c r="BN81" i="3"/>
  <c r="BM81" i="3"/>
  <c r="AU80" i="3"/>
  <c r="BG77" i="3"/>
  <c r="BH77" i="3" s="1"/>
  <c r="BI77" i="3" s="1"/>
  <c r="AT80" i="3"/>
  <c r="AW80" i="3"/>
  <c r="AG81" i="3"/>
  <c r="AY79" i="3"/>
  <c r="AO81" i="3"/>
  <c r="BA79" i="3"/>
  <c r="AV79" i="3"/>
  <c r="BQ78" i="3"/>
  <c r="BB78" i="3"/>
  <c r="BF78" i="3"/>
  <c r="BJ77" i="3" s="1"/>
  <c r="BK77" i="3" s="1"/>
  <c r="Y81" i="3"/>
  <c r="Z81" i="3" s="1"/>
  <c r="AX80" i="3"/>
  <c r="AH81" i="3"/>
  <c r="X81" i="3"/>
  <c r="AN81" i="3"/>
  <c r="B82" i="3"/>
  <c r="AQ82" i="3"/>
  <c r="AR82" i="3"/>
  <c r="A83" i="3"/>
  <c r="D82" i="3"/>
  <c r="AK82" i="3"/>
  <c r="Q82" i="3"/>
  <c r="AM82" i="3"/>
  <c r="S82" i="3"/>
  <c r="O82" i="3"/>
  <c r="T82" i="3"/>
  <c r="AD82" i="3"/>
  <c r="P82" i="3"/>
  <c r="M82" i="3"/>
  <c r="AF82" i="3"/>
  <c r="AE82" i="3"/>
  <c r="V82" i="3"/>
  <c r="U82" i="3"/>
  <c r="R82" i="3"/>
  <c r="F82" i="3"/>
  <c r="C82" i="3"/>
  <c r="G82" i="3"/>
  <c r="H82" i="3" s="1"/>
  <c r="BG78" i="3" l="1"/>
  <c r="BH78" i="3" s="1"/>
  <c r="BI78" i="3" s="1"/>
  <c r="AU81" i="3"/>
  <c r="AY80" i="3"/>
  <c r="AV80" i="3"/>
  <c r="AN82" i="3"/>
  <c r="BN82" i="3"/>
  <c r="BM82" i="3"/>
  <c r="BC79" i="3"/>
  <c r="BD79" i="3" s="1"/>
  <c r="AG82" i="3"/>
  <c r="AT81" i="3"/>
  <c r="AW81" i="3"/>
  <c r="Y82" i="3"/>
  <c r="Z82" i="3" s="1"/>
  <c r="BQ79" i="3"/>
  <c r="BB79" i="3"/>
  <c r="BF79" i="3"/>
  <c r="BJ78" i="3" s="1"/>
  <c r="BK78" i="3" s="1"/>
  <c r="X82" i="3"/>
  <c r="A84" i="3"/>
  <c r="AQ83" i="3"/>
  <c r="B83" i="3"/>
  <c r="AR83" i="3"/>
  <c r="C83" i="3"/>
  <c r="AM83" i="3"/>
  <c r="AK83" i="3"/>
  <c r="Q83" i="3"/>
  <c r="R83" i="3"/>
  <c r="AD83" i="3"/>
  <c r="P83" i="3"/>
  <c r="O83" i="3"/>
  <c r="AE83" i="3"/>
  <c r="AF83" i="3"/>
  <c r="M83" i="3"/>
  <c r="V83" i="3"/>
  <c r="U83" i="3"/>
  <c r="F83" i="3"/>
  <c r="D83" i="3"/>
  <c r="G83" i="3"/>
  <c r="H83" i="3" s="1"/>
  <c r="S83" i="3"/>
  <c r="T83" i="3"/>
  <c r="AH82" i="3"/>
  <c r="AO82" i="3"/>
  <c r="AX81" i="3"/>
  <c r="BA80" i="3"/>
  <c r="AV81" i="3" l="1"/>
  <c r="BC80" i="3"/>
  <c r="BG80" i="3" s="1"/>
  <c r="BH80" i="3" s="1"/>
  <c r="BI80" i="3" s="1"/>
  <c r="BN83" i="3"/>
  <c r="BM83" i="3"/>
  <c r="BG79" i="3"/>
  <c r="BH79" i="3" s="1"/>
  <c r="BI79" i="3" s="1"/>
  <c r="AY81" i="3"/>
  <c r="AX82" i="3"/>
  <c r="AN83" i="3"/>
  <c r="AH83" i="3"/>
  <c r="BA81" i="3"/>
  <c r="BQ81" i="3" s="1"/>
  <c r="BQ80" i="3"/>
  <c r="BF80" i="3"/>
  <c r="BJ79" i="3" s="1"/>
  <c r="BB80" i="3"/>
  <c r="A85" i="3"/>
  <c r="B84" i="3"/>
  <c r="AR84" i="3"/>
  <c r="AQ84" i="3"/>
  <c r="C84" i="3"/>
  <c r="AK84" i="3"/>
  <c r="AM84" i="3"/>
  <c r="R84" i="3"/>
  <c r="Q84" i="3"/>
  <c r="AD84" i="3"/>
  <c r="P84" i="3"/>
  <c r="AF84" i="3"/>
  <c r="O84" i="3"/>
  <c r="AE84" i="3"/>
  <c r="M84" i="3"/>
  <c r="U84" i="3"/>
  <c r="V84" i="3"/>
  <c r="D84" i="3"/>
  <c r="G84" i="3"/>
  <c r="H84" i="3" s="1"/>
  <c r="F84" i="3"/>
  <c r="S84" i="3"/>
  <c r="T84" i="3"/>
  <c r="AU82" i="3"/>
  <c r="AW82" i="3"/>
  <c r="X83" i="3"/>
  <c r="AG83" i="3"/>
  <c r="AO83" i="3"/>
  <c r="Y83" i="3"/>
  <c r="Z83" i="3" s="1"/>
  <c r="AT82" i="3"/>
  <c r="BC81" i="3" l="1"/>
  <c r="BD81" i="3" s="1"/>
  <c r="BK79" i="3"/>
  <c r="BD80" i="3"/>
  <c r="AY82" i="3"/>
  <c r="BB81" i="3"/>
  <c r="BF81" i="3"/>
  <c r="BJ80" i="3" s="1"/>
  <c r="BK80" i="3" s="1"/>
  <c r="BN84" i="3"/>
  <c r="AN84" i="3"/>
  <c r="AU83" i="3"/>
  <c r="AG84" i="3"/>
  <c r="AT83" i="3"/>
  <c r="X84" i="3"/>
  <c r="AW83" i="3"/>
  <c r="AX83" i="3"/>
  <c r="Y84" i="3"/>
  <c r="Z84" i="3" s="1"/>
  <c r="BM84" i="3"/>
  <c r="AH84" i="3"/>
  <c r="AO84" i="3"/>
  <c r="AV82" i="3"/>
  <c r="BA82" i="3"/>
  <c r="AR85" i="3"/>
  <c r="B85" i="3"/>
  <c r="AQ85" i="3"/>
  <c r="A86" i="3"/>
  <c r="C85" i="3"/>
  <c r="T85" i="3"/>
  <c r="S85" i="3"/>
  <c r="AK85" i="3"/>
  <c r="AM85" i="3"/>
  <c r="R85" i="3"/>
  <c r="Q85" i="3"/>
  <c r="P85" i="3"/>
  <c r="AD85" i="3"/>
  <c r="O85" i="3"/>
  <c r="M85" i="3"/>
  <c r="AF85" i="3"/>
  <c r="AE85" i="3"/>
  <c r="V85" i="3"/>
  <c r="U85" i="3"/>
  <c r="D85" i="3"/>
  <c r="F85" i="3"/>
  <c r="BM85" i="3" s="1"/>
  <c r="G85" i="3"/>
  <c r="H85" i="3" s="1"/>
  <c r="BG81" i="3" l="1"/>
  <c r="BH81" i="3" s="1"/>
  <c r="BI81" i="3" s="1"/>
  <c r="BN85" i="3"/>
  <c r="BC82" i="3"/>
  <c r="BD82" i="3" s="1"/>
  <c r="AV83" i="3"/>
  <c r="AG85" i="3"/>
  <c r="AN85" i="3"/>
  <c r="AU84" i="3"/>
  <c r="AT84" i="3"/>
  <c r="BA83" i="3"/>
  <c r="BB83" i="3" s="1"/>
  <c r="Y85" i="3"/>
  <c r="Z85" i="3" s="1"/>
  <c r="B86" i="3"/>
  <c r="AQ86" i="3"/>
  <c r="AR86" i="3"/>
  <c r="A87" i="3"/>
  <c r="C86" i="3"/>
  <c r="D86" i="3"/>
  <c r="AK86" i="3"/>
  <c r="AM86" i="3"/>
  <c r="S86" i="3"/>
  <c r="R86" i="3"/>
  <c r="Q86" i="3"/>
  <c r="AD86" i="3"/>
  <c r="O86" i="3"/>
  <c r="P86" i="3"/>
  <c r="AE86" i="3"/>
  <c r="M86" i="3"/>
  <c r="AF86" i="3"/>
  <c r="V86" i="3"/>
  <c r="U86" i="3"/>
  <c r="G86" i="3"/>
  <c r="H86" i="3" s="1"/>
  <c r="F86" i="3"/>
  <c r="BM86" i="3" s="1"/>
  <c r="T86" i="3"/>
  <c r="BB82" i="3"/>
  <c r="BF82" i="3"/>
  <c r="BJ81" i="3" s="1"/>
  <c r="BQ82" i="3"/>
  <c r="AO85" i="3"/>
  <c r="AX84" i="3"/>
  <c r="AY83" i="3"/>
  <c r="AH85" i="3"/>
  <c r="X85" i="3"/>
  <c r="AW84" i="3"/>
  <c r="BK81" i="3" l="1"/>
  <c r="BF83" i="3"/>
  <c r="BJ82" i="3" s="1"/>
  <c r="BN86" i="3"/>
  <c r="BG82" i="3"/>
  <c r="BH82" i="3" s="1"/>
  <c r="BI82" i="3" s="1"/>
  <c r="BC83" i="3"/>
  <c r="BG83" i="3" s="1"/>
  <c r="BH83" i="3" s="1"/>
  <c r="BI83" i="3" s="1"/>
  <c r="AY84" i="3"/>
  <c r="AU85" i="3"/>
  <c r="AV84" i="3"/>
  <c r="Y86" i="3"/>
  <c r="Z86" i="3" s="1"/>
  <c r="BQ83" i="3"/>
  <c r="AT85" i="3"/>
  <c r="AN86" i="3"/>
  <c r="AX85" i="3"/>
  <c r="AW85" i="3"/>
  <c r="AG86" i="3"/>
  <c r="AO86" i="3"/>
  <c r="X86" i="3"/>
  <c r="A88" i="3"/>
  <c r="B87" i="3"/>
  <c r="AQ87" i="3"/>
  <c r="AR87" i="3"/>
  <c r="AM87" i="3"/>
  <c r="AK87" i="3"/>
  <c r="T87" i="3"/>
  <c r="Q87" i="3"/>
  <c r="R87" i="3"/>
  <c r="AD87" i="3"/>
  <c r="P87" i="3"/>
  <c r="AE87" i="3"/>
  <c r="O87" i="3"/>
  <c r="AF87" i="3"/>
  <c r="V87" i="3"/>
  <c r="M87" i="3"/>
  <c r="U87" i="3"/>
  <c r="F87" i="3"/>
  <c r="C87" i="3"/>
  <c r="D87" i="3"/>
  <c r="G87" i="3"/>
  <c r="H87" i="3" s="1"/>
  <c r="S87" i="3"/>
  <c r="AH86" i="3"/>
  <c r="BA84" i="3"/>
  <c r="BK82" i="3" l="1"/>
  <c r="AV85" i="3"/>
  <c r="BD83" i="3"/>
  <c r="BC84" i="3"/>
  <c r="BD84" i="3" s="1"/>
  <c r="AH87" i="3"/>
  <c r="BN87" i="3"/>
  <c r="AX86" i="3"/>
  <c r="AN87" i="3"/>
  <c r="AU86" i="3"/>
  <c r="AY85" i="3"/>
  <c r="BQ84" i="3"/>
  <c r="BF84" i="3"/>
  <c r="BJ83" i="3" s="1"/>
  <c r="BK83" i="3" s="1"/>
  <c r="BB84" i="3"/>
  <c r="Y87" i="3"/>
  <c r="Z87" i="3" s="1"/>
  <c r="X87" i="3"/>
  <c r="BM87" i="3"/>
  <c r="AG87" i="3"/>
  <c r="AO87" i="3"/>
  <c r="AW86" i="3"/>
  <c r="A89" i="3"/>
  <c r="AR88" i="3"/>
  <c r="B88" i="3"/>
  <c r="AQ88" i="3"/>
  <c r="AM88" i="3"/>
  <c r="AK88" i="3"/>
  <c r="D88" i="3"/>
  <c r="T88" i="3"/>
  <c r="R88" i="3"/>
  <c r="Q88" i="3"/>
  <c r="AD88" i="3"/>
  <c r="P88" i="3"/>
  <c r="O88" i="3"/>
  <c r="M88" i="3"/>
  <c r="AE88" i="3"/>
  <c r="AF88" i="3"/>
  <c r="V88" i="3"/>
  <c r="U88" i="3"/>
  <c r="C88" i="3"/>
  <c r="G88" i="3"/>
  <c r="H88" i="3" s="1"/>
  <c r="F88" i="3"/>
  <c r="S88" i="3"/>
  <c r="AT86" i="3"/>
  <c r="BA85" i="3"/>
  <c r="BM88" i="3" l="1"/>
  <c r="BC85" i="3"/>
  <c r="BG85" i="3" s="1"/>
  <c r="BH85" i="3" s="1"/>
  <c r="BI85" i="3" s="1"/>
  <c r="AT87" i="3"/>
  <c r="BG84" i="3"/>
  <c r="BH84" i="3" s="1"/>
  <c r="BI84" i="3" s="1"/>
  <c r="AU87" i="3"/>
  <c r="BN88" i="3"/>
  <c r="AX87" i="3"/>
  <c r="AO88" i="3"/>
  <c r="AY86" i="3"/>
  <c r="AN88" i="3"/>
  <c r="X88" i="3"/>
  <c r="AV86" i="3"/>
  <c r="BA86" i="3"/>
  <c r="AW87" i="3"/>
  <c r="BF85" i="3"/>
  <c r="BJ84" i="3" s="1"/>
  <c r="BB85" i="3"/>
  <c r="BQ85" i="3"/>
  <c r="Y88" i="3"/>
  <c r="Z88" i="3" s="1"/>
  <c r="AQ89" i="3"/>
  <c r="AR89" i="3"/>
  <c r="B89" i="3"/>
  <c r="A90" i="3"/>
  <c r="D89" i="3"/>
  <c r="C89" i="3"/>
  <c r="AK89" i="3"/>
  <c r="S89" i="3"/>
  <c r="T89" i="3"/>
  <c r="AM89" i="3"/>
  <c r="AD89" i="3"/>
  <c r="P89" i="3"/>
  <c r="O89" i="3"/>
  <c r="AF89" i="3"/>
  <c r="AE89" i="3"/>
  <c r="U89" i="3"/>
  <c r="M89" i="3"/>
  <c r="V89" i="3"/>
  <c r="R89" i="3"/>
  <c r="Q89" i="3"/>
  <c r="F89" i="3"/>
  <c r="G89" i="3"/>
  <c r="H89" i="3" s="1"/>
  <c r="AG88" i="3"/>
  <c r="AH88" i="3"/>
  <c r="BD85" i="3" l="1"/>
  <c r="BK84" i="3"/>
  <c r="AV87" i="3"/>
  <c r="AN89" i="3"/>
  <c r="BN89" i="3"/>
  <c r="BC86" i="3"/>
  <c r="BD86" i="3" s="1"/>
  <c r="AX88" i="3"/>
  <c r="B90" i="3"/>
  <c r="AQ90" i="3"/>
  <c r="AR90" i="3"/>
  <c r="A91" i="3"/>
  <c r="AK90" i="3"/>
  <c r="T90" i="3"/>
  <c r="D90" i="3"/>
  <c r="AM90" i="3"/>
  <c r="R90" i="3"/>
  <c r="Q90" i="3"/>
  <c r="AD90" i="3"/>
  <c r="P90" i="3"/>
  <c r="O90" i="3"/>
  <c r="M90" i="3"/>
  <c r="AF90" i="3"/>
  <c r="U90" i="3"/>
  <c r="AE90" i="3"/>
  <c r="V90" i="3"/>
  <c r="C90" i="3"/>
  <c r="G90" i="3"/>
  <c r="H90" i="3" s="1"/>
  <c r="F90" i="3"/>
  <c r="S90" i="3"/>
  <c r="AU88" i="3"/>
  <c r="Y89" i="3"/>
  <c r="Z89" i="3" s="1"/>
  <c r="BA87" i="3"/>
  <c r="AY87" i="3"/>
  <c r="BF86" i="3"/>
  <c r="BJ85" i="3" s="1"/>
  <c r="BK85" i="3" s="1"/>
  <c r="BQ86" i="3"/>
  <c r="BB86" i="3"/>
  <c r="X89" i="3"/>
  <c r="AW88" i="3"/>
  <c r="BM89" i="3"/>
  <c r="AG89" i="3"/>
  <c r="AH89" i="3"/>
  <c r="AO89" i="3"/>
  <c r="AT88" i="3"/>
  <c r="BM90" i="3" l="1"/>
  <c r="AG90" i="3"/>
  <c r="BC87" i="3"/>
  <c r="BD87" i="3" s="1"/>
  <c r="BN90" i="3"/>
  <c r="BG86" i="3"/>
  <c r="BH86" i="3" s="1"/>
  <c r="BI86" i="3" s="1"/>
  <c r="AY88" i="3"/>
  <c r="AN90" i="3"/>
  <c r="AX89" i="3"/>
  <c r="X90" i="3"/>
  <c r="BA88" i="3"/>
  <c r="AV88" i="3"/>
  <c r="BF87" i="3"/>
  <c r="BJ86" i="3" s="1"/>
  <c r="BB87" i="3"/>
  <c r="BQ87" i="3"/>
  <c r="Y90" i="3"/>
  <c r="Z90" i="3" s="1"/>
  <c r="AW89" i="3"/>
  <c r="AT89" i="3"/>
  <c r="AH90" i="3"/>
  <c r="AO90" i="3"/>
  <c r="A92" i="3"/>
  <c r="B91" i="3"/>
  <c r="AQ91" i="3"/>
  <c r="AR91" i="3"/>
  <c r="D91" i="3"/>
  <c r="AM91" i="3"/>
  <c r="AK91" i="3"/>
  <c r="R91" i="3"/>
  <c r="P91" i="3"/>
  <c r="Q91" i="3"/>
  <c r="AD91" i="3"/>
  <c r="AE91" i="3"/>
  <c r="M91" i="3"/>
  <c r="V91" i="3"/>
  <c r="U91" i="3"/>
  <c r="O91" i="3"/>
  <c r="AF91" i="3"/>
  <c r="F91" i="3"/>
  <c r="C91" i="3"/>
  <c r="G91" i="3"/>
  <c r="H91" i="3" s="1"/>
  <c r="T91" i="3"/>
  <c r="S91" i="3"/>
  <c r="AU89" i="3"/>
  <c r="AY89" i="3" l="1"/>
  <c r="AT90" i="3"/>
  <c r="BG87" i="3"/>
  <c r="BH87" i="3" s="1"/>
  <c r="BI87" i="3" s="1"/>
  <c r="AU90" i="3"/>
  <c r="AV89" i="3"/>
  <c r="BN91" i="3"/>
  <c r="BM91" i="3"/>
  <c r="BK86" i="3"/>
  <c r="BC88" i="3"/>
  <c r="BG88" i="3" s="1"/>
  <c r="BH88" i="3" s="1"/>
  <c r="BI88" i="3" s="1"/>
  <c r="X91" i="3"/>
  <c r="AG91" i="3"/>
  <c r="AN91" i="3"/>
  <c r="AX90" i="3"/>
  <c r="Y91" i="3"/>
  <c r="Z91" i="3" s="1"/>
  <c r="A93" i="3"/>
  <c r="AR92" i="3"/>
  <c r="B92" i="3"/>
  <c r="AQ92" i="3"/>
  <c r="C92" i="3"/>
  <c r="AK92" i="3"/>
  <c r="AM92" i="3"/>
  <c r="S92" i="3"/>
  <c r="Q92" i="3"/>
  <c r="D92" i="3"/>
  <c r="T92" i="3"/>
  <c r="AD92" i="3"/>
  <c r="O92" i="3"/>
  <c r="P92" i="3"/>
  <c r="AE92" i="3"/>
  <c r="V92" i="3"/>
  <c r="M92" i="3"/>
  <c r="AF92" i="3"/>
  <c r="U92" i="3"/>
  <c r="R92" i="3"/>
  <c r="G92" i="3"/>
  <c r="H92" i="3" s="1"/>
  <c r="F92" i="3"/>
  <c r="BF88" i="3"/>
  <c r="BJ87" i="3" s="1"/>
  <c r="BB88" i="3"/>
  <c r="BQ88" i="3"/>
  <c r="AH91" i="3"/>
  <c r="AO91" i="3"/>
  <c r="AW90" i="3"/>
  <c r="BA89" i="3"/>
  <c r="BK87" i="3" l="1"/>
  <c r="BC89" i="3"/>
  <c r="BG89" i="3" s="1"/>
  <c r="BH89" i="3" s="1"/>
  <c r="BI89" i="3" s="1"/>
  <c r="AV90" i="3"/>
  <c r="BM92" i="3"/>
  <c r="BD88" i="3"/>
  <c r="BA90" i="3"/>
  <c r="BQ90" i="3" s="1"/>
  <c r="AU91" i="3"/>
  <c r="AY90" i="3"/>
  <c r="AW91" i="3"/>
  <c r="AX91" i="3"/>
  <c r="AO92" i="3"/>
  <c r="AQ93" i="3"/>
  <c r="B93" i="3"/>
  <c r="AR93" i="3"/>
  <c r="A94" i="3"/>
  <c r="AM93" i="3"/>
  <c r="AK93" i="3"/>
  <c r="Q93" i="3"/>
  <c r="R93" i="3"/>
  <c r="AD93" i="3"/>
  <c r="P93" i="3"/>
  <c r="O93" i="3"/>
  <c r="M93" i="3"/>
  <c r="AE93" i="3"/>
  <c r="V93" i="3"/>
  <c r="U93" i="3"/>
  <c r="AF93" i="3"/>
  <c r="F93" i="3"/>
  <c r="C93" i="3"/>
  <c r="D93" i="3"/>
  <c r="G93" i="3"/>
  <c r="H93" i="3" s="1"/>
  <c r="S93" i="3"/>
  <c r="T93" i="3"/>
  <c r="AH92" i="3"/>
  <c r="AT91" i="3"/>
  <c r="BN92" i="3"/>
  <c r="AG92" i="3"/>
  <c r="AN92" i="3"/>
  <c r="X92" i="3"/>
  <c r="BQ89" i="3"/>
  <c r="BB89" i="3"/>
  <c r="BF89" i="3"/>
  <c r="BJ88" i="3" s="1"/>
  <c r="BK88" i="3" s="1"/>
  <c r="Y92" i="3"/>
  <c r="Z92" i="3" s="1"/>
  <c r="BD89" i="3" l="1"/>
  <c r="BC90" i="3"/>
  <c r="BG90" i="3" s="1"/>
  <c r="BH90" i="3" s="1"/>
  <c r="BI90" i="3" s="1"/>
  <c r="BB90" i="3"/>
  <c r="BM93" i="3"/>
  <c r="BF90" i="3"/>
  <c r="BJ89" i="3" s="1"/>
  <c r="BK89" i="3" s="1"/>
  <c r="AG93" i="3"/>
  <c r="AY91" i="3"/>
  <c r="AW92" i="3"/>
  <c r="AN93" i="3"/>
  <c r="X93" i="3"/>
  <c r="AU92" i="3"/>
  <c r="AX92" i="3"/>
  <c r="BA91" i="3"/>
  <c r="AV91" i="3"/>
  <c r="B94" i="3"/>
  <c r="AQ94" i="3"/>
  <c r="AR94" i="3"/>
  <c r="A95" i="3"/>
  <c r="C94" i="3"/>
  <c r="AK94" i="3"/>
  <c r="R94" i="3"/>
  <c r="AM94" i="3"/>
  <c r="Q94" i="3"/>
  <c r="S94" i="3"/>
  <c r="AD94" i="3"/>
  <c r="P94" i="3"/>
  <c r="M94" i="3"/>
  <c r="U94" i="3"/>
  <c r="O94" i="3"/>
  <c r="AE94" i="3"/>
  <c r="AF94" i="3"/>
  <c r="V94" i="3"/>
  <c r="D94" i="3"/>
  <c r="G94" i="3"/>
  <c r="H94" i="3" s="1"/>
  <c r="F94" i="3"/>
  <c r="BM94" i="3" s="1"/>
  <c r="T94" i="3"/>
  <c r="AT92" i="3"/>
  <c r="Y93" i="3"/>
  <c r="Z93" i="3" s="1"/>
  <c r="BN93" i="3"/>
  <c r="AO93" i="3"/>
  <c r="AH93" i="3"/>
  <c r="BD90" i="3" l="1"/>
  <c r="AN94" i="3"/>
  <c r="AY92" i="3"/>
  <c r="BN94" i="3"/>
  <c r="AU93" i="3"/>
  <c r="BC91" i="3"/>
  <c r="BG91" i="3" s="1"/>
  <c r="BH91" i="3" s="1"/>
  <c r="BI91" i="3" s="1"/>
  <c r="AT93" i="3"/>
  <c r="AW93" i="3"/>
  <c r="AG94" i="3"/>
  <c r="AV92" i="3"/>
  <c r="BA92" i="3"/>
  <c r="BB91" i="3"/>
  <c r="BF91" i="3"/>
  <c r="BJ90" i="3" s="1"/>
  <c r="BK90" i="3" s="1"/>
  <c r="BQ91" i="3"/>
  <c r="AX93" i="3"/>
  <c r="AH94" i="3"/>
  <c r="X94" i="3"/>
  <c r="A96" i="3"/>
  <c r="B95" i="3"/>
  <c r="AQ95" i="3"/>
  <c r="AR95" i="3"/>
  <c r="D95" i="3"/>
  <c r="C95" i="3"/>
  <c r="AK95" i="3"/>
  <c r="AM95" i="3"/>
  <c r="S95" i="3"/>
  <c r="Q95" i="3"/>
  <c r="O95" i="3"/>
  <c r="AD95" i="3"/>
  <c r="M95" i="3"/>
  <c r="AF95" i="3"/>
  <c r="V95" i="3"/>
  <c r="U95" i="3"/>
  <c r="P95" i="3"/>
  <c r="AE95" i="3"/>
  <c r="R95" i="3"/>
  <c r="G95" i="3"/>
  <c r="H95" i="3" s="1"/>
  <c r="F95" i="3"/>
  <c r="T95" i="3"/>
  <c r="Y94" i="3"/>
  <c r="Z94" i="3" s="1"/>
  <c r="AO94" i="3"/>
  <c r="BD91" i="3" l="1"/>
  <c r="BC92" i="3"/>
  <c r="BG92" i="3" s="1"/>
  <c r="BH92" i="3" s="1"/>
  <c r="BI92" i="3" s="1"/>
  <c r="AG95" i="3"/>
  <c r="AV93" i="3"/>
  <c r="BN95" i="3"/>
  <c r="BM95" i="3"/>
  <c r="AT94" i="3"/>
  <c r="AW94" i="3"/>
  <c r="AN95" i="3"/>
  <c r="AU94" i="3"/>
  <c r="AY93" i="3"/>
  <c r="Y95" i="3"/>
  <c r="Z95" i="3" s="1"/>
  <c r="BA93" i="3"/>
  <c r="BF93" i="3" s="1"/>
  <c r="BB92" i="3"/>
  <c r="BF92" i="3"/>
  <c r="BJ91" i="3" s="1"/>
  <c r="BK91" i="3" s="1"/>
  <c r="BQ92" i="3"/>
  <c r="AH95" i="3"/>
  <c r="X95" i="3"/>
  <c r="AX94" i="3"/>
  <c r="A97" i="3"/>
  <c r="AR96" i="3"/>
  <c r="B96" i="3"/>
  <c r="AQ96" i="3"/>
  <c r="C96" i="3"/>
  <c r="AM96" i="3"/>
  <c r="AK96" i="3"/>
  <c r="S96" i="3"/>
  <c r="R96" i="3"/>
  <c r="Q96" i="3"/>
  <c r="AD96" i="3"/>
  <c r="P96" i="3"/>
  <c r="M96" i="3"/>
  <c r="AE96" i="3"/>
  <c r="AF96" i="3"/>
  <c r="V96" i="3"/>
  <c r="O96" i="3"/>
  <c r="U96" i="3"/>
  <c r="D96" i="3"/>
  <c r="F96" i="3"/>
  <c r="G96" i="3"/>
  <c r="H96" i="3" s="1"/>
  <c r="T96" i="3"/>
  <c r="AO95" i="3"/>
  <c r="BD92" i="3" l="1"/>
  <c r="BN96" i="3"/>
  <c r="BC93" i="3"/>
  <c r="BD93" i="3" s="1"/>
  <c r="BM96" i="3"/>
  <c r="AV94" i="3"/>
  <c r="BA94" i="3"/>
  <c r="BF94" i="3" s="1"/>
  <c r="AN96" i="3"/>
  <c r="AX95" i="3"/>
  <c r="AG96" i="3"/>
  <c r="AT95" i="3"/>
  <c r="BQ93" i="3"/>
  <c r="BB93" i="3"/>
  <c r="Y96" i="3"/>
  <c r="Z96" i="3" s="1"/>
  <c r="AQ97" i="3"/>
  <c r="AR97" i="3"/>
  <c r="B97" i="3"/>
  <c r="A98" i="3"/>
  <c r="D97" i="3"/>
  <c r="C97" i="3"/>
  <c r="AM97" i="3"/>
  <c r="AK97" i="3"/>
  <c r="R97" i="3"/>
  <c r="T97" i="3"/>
  <c r="AD97" i="3"/>
  <c r="P97" i="3"/>
  <c r="M97" i="3"/>
  <c r="AF97" i="3"/>
  <c r="V97" i="3"/>
  <c r="U97" i="3"/>
  <c r="O97" i="3"/>
  <c r="AE97" i="3"/>
  <c r="Q97" i="3"/>
  <c r="G97" i="3"/>
  <c r="H97" i="3" s="1"/>
  <c r="F97" i="3"/>
  <c r="S97" i="3"/>
  <c r="AY94" i="3"/>
  <c r="AU95" i="3"/>
  <c r="AH96" i="3"/>
  <c r="AO96" i="3"/>
  <c r="X96" i="3"/>
  <c r="AW95" i="3"/>
  <c r="BJ92" i="3"/>
  <c r="BK92" i="3" s="1"/>
  <c r="BB94" i="3" l="1"/>
  <c r="BG93" i="3"/>
  <c r="BH93" i="3" s="1"/>
  <c r="BI93" i="3" s="1"/>
  <c r="BC94" i="3"/>
  <c r="BG94" i="3" s="1"/>
  <c r="BH94" i="3" s="1"/>
  <c r="BI94" i="3" s="1"/>
  <c r="BQ94" i="3"/>
  <c r="BM97" i="3"/>
  <c r="BN97" i="3"/>
  <c r="AV95" i="3"/>
  <c r="AY95" i="3"/>
  <c r="AG97" i="3"/>
  <c r="AX96" i="3"/>
  <c r="AO97" i="3"/>
  <c r="X97" i="3"/>
  <c r="B98" i="3"/>
  <c r="AQ98" i="3"/>
  <c r="AR98" i="3"/>
  <c r="A99" i="3"/>
  <c r="D98" i="3"/>
  <c r="R98" i="3"/>
  <c r="AM98" i="3"/>
  <c r="AK98" i="3"/>
  <c r="AD98" i="3"/>
  <c r="AE98" i="3"/>
  <c r="O98" i="3"/>
  <c r="V98" i="3"/>
  <c r="U98" i="3"/>
  <c r="AF98" i="3"/>
  <c r="M98" i="3"/>
  <c r="Q98" i="3"/>
  <c r="C98" i="3"/>
  <c r="G98" i="3"/>
  <c r="H98" i="3" s="1"/>
  <c r="F98" i="3"/>
  <c r="S98" i="3"/>
  <c r="P98" i="3"/>
  <c r="T98" i="3"/>
  <c r="BA95" i="3"/>
  <c r="AW96" i="3"/>
  <c r="Y97" i="3"/>
  <c r="Z97" i="3" s="1"/>
  <c r="BJ93" i="3"/>
  <c r="AU96" i="3"/>
  <c r="AH97" i="3"/>
  <c r="AN97" i="3"/>
  <c r="AT96" i="3"/>
  <c r="BK93" i="3" l="1"/>
  <c r="BM98" i="3"/>
  <c r="BD94" i="3"/>
  <c r="BN98" i="3"/>
  <c r="BC95" i="3"/>
  <c r="BD95" i="3" s="1"/>
  <c r="AU97" i="3"/>
  <c r="AX97" i="3"/>
  <c r="AY96" i="3"/>
  <c r="AO98" i="3"/>
  <c r="A100" i="3"/>
  <c r="B99" i="3"/>
  <c r="AQ99" i="3"/>
  <c r="AR99" i="3"/>
  <c r="D99" i="3"/>
  <c r="AK99" i="3"/>
  <c r="T99" i="3"/>
  <c r="S99" i="3"/>
  <c r="AM99" i="3"/>
  <c r="Q99" i="3"/>
  <c r="R99" i="3"/>
  <c r="P99" i="3"/>
  <c r="AD99" i="3"/>
  <c r="O99" i="3"/>
  <c r="AE99" i="3"/>
  <c r="V99" i="3"/>
  <c r="U99" i="3"/>
  <c r="M99" i="3"/>
  <c r="AF99" i="3"/>
  <c r="F99" i="3"/>
  <c r="G99" i="3"/>
  <c r="H99" i="3" s="1"/>
  <c r="C99" i="3"/>
  <c r="AV96" i="3"/>
  <c r="BA96" i="3"/>
  <c r="BF95" i="3"/>
  <c r="BJ94" i="3" s="1"/>
  <c r="BK94" i="3" s="1"/>
  <c r="BQ95" i="3"/>
  <c r="BB95" i="3"/>
  <c r="AT97" i="3"/>
  <c r="AG98" i="3"/>
  <c r="AW97" i="3"/>
  <c r="Y98" i="3"/>
  <c r="Z98" i="3" s="1"/>
  <c r="X98" i="3"/>
  <c r="AH98" i="3"/>
  <c r="AN98" i="3"/>
  <c r="BN99" i="3" l="1"/>
  <c r="AT98" i="3"/>
  <c r="BG95" i="3"/>
  <c r="BH95" i="3" s="1"/>
  <c r="BI95" i="3" s="1"/>
  <c r="BM99" i="3"/>
  <c r="AY97" i="3"/>
  <c r="BC96" i="3"/>
  <c r="BD96" i="3" s="1"/>
  <c r="AO99" i="3"/>
  <c r="BQ96" i="3"/>
  <c r="BB96" i="3"/>
  <c r="BF96" i="3"/>
  <c r="BJ95" i="3" s="1"/>
  <c r="BA97" i="3"/>
  <c r="AV97" i="3"/>
  <c r="Y99" i="3"/>
  <c r="Z99" i="3" s="1"/>
  <c r="A101" i="3"/>
  <c r="AR100" i="3"/>
  <c r="B100" i="3"/>
  <c r="AQ100" i="3"/>
  <c r="D100" i="3"/>
  <c r="C100" i="3"/>
  <c r="AK100" i="3"/>
  <c r="AM100" i="3"/>
  <c r="T100" i="3"/>
  <c r="S100" i="3"/>
  <c r="R100" i="3"/>
  <c r="AD100" i="3"/>
  <c r="Q100" i="3"/>
  <c r="O100" i="3"/>
  <c r="P100" i="3"/>
  <c r="M100" i="3"/>
  <c r="V100" i="3"/>
  <c r="AF100" i="3"/>
  <c r="AE100" i="3"/>
  <c r="U100" i="3"/>
  <c r="F100" i="3"/>
  <c r="G100" i="3"/>
  <c r="H100" i="3" s="1"/>
  <c r="AW98" i="3"/>
  <c r="X99" i="3"/>
  <c r="AX98" i="3"/>
  <c r="AU98" i="3"/>
  <c r="AG99" i="3"/>
  <c r="AH99" i="3"/>
  <c r="AN99" i="3"/>
  <c r="BK95" i="3" l="1"/>
  <c r="AV98" i="3"/>
  <c r="BN100" i="3"/>
  <c r="BM100" i="3"/>
  <c r="AO100" i="3"/>
  <c r="BC97" i="3"/>
  <c r="BG97" i="3" s="1"/>
  <c r="BH97" i="3" s="1"/>
  <c r="BI97" i="3" s="1"/>
  <c r="BG96" i="3"/>
  <c r="BH96" i="3" s="1"/>
  <c r="BI96" i="3" s="1"/>
  <c r="AT99" i="3"/>
  <c r="AG100" i="3"/>
  <c r="BA98" i="3"/>
  <c r="BQ98" i="3" s="1"/>
  <c r="AY98" i="3"/>
  <c r="AW99" i="3"/>
  <c r="AU99" i="3"/>
  <c r="AX99" i="3"/>
  <c r="AH100" i="3"/>
  <c r="AN100" i="3"/>
  <c r="X100" i="3"/>
  <c r="Y100" i="3"/>
  <c r="Z100" i="3" s="1"/>
  <c r="AQ101" i="3"/>
  <c r="B101" i="3"/>
  <c r="AR101" i="3"/>
  <c r="A102" i="3"/>
  <c r="C101" i="3"/>
  <c r="R101" i="3"/>
  <c r="AM101" i="3"/>
  <c r="AK101" i="3"/>
  <c r="Q101" i="3"/>
  <c r="AD101" i="3"/>
  <c r="O101" i="3"/>
  <c r="P101" i="3"/>
  <c r="AF101" i="3"/>
  <c r="AE101" i="3"/>
  <c r="U101" i="3"/>
  <c r="V101" i="3"/>
  <c r="M101" i="3"/>
  <c r="D101" i="3"/>
  <c r="F101" i="3"/>
  <c r="G101" i="3"/>
  <c r="H101" i="3" s="1"/>
  <c r="T101" i="3"/>
  <c r="S101" i="3"/>
  <c r="BB97" i="3"/>
  <c r="BQ97" i="3"/>
  <c r="BF97" i="3"/>
  <c r="BJ96" i="3" s="1"/>
  <c r="BM101" i="3" l="1"/>
  <c r="BN101" i="3"/>
  <c r="BD97" i="3"/>
  <c r="BK96" i="3"/>
  <c r="BC98" i="3"/>
  <c r="BD98" i="3" s="1"/>
  <c r="AT100" i="3"/>
  <c r="AV99" i="3"/>
  <c r="BB98" i="3"/>
  <c r="AW100" i="3"/>
  <c r="AU100" i="3"/>
  <c r="AN101" i="3"/>
  <c r="BF98" i="3"/>
  <c r="BJ97" i="3" s="1"/>
  <c r="BK97" i="3" s="1"/>
  <c r="AX100" i="3"/>
  <c r="BA99" i="3"/>
  <c r="BQ99" i="3" s="1"/>
  <c r="Y101" i="3"/>
  <c r="Z101" i="3" s="1"/>
  <c r="B102" i="3"/>
  <c r="AQ102" i="3"/>
  <c r="AR102" i="3"/>
  <c r="A103" i="3"/>
  <c r="C102" i="3"/>
  <c r="AM102" i="3"/>
  <c r="AK102" i="3"/>
  <c r="T102" i="3"/>
  <c r="Q102" i="3"/>
  <c r="O102" i="3"/>
  <c r="R102" i="3"/>
  <c r="AD102" i="3"/>
  <c r="P102" i="3"/>
  <c r="AE102" i="3"/>
  <c r="M102" i="3"/>
  <c r="AF102" i="3"/>
  <c r="V102" i="3"/>
  <c r="U102" i="3"/>
  <c r="G102" i="3"/>
  <c r="H102" i="3" s="1"/>
  <c r="D102" i="3"/>
  <c r="F102" i="3"/>
  <c r="S102" i="3"/>
  <c r="X101" i="3"/>
  <c r="AG101" i="3"/>
  <c r="AH101" i="3"/>
  <c r="AO101" i="3"/>
  <c r="AY99" i="3"/>
  <c r="BM102" i="3" l="1"/>
  <c r="BG98" i="3"/>
  <c r="BH98" i="3" s="1"/>
  <c r="BI98" i="3" s="1"/>
  <c r="AV100" i="3"/>
  <c r="BC99" i="3"/>
  <c r="BD99" i="3" s="1"/>
  <c r="AY100" i="3"/>
  <c r="BN102" i="3"/>
  <c r="AH102" i="3"/>
  <c r="BA100" i="3"/>
  <c r="BB100" i="3" s="1"/>
  <c r="AX101" i="3"/>
  <c r="BF99" i="3"/>
  <c r="BJ98" i="3" s="1"/>
  <c r="AO102" i="3"/>
  <c r="BB99" i="3"/>
  <c r="Y102" i="3"/>
  <c r="Z102" i="3" s="1"/>
  <c r="A104" i="3"/>
  <c r="B103" i="3"/>
  <c r="AQ103" i="3"/>
  <c r="AR103" i="3"/>
  <c r="D103" i="3"/>
  <c r="AK103" i="3"/>
  <c r="AM103" i="3"/>
  <c r="S103" i="3"/>
  <c r="R103" i="3"/>
  <c r="AD103" i="3"/>
  <c r="P103" i="3"/>
  <c r="O103" i="3"/>
  <c r="AE103" i="3"/>
  <c r="AF103" i="3"/>
  <c r="M103" i="3"/>
  <c r="V103" i="3"/>
  <c r="U103" i="3"/>
  <c r="Q103" i="3"/>
  <c r="C103" i="3"/>
  <c r="F103" i="3"/>
  <c r="G103" i="3"/>
  <c r="H103" i="3" s="1"/>
  <c r="BN103" i="3" s="1"/>
  <c r="T103" i="3"/>
  <c r="AW101" i="3"/>
  <c r="X102" i="3"/>
  <c r="AG102" i="3"/>
  <c r="AN102" i="3"/>
  <c r="AT101" i="3"/>
  <c r="AU101" i="3"/>
  <c r="BK98" i="3" l="1"/>
  <c r="BC100" i="3"/>
  <c r="BG100" i="3" s="1"/>
  <c r="BH100" i="3" s="1"/>
  <c r="BI100" i="3" s="1"/>
  <c r="BG99" i="3"/>
  <c r="BH99" i="3" s="1"/>
  <c r="BI99" i="3" s="1"/>
  <c r="BQ100" i="3"/>
  <c r="BM103" i="3"/>
  <c r="BF100" i="3"/>
  <c r="BJ99" i="3" s="1"/>
  <c r="AY101" i="3"/>
  <c r="AW102" i="3"/>
  <c r="AO103" i="3"/>
  <c r="AT102" i="3"/>
  <c r="AX102" i="3"/>
  <c r="AH103" i="3"/>
  <c r="Y103" i="3"/>
  <c r="Z103" i="3" s="1"/>
  <c r="A105" i="3"/>
  <c r="AR104" i="3"/>
  <c r="B104" i="3"/>
  <c r="AQ104" i="3"/>
  <c r="D104" i="3"/>
  <c r="R104" i="3"/>
  <c r="Q104" i="3"/>
  <c r="AM104" i="3"/>
  <c r="AK104" i="3"/>
  <c r="S104" i="3"/>
  <c r="AD104" i="3"/>
  <c r="P104" i="3"/>
  <c r="O104" i="3"/>
  <c r="AE104" i="3"/>
  <c r="M104" i="3"/>
  <c r="AF104" i="3"/>
  <c r="V104" i="3"/>
  <c r="U104" i="3"/>
  <c r="G104" i="3"/>
  <c r="H104" i="3" s="1"/>
  <c r="F104" i="3"/>
  <c r="C104" i="3"/>
  <c r="T104" i="3"/>
  <c r="X103" i="3"/>
  <c r="AG103" i="3"/>
  <c r="AN103" i="3"/>
  <c r="BA101" i="3"/>
  <c r="AV101" i="3"/>
  <c r="AU102" i="3"/>
  <c r="BD100" i="3" l="1"/>
  <c r="BN104" i="3"/>
  <c r="BK99" i="3"/>
  <c r="BM104" i="3"/>
  <c r="BC101" i="3"/>
  <c r="BD101" i="3" s="1"/>
  <c r="AV102" i="3"/>
  <c r="AU103" i="3"/>
  <c r="AG104" i="3"/>
  <c r="AY102" i="3"/>
  <c r="AT103" i="3"/>
  <c r="AX103" i="3"/>
  <c r="AN104" i="3"/>
  <c r="BA102" i="3"/>
  <c r="BB102" i="3" s="1"/>
  <c r="Y104" i="3"/>
  <c r="Z104" i="3" s="1"/>
  <c r="BQ101" i="3"/>
  <c r="BF101" i="3"/>
  <c r="BJ100" i="3" s="1"/>
  <c r="BK100" i="3" s="1"/>
  <c r="BB101" i="3"/>
  <c r="AQ105" i="3"/>
  <c r="AR105" i="3"/>
  <c r="B105" i="3"/>
  <c r="A106" i="3"/>
  <c r="C105" i="3"/>
  <c r="R105" i="3"/>
  <c r="AK105" i="3"/>
  <c r="AM105" i="3"/>
  <c r="Q105" i="3"/>
  <c r="AD105" i="3"/>
  <c r="O105" i="3"/>
  <c r="P105" i="3"/>
  <c r="M105" i="3"/>
  <c r="AE105" i="3"/>
  <c r="U105" i="3"/>
  <c r="V105" i="3"/>
  <c r="AF105" i="3"/>
  <c r="D105" i="3"/>
  <c r="G105" i="3"/>
  <c r="H105" i="3" s="1"/>
  <c r="F105" i="3"/>
  <c r="S105" i="3"/>
  <c r="T105" i="3"/>
  <c r="AW103" i="3"/>
  <c r="X104" i="3"/>
  <c r="AH104" i="3"/>
  <c r="AO104" i="3"/>
  <c r="BG101" i="3" l="1"/>
  <c r="BH101" i="3" s="1"/>
  <c r="BI101" i="3" s="1"/>
  <c r="BM105" i="3"/>
  <c r="AG105" i="3"/>
  <c r="AN105" i="3"/>
  <c r="AU104" i="3"/>
  <c r="BC102" i="3"/>
  <c r="BG102" i="3" s="1"/>
  <c r="BH102" i="3" s="1"/>
  <c r="BI102" i="3" s="1"/>
  <c r="AT104" i="3"/>
  <c r="AV103" i="3"/>
  <c r="BQ102" i="3"/>
  <c r="BA103" i="3"/>
  <c r="BF103" i="3" s="1"/>
  <c r="BF102" i="3"/>
  <c r="BJ101" i="3" s="1"/>
  <c r="AW104" i="3"/>
  <c r="Y105" i="3"/>
  <c r="Z105" i="3" s="1"/>
  <c r="AX104" i="3"/>
  <c r="AY103" i="3"/>
  <c r="X105" i="3"/>
  <c r="BN105" i="3"/>
  <c r="AO105" i="3"/>
  <c r="B106" i="3"/>
  <c r="AQ106" i="3"/>
  <c r="AR106" i="3"/>
  <c r="A107" i="3"/>
  <c r="D106" i="3"/>
  <c r="AM106" i="3"/>
  <c r="AK106" i="3"/>
  <c r="R106" i="3"/>
  <c r="Q106" i="3"/>
  <c r="S106" i="3"/>
  <c r="AD106" i="3"/>
  <c r="P106" i="3"/>
  <c r="O106" i="3"/>
  <c r="AF106" i="3"/>
  <c r="AE106" i="3"/>
  <c r="V106" i="3"/>
  <c r="M106" i="3"/>
  <c r="U106" i="3"/>
  <c r="C106" i="3"/>
  <c r="G106" i="3"/>
  <c r="H106" i="3" s="1"/>
  <c r="F106" i="3"/>
  <c r="T106" i="3"/>
  <c r="AH105" i="3"/>
  <c r="BK101" i="3" l="1"/>
  <c r="AV104" i="3"/>
  <c r="BM106" i="3"/>
  <c r="BN106" i="3"/>
  <c r="BD102" i="3"/>
  <c r="BQ103" i="3"/>
  <c r="AN106" i="3"/>
  <c r="AX105" i="3"/>
  <c r="Y106" i="3"/>
  <c r="Z106" i="3" s="1"/>
  <c r="BC103" i="3"/>
  <c r="BD103" i="3" s="1"/>
  <c r="AY104" i="3"/>
  <c r="BB103" i="3"/>
  <c r="BJ102" i="3"/>
  <c r="BK102" i="3" s="1"/>
  <c r="BA104" i="3"/>
  <c r="BQ104" i="3" s="1"/>
  <c r="X106" i="3"/>
  <c r="AG106" i="3"/>
  <c r="AH106" i="3"/>
  <c r="AO106" i="3"/>
  <c r="A108" i="3"/>
  <c r="B107" i="3"/>
  <c r="AQ107" i="3"/>
  <c r="AR107" i="3"/>
  <c r="D107" i="3"/>
  <c r="AM107" i="3"/>
  <c r="S107" i="3"/>
  <c r="R107" i="3"/>
  <c r="Q107" i="3"/>
  <c r="C107" i="3"/>
  <c r="AK107" i="3"/>
  <c r="AD107" i="3"/>
  <c r="O107" i="3"/>
  <c r="M107" i="3"/>
  <c r="AF107" i="3"/>
  <c r="AE107" i="3"/>
  <c r="V107" i="3"/>
  <c r="U107" i="3"/>
  <c r="G107" i="3"/>
  <c r="H107" i="3" s="1"/>
  <c r="F107" i="3"/>
  <c r="T107" i="3"/>
  <c r="P107" i="3"/>
  <c r="AT105" i="3"/>
  <c r="AW105" i="3"/>
  <c r="AU105" i="3"/>
  <c r="BM107" i="3" l="1"/>
  <c r="BN107" i="3"/>
  <c r="BC104" i="3"/>
  <c r="BG104" i="3" s="1"/>
  <c r="BH104" i="3" s="1"/>
  <c r="BI104" i="3" s="1"/>
  <c r="AN107" i="3"/>
  <c r="AY105" i="3"/>
  <c r="BF104" i="3"/>
  <c r="BJ103" i="3" s="1"/>
  <c r="BG103" i="3"/>
  <c r="BH103" i="3" s="1"/>
  <c r="BI103" i="3" s="1"/>
  <c r="AU106" i="3"/>
  <c r="BB104" i="3"/>
  <c r="AG107" i="3"/>
  <c r="AX106" i="3"/>
  <c r="BA105" i="3"/>
  <c r="BQ105" i="3" s="1"/>
  <c r="Y107" i="3"/>
  <c r="Z107" i="3" s="1"/>
  <c r="AH107" i="3"/>
  <c r="A109" i="3"/>
  <c r="AR108" i="3"/>
  <c r="B108" i="3"/>
  <c r="AQ108" i="3"/>
  <c r="R108" i="3"/>
  <c r="C108" i="3"/>
  <c r="AM108" i="3"/>
  <c r="AK108" i="3"/>
  <c r="Q108" i="3"/>
  <c r="AD108" i="3"/>
  <c r="O108" i="3"/>
  <c r="P108" i="3"/>
  <c r="AE108" i="3"/>
  <c r="M108" i="3"/>
  <c r="AF108" i="3"/>
  <c r="V108" i="3"/>
  <c r="U108" i="3"/>
  <c r="D108" i="3"/>
  <c r="F108" i="3"/>
  <c r="G108" i="3"/>
  <c r="H108" i="3" s="1"/>
  <c r="S108" i="3"/>
  <c r="T108" i="3"/>
  <c r="X107" i="3"/>
  <c r="AV105" i="3"/>
  <c r="AO107" i="3"/>
  <c r="AT106" i="3"/>
  <c r="AW106" i="3"/>
  <c r="BN108" i="3" l="1"/>
  <c r="BD104" i="3"/>
  <c r="AU107" i="3"/>
  <c r="BK103" i="3"/>
  <c r="BC105" i="3"/>
  <c r="BG105" i="3" s="1"/>
  <c r="BH105" i="3" s="1"/>
  <c r="BI105" i="3" s="1"/>
  <c r="AY106" i="3"/>
  <c r="AW107" i="3"/>
  <c r="AO108" i="3"/>
  <c r="BF105" i="3"/>
  <c r="BJ104" i="3" s="1"/>
  <c r="BK104" i="3" s="1"/>
  <c r="BB105" i="3"/>
  <c r="AV106" i="3"/>
  <c r="BA106" i="3"/>
  <c r="AQ109" i="3"/>
  <c r="B109" i="3"/>
  <c r="AR109" i="3"/>
  <c r="A110" i="3"/>
  <c r="AM109" i="3"/>
  <c r="T109" i="3"/>
  <c r="Q109" i="3"/>
  <c r="D109" i="3"/>
  <c r="AK109" i="3"/>
  <c r="S109" i="3"/>
  <c r="P109" i="3"/>
  <c r="R109" i="3"/>
  <c r="AD109" i="3"/>
  <c r="O109" i="3"/>
  <c r="M109" i="3"/>
  <c r="AF109" i="3"/>
  <c r="U109" i="3"/>
  <c r="AE109" i="3"/>
  <c r="V109" i="3"/>
  <c r="C109" i="3"/>
  <c r="F109" i="3"/>
  <c r="G109" i="3"/>
  <c r="H109" i="3" s="1"/>
  <c r="X108" i="3"/>
  <c r="BM108" i="3"/>
  <c r="AH108" i="3"/>
  <c r="AG108" i="3"/>
  <c r="AN108" i="3"/>
  <c r="AT107" i="3"/>
  <c r="Y108" i="3"/>
  <c r="Z108" i="3" s="1"/>
  <c r="AX107" i="3"/>
  <c r="BN109" i="3" l="1"/>
  <c r="BD105" i="3"/>
  <c r="BM109" i="3"/>
  <c r="AO109" i="3"/>
  <c r="AY107" i="3"/>
  <c r="BC106" i="3"/>
  <c r="BG106" i="3" s="1"/>
  <c r="BH106" i="3" s="1"/>
  <c r="BI106" i="3" s="1"/>
  <c r="AW108" i="3"/>
  <c r="AT108" i="3"/>
  <c r="AH109" i="3"/>
  <c r="Y109" i="3"/>
  <c r="Z109" i="3" s="1"/>
  <c r="B110" i="3"/>
  <c r="AQ110" i="3"/>
  <c r="AR110" i="3"/>
  <c r="A111" i="3"/>
  <c r="C110" i="3"/>
  <c r="D110" i="3"/>
  <c r="AM110" i="3"/>
  <c r="AK110" i="3"/>
  <c r="T110" i="3"/>
  <c r="Q110" i="3"/>
  <c r="S110" i="3"/>
  <c r="R110" i="3"/>
  <c r="AD110" i="3"/>
  <c r="P110" i="3"/>
  <c r="O110" i="3"/>
  <c r="AE110" i="3"/>
  <c r="AF110" i="3"/>
  <c r="V110" i="3"/>
  <c r="M110" i="3"/>
  <c r="U110" i="3"/>
  <c r="F110" i="3"/>
  <c r="G110" i="3"/>
  <c r="H110" i="3" s="1"/>
  <c r="BN110" i="3" s="1"/>
  <c r="BQ106" i="3"/>
  <c r="BF106" i="3"/>
  <c r="BJ105" i="3" s="1"/>
  <c r="BK105" i="3" s="1"/>
  <c r="BB106" i="3"/>
  <c r="AU108" i="3"/>
  <c r="AN109" i="3"/>
  <c r="AX108" i="3"/>
  <c r="X109" i="3"/>
  <c r="AG109" i="3"/>
  <c r="AV107" i="3"/>
  <c r="BA107" i="3"/>
  <c r="BM110" i="3" l="1"/>
  <c r="BD106" i="3"/>
  <c r="BA108" i="3"/>
  <c r="BQ108" i="3" s="1"/>
  <c r="AV108" i="3"/>
  <c r="BC107" i="3"/>
  <c r="BD107" i="3" s="1"/>
  <c r="AX109" i="3"/>
  <c r="AN110" i="3"/>
  <c r="AU109" i="3"/>
  <c r="AW109" i="3"/>
  <c r="BB107" i="3"/>
  <c r="BQ107" i="3"/>
  <c r="BF107" i="3"/>
  <c r="BJ106" i="3" s="1"/>
  <c r="BK106" i="3" s="1"/>
  <c r="Y110" i="3"/>
  <c r="Z110" i="3" s="1"/>
  <c r="A112" i="3"/>
  <c r="B111" i="3"/>
  <c r="AQ111" i="3"/>
  <c r="AR111" i="3"/>
  <c r="AK111" i="3"/>
  <c r="R111" i="3"/>
  <c r="AM111" i="3"/>
  <c r="C111" i="3"/>
  <c r="AD111" i="3"/>
  <c r="T111" i="3"/>
  <c r="Q111" i="3"/>
  <c r="O111" i="3"/>
  <c r="P111" i="3"/>
  <c r="AE111" i="3"/>
  <c r="AF111" i="3"/>
  <c r="M111" i="3"/>
  <c r="V111" i="3"/>
  <c r="U111" i="3"/>
  <c r="D111" i="3"/>
  <c r="G111" i="3"/>
  <c r="H111" i="3" s="1"/>
  <c r="F111" i="3"/>
  <c r="S111" i="3"/>
  <c r="AH110" i="3"/>
  <c r="AT109" i="3"/>
  <c r="AY108" i="3"/>
  <c r="AG110" i="3"/>
  <c r="AO110" i="3"/>
  <c r="X110" i="3"/>
  <c r="AN111" i="3" l="1"/>
  <c r="BB108" i="3"/>
  <c r="BC108" i="3"/>
  <c r="BD108" i="3" s="1"/>
  <c r="BF108" i="3"/>
  <c r="BJ107" i="3" s="1"/>
  <c r="BG107" i="3"/>
  <c r="BH107" i="3" s="1"/>
  <c r="BI107" i="3" s="1"/>
  <c r="AY109" i="3"/>
  <c r="AT110" i="3"/>
  <c r="BM111" i="3"/>
  <c r="AH111" i="3"/>
  <c r="A113" i="3"/>
  <c r="AR112" i="3"/>
  <c r="B112" i="3"/>
  <c r="AQ112" i="3"/>
  <c r="D112" i="3"/>
  <c r="C112" i="3"/>
  <c r="S112" i="3"/>
  <c r="Q112" i="3"/>
  <c r="AM112" i="3"/>
  <c r="AK112" i="3"/>
  <c r="AD112" i="3"/>
  <c r="P112" i="3"/>
  <c r="T112" i="3"/>
  <c r="R112" i="3"/>
  <c r="O112" i="3"/>
  <c r="AE112" i="3"/>
  <c r="M112" i="3"/>
  <c r="AF112" i="3"/>
  <c r="U112" i="3"/>
  <c r="V112" i="3"/>
  <c r="G112" i="3"/>
  <c r="H112" i="3" s="1"/>
  <c r="F112" i="3"/>
  <c r="BM112" i="3" s="1"/>
  <c r="AV109" i="3"/>
  <c r="BA109" i="3"/>
  <c r="Y111" i="3"/>
  <c r="Z111" i="3" s="1"/>
  <c r="BN111" i="3"/>
  <c r="AX110" i="3"/>
  <c r="AU110" i="3"/>
  <c r="AW110" i="3"/>
  <c r="X111" i="3"/>
  <c r="AG111" i="3"/>
  <c r="AO111" i="3"/>
  <c r="BN112" i="3" l="1"/>
  <c r="BK107" i="3"/>
  <c r="AV110" i="3"/>
  <c r="BG108" i="3"/>
  <c r="BH108" i="3" s="1"/>
  <c r="BI108" i="3" s="1"/>
  <c r="BC109" i="3"/>
  <c r="BG109" i="3" s="1"/>
  <c r="BH109" i="3" s="1"/>
  <c r="BI109" i="3" s="1"/>
  <c r="AT111" i="3"/>
  <c r="AO112" i="3"/>
  <c r="AY110" i="3"/>
  <c r="AG112" i="3"/>
  <c r="AX111" i="3"/>
  <c r="BA110" i="3"/>
  <c r="BQ110" i="3" s="1"/>
  <c r="Y112" i="3"/>
  <c r="Z112" i="3" s="1"/>
  <c r="AQ113" i="3"/>
  <c r="AR113" i="3"/>
  <c r="B113" i="3"/>
  <c r="A114" i="3"/>
  <c r="D113" i="3"/>
  <c r="AM113" i="3"/>
  <c r="R113" i="3"/>
  <c r="AK113" i="3"/>
  <c r="Q113" i="3"/>
  <c r="S113" i="3"/>
  <c r="AD113" i="3"/>
  <c r="O113" i="3"/>
  <c r="M113" i="3"/>
  <c r="AF113" i="3"/>
  <c r="P113" i="3"/>
  <c r="AE113" i="3"/>
  <c r="V113" i="3"/>
  <c r="U113" i="3"/>
  <c r="F113" i="3"/>
  <c r="G113" i="3"/>
  <c r="H113" i="3" s="1"/>
  <c r="C113" i="3"/>
  <c r="T113" i="3"/>
  <c r="AW111" i="3"/>
  <c r="AU111" i="3"/>
  <c r="AH112" i="3"/>
  <c r="AN112" i="3"/>
  <c r="BF109" i="3"/>
  <c r="BJ108" i="3" s="1"/>
  <c r="BQ109" i="3"/>
  <c r="BB109" i="3"/>
  <c r="X112" i="3"/>
  <c r="BK108" i="3" l="1"/>
  <c r="AO113" i="3"/>
  <c r="AT112" i="3"/>
  <c r="BD109" i="3"/>
  <c r="BC110" i="3"/>
  <c r="BD110" i="3" s="1"/>
  <c r="AU112" i="3"/>
  <c r="AV111" i="3"/>
  <c r="BB110" i="3"/>
  <c r="BN113" i="3"/>
  <c r="AW112" i="3"/>
  <c r="AY111" i="3"/>
  <c r="BA111" i="3"/>
  <c r="BQ111" i="3" s="1"/>
  <c r="AG113" i="3"/>
  <c r="X113" i="3"/>
  <c r="BF110" i="3"/>
  <c r="BJ109" i="3" s="1"/>
  <c r="BK109" i="3" s="1"/>
  <c r="Y113" i="3"/>
  <c r="Z113" i="3" s="1"/>
  <c r="B114" i="3"/>
  <c r="AQ114" i="3"/>
  <c r="AR114" i="3"/>
  <c r="A115" i="3"/>
  <c r="T114" i="3"/>
  <c r="C114" i="3"/>
  <c r="AM114" i="3"/>
  <c r="AK114" i="3"/>
  <c r="P114" i="3"/>
  <c r="Q114" i="3"/>
  <c r="AD114" i="3"/>
  <c r="O114" i="3"/>
  <c r="AE114" i="3"/>
  <c r="AF114" i="3"/>
  <c r="M114" i="3"/>
  <c r="U114" i="3"/>
  <c r="V114" i="3"/>
  <c r="R114" i="3"/>
  <c r="D114" i="3"/>
  <c r="G114" i="3"/>
  <c r="H114" i="3" s="1"/>
  <c r="F114" i="3"/>
  <c r="S114" i="3"/>
  <c r="AN113" i="3"/>
  <c r="AX112" i="3"/>
  <c r="BM113" i="3"/>
  <c r="AH113" i="3"/>
  <c r="AY112" i="3" l="1"/>
  <c r="BC111" i="3"/>
  <c r="BD111" i="3" s="1"/>
  <c r="AV112" i="3"/>
  <c r="BG110" i="3"/>
  <c r="BH110" i="3" s="1"/>
  <c r="BI110" i="3" s="1"/>
  <c r="BM114" i="3"/>
  <c r="BN114" i="3"/>
  <c r="BB111" i="3"/>
  <c r="BF111" i="3"/>
  <c r="BJ110" i="3" s="1"/>
  <c r="AO114" i="3"/>
  <c r="AX113" i="3"/>
  <c r="AW113" i="3"/>
  <c r="AU113" i="3"/>
  <c r="AT113" i="3"/>
  <c r="X114" i="3"/>
  <c r="Y114" i="3"/>
  <c r="Z114" i="3" s="1"/>
  <c r="BA112" i="3"/>
  <c r="AG114" i="3"/>
  <c r="AH114" i="3"/>
  <c r="AN114" i="3"/>
  <c r="A116" i="3"/>
  <c r="B115" i="3"/>
  <c r="AQ115" i="3"/>
  <c r="AR115" i="3"/>
  <c r="C115" i="3"/>
  <c r="AK115" i="3"/>
  <c r="S115" i="3"/>
  <c r="AM115" i="3"/>
  <c r="Q115" i="3"/>
  <c r="AD115" i="3"/>
  <c r="R115" i="3"/>
  <c r="P115" i="3"/>
  <c r="M115" i="3"/>
  <c r="AE115" i="3"/>
  <c r="O115" i="3"/>
  <c r="AF115" i="3"/>
  <c r="V115" i="3"/>
  <c r="U115" i="3"/>
  <c r="D115" i="3"/>
  <c r="G115" i="3"/>
  <c r="H115" i="3" s="1"/>
  <c r="F115" i="3"/>
  <c r="T115" i="3"/>
  <c r="BK110" i="3" l="1"/>
  <c r="BM115" i="3"/>
  <c r="BC112" i="3"/>
  <c r="BG112" i="3" s="1"/>
  <c r="BH112" i="3" s="1"/>
  <c r="BI112" i="3" s="1"/>
  <c r="BG111" i="3"/>
  <c r="BH111" i="3" s="1"/>
  <c r="BI111" i="3" s="1"/>
  <c r="BN115" i="3"/>
  <c r="AV113" i="3"/>
  <c r="AY113" i="3"/>
  <c r="AN115" i="3"/>
  <c r="BA113" i="3"/>
  <c r="BF113" i="3" s="1"/>
  <c r="Y115" i="3"/>
  <c r="Z115" i="3" s="1"/>
  <c r="AT114" i="3"/>
  <c r="AU114" i="3"/>
  <c r="AX114" i="3"/>
  <c r="BB112" i="3"/>
  <c r="BF112" i="3"/>
  <c r="BQ112" i="3"/>
  <c r="AG115" i="3"/>
  <c r="AH115" i="3"/>
  <c r="AO115" i="3"/>
  <c r="A117" i="3"/>
  <c r="AR116" i="3"/>
  <c r="B116" i="3"/>
  <c r="AQ116" i="3"/>
  <c r="C116" i="3"/>
  <c r="AK116" i="3"/>
  <c r="S116" i="3"/>
  <c r="R116" i="3"/>
  <c r="AM116" i="3"/>
  <c r="Q116" i="3"/>
  <c r="AD116" i="3"/>
  <c r="P116" i="3"/>
  <c r="O116" i="3"/>
  <c r="M116" i="3"/>
  <c r="AE116" i="3"/>
  <c r="AF116" i="3"/>
  <c r="U116" i="3"/>
  <c r="V116" i="3"/>
  <c r="G116" i="3"/>
  <c r="H116" i="3" s="1"/>
  <c r="F116" i="3"/>
  <c r="D116" i="3"/>
  <c r="T116" i="3"/>
  <c r="X115" i="3"/>
  <c r="AW114" i="3"/>
  <c r="BD112" i="3" l="1"/>
  <c r="BB113" i="3"/>
  <c r="BM116" i="3"/>
  <c r="BC113" i="3"/>
  <c r="BD113" i="3" s="1"/>
  <c r="AT115" i="3"/>
  <c r="AY114" i="3"/>
  <c r="BQ113" i="3"/>
  <c r="AO116" i="3"/>
  <c r="AV114" i="3"/>
  <c r="AU115" i="3"/>
  <c r="AX115" i="3"/>
  <c r="Y116" i="3"/>
  <c r="Z116" i="3" s="1"/>
  <c r="BJ112" i="3"/>
  <c r="BK112" i="3" s="1"/>
  <c r="BJ111" i="3"/>
  <c r="BK111" i="3" s="1"/>
  <c r="BA114" i="3"/>
  <c r="AQ117" i="3"/>
  <c r="B117" i="3"/>
  <c r="AR117" i="3"/>
  <c r="A118" i="3"/>
  <c r="C117" i="3"/>
  <c r="AM117" i="3"/>
  <c r="AK117" i="3"/>
  <c r="T117" i="3"/>
  <c r="R117" i="3"/>
  <c r="Q117" i="3"/>
  <c r="P117" i="3"/>
  <c r="AD117" i="3"/>
  <c r="O117" i="3"/>
  <c r="AE117" i="3"/>
  <c r="AF117" i="3"/>
  <c r="M117" i="3"/>
  <c r="U117" i="3"/>
  <c r="V117" i="3"/>
  <c r="D117" i="3"/>
  <c r="G117" i="3"/>
  <c r="H117" i="3" s="1"/>
  <c r="F117" i="3"/>
  <c r="S117" i="3"/>
  <c r="BN116" i="3"/>
  <c r="AG116" i="3"/>
  <c r="AH116" i="3"/>
  <c r="AN116" i="3"/>
  <c r="X116" i="3"/>
  <c r="AW115" i="3"/>
  <c r="BM117" i="3" l="1"/>
  <c r="BG113" i="3"/>
  <c r="BH113" i="3" s="1"/>
  <c r="BI113" i="3" s="1"/>
  <c r="AV115" i="3"/>
  <c r="BC114" i="3"/>
  <c r="BD114" i="3" s="1"/>
  <c r="AO117" i="3"/>
  <c r="AY115" i="3"/>
  <c r="AX116" i="3"/>
  <c r="AH117" i="3"/>
  <c r="B118" i="3"/>
  <c r="AQ118" i="3"/>
  <c r="AR118" i="3"/>
  <c r="A119" i="3"/>
  <c r="D118" i="3"/>
  <c r="AM118" i="3"/>
  <c r="Q118" i="3"/>
  <c r="C118" i="3"/>
  <c r="AK118" i="3"/>
  <c r="S118" i="3"/>
  <c r="R118" i="3"/>
  <c r="AD118" i="3"/>
  <c r="O118" i="3"/>
  <c r="M118" i="3"/>
  <c r="U118" i="3"/>
  <c r="P118" i="3"/>
  <c r="AE118" i="3"/>
  <c r="AF118" i="3"/>
  <c r="V118" i="3"/>
  <c r="F118" i="3"/>
  <c r="G118" i="3"/>
  <c r="H118" i="3" s="1"/>
  <c r="T118" i="3"/>
  <c r="BB114" i="3"/>
  <c r="BF114" i="3"/>
  <c r="BJ113" i="3" s="1"/>
  <c r="BQ114" i="3"/>
  <c r="AW116" i="3"/>
  <c r="X117" i="3"/>
  <c r="BN117" i="3"/>
  <c r="AG117" i="3"/>
  <c r="AN117" i="3"/>
  <c r="AU116" i="3"/>
  <c r="Y117" i="3"/>
  <c r="Z117" i="3" s="1"/>
  <c r="AT116" i="3"/>
  <c r="BA115" i="3"/>
  <c r="BK113" i="3" l="1"/>
  <c r="BN118" i="3"/>
  <c r="BM118" i="3"/>
  <c r="BC115" i="3"/>
  <c r="BD115" i="3" s="1"/>
  <c r="BG114" i="3"/>
  <c r="BH114" i="3" s="1"/>
  <c r="BI114" i="3" s="1"/>
  <c r="AT117" i="3"/>
  <c r="AX117" i="3"/>
  <c r="AY116" i="3"/>
  <c r="Y118" i="3"/>
  <c r="Z118" i="3" s="1"/>
  <c r="AU117" i="3"/>
  <c r="AN118" i="3"/>
  <c r="BA116" i="3"/>
  <c r="BF116" i="3" s="1"/>
  <c r="BB115" i="3"/>
  <c r="BF115" i="3"/>
  <c r="BJ114" i="3" s="1"/>
  <c r="BQ115" i="3"/>
  <c r="AH118" i="3"/>
  <c r="AV116" i="3"/>
  <c r="AW117" i="3"/>
  <c r="AG118" i="3"/>
  <c r="AO118" i="3"/>
  <c r="A120" i="3"/>
  <c r="B119" i="3"/>
  <c r="AQ119" i="3"/>
  <c r="AR119" i="3"/>
  <c r="D119" i="3"/>
  <c r="C119" i="3"/>
  <c r="T119" i="3"/>
  <c r="S119" i="3"/>
  <c r="AM119" i="3"/>
  <c r="AK119" i="3"/>
  <c r="Q119" i="3"/>
  <c r="R119" i="3"/>
  <c r="AD119" i="3"/>
  <c r="P119" i="3"/>
  <c r="AE119" i="3"/>
  <c r="V119" i="3"/>
  <c r="O119" i="3"/>
  <c r="M119" i="3"/>
  <c r="AF119" i="3"/>
  <c r="U119" i="3"/>
  <c r="F119" i="3"/>
  <c r="G119" i="3"/>
  <c r="H119" i="3" s="1"/>
  <c r="X118" i="3"/>
  <c r="BK114" i="3" l="1"/>
  <c r="AO119" i="3"/>
  <c r="BN119" i="3"/>
  <c r="BM119" i="3"/>
  <c r="BG115" i="3"/>
  <c r="BH115" i="3" s="1"/>
  <c r="BI115" i="3" s="1"/>
  <c r="AY117" i="3"/>
  <c r="AV117" i="3"/>
  <c r="BC116" i="3"/>
  <c r="BD116" i="3" s="1"/>
  <c r="BQ116" i="3"/>
  <c r="BA117" i="3"/>
  <c r="BF117" i="3" s="1"/>
  <c r="BJ116" i="3" s="1"/>
  <c r="BB116" i="3"/>
  <c r="AN119" i="3"/>
  <c r="AU118" i="3"/>
  <c r="Y119" i="3"/>
  <c r="Z119" i="3" s="1"/>
  <c r="A121" i="3"/>
  <c r="AR120" i="3"/>
  <c r="B120" i="3"/>
  <c r="AQ120" i="3"/>
  <c r="AM120" i="3"/>
  <c r="T120" i="3"/>
  <c r="AK120" i="3"/>
  <c r="R120" i="3"/>
  <c r="Q120" i="3"/>
  <c r="AD120" i="3"/>
  <c r="P120" i="3"/>
  <c r="O120" i="3"/>
  <c r="M120" i="3"/>
  <c r="AF120" i="3"/>
  <c r="V120" i="3"/>
  <c r="U120" i="3"/>
  <c r="AE120" i="3"/>
  <c r="C120" i="3"/>
  <c r="G120" i="3"/>
  <c r="H120" i="3" s="1"/>
  <c r="F120" i="3"/>
  <c r="D120" i="3"/>
  <c r="S120" i="3"/>
  <c r="AT118" i="3"/>
  <c r="AX118" i="3"/>
  <c r="BJ115" i="3"/>
  <c r="AG119" i="3"/>
  <c r="AH119" i="3"/>
  <c r="X119" i="3"/>
  <c r="AW118" i="3"/>
  <c r="BB117" i="3" l="1"/>
  <c r="BK115" i="3"/>
  <c r="BM120" i="3"/>
  <c r="AO120" i="3"/>
  <c r="BC117" i="3"/>
  <c r="BG117" i="3" s="1"/>
  <c r="BH117" i="3" s="1"/>
  <c r="BI117" i="3" s="1"/>
  <c r="BG116" i="3"/>
  <c r="BH116" i="3" s="1"/>
  <c r="BI116" i="3" s="1"/>
  <c r="BK116" i="3" s="1"/>
  <c r="BQ117" i="3"/>
  <c r="AT119" i="3"/>
  <c r="X120" i="3"/>
  <c r="AX119" i="3"/>
  <c r="AG120" i="3"/>
  <c r="AY118" i="3"/>
  <c r="AV118" i="3"/>
  <c r="BA118" i="3"/>
  <c r="Y120" i="3"/>
  <c r="Z120" i="3" s="1"/>
  <c r="AQ121" i="3"/>
  <c r="AR121" i="3"/>
  <c r="B121" i="3"/>
  <c r="A122" i="3"/>
  <c r="C121" i="3"/>
  <c r="AK121" i="3"/>
  <c r="Q121" i="3"/>
  <c r="AM121" i="3"/>
  <c r="T121" i="3"/>
  <c r="P121" i="3"/>
  <c r="S121" i="3"/>
  <c r="AD121" i="3"/>
  <c r="O121" i="3"/>
  <c r="AE121" i="3"/>
  <c r="M121" i="3"/>
  <c r="AF121" i="3"/>
  <c r="V121" i="3"/>
  <c r="U121" i="3"/>
  <c r="F121" i="3"/>
  <c r="R121" i="3"/>
  <c r="D121" i="3"/>
  <c r="G121" i="3"/>
  <c r="H121" i="3" s="1"/>
  <c r="AU119" i="3"/>
  <c r="AW119" i="3"/>
  <c r="BN120" i="3"/>
  <c r="AN120" i="3"/>
  <c r="AH120" i="3"/>
  <c r="AV119" i="3" l="1"/>
  <c r="AN121" i="3"/>
  <c r="BM121" i="3"/>
  <c r="BN121" i="3"/>
  <c r="BD117" i="3"/>
  <c r="AT120" i="3"/>
  <c r="AG121" i="3"/>
  <c r="BA119" i="3"/>
  <c r="BF119" i="3" s="1"/>
  <c r="AW120" i="3"/>
  <c r="AY119" i="3"/>
  <c r="BC118" i="3"/>
  <c r="BG118" i="3" s="1"/>
  <c r="BH118" i="3" s="1"/>
  <c r="BI118" i="3" s="1"/>
  <c r="Y121" i="3"/>
  <c r="Z121" i="3" s="1"/>
  <c r="AX120" i="3"/>
  <c r="X121" i="3"/>
  <c r="AU120" i="3"/>
  <c r="B122" i="3"/>
  <c r="AQ122" i="3"/>
  <c r="AR122" i="3"/>
  <c r="A123" i="3"/>
  <c r="C122" i="3"/>
  <c r="S122" i="3"/>
  <c r="AM122" i="3"/>
  <c r="AK122" i="3"/>
  <c r="T122" i="3"/>
  <c r="O122" i="3"/>
  <c r="P122" i="3"/>
  <c r="R122" i="3"/>
  <c r="AD122" i="3"/>
  <c r="AE122" i="3"/>
  <c r="U122" i="3"/>
  <c r="M122" i="3"/>
  <c r="AF122" i="3"/>
  <c r="V122" i="3"/>
  <c r="F122" i="3"/>
  <c r="G122" i="3"/>
  <c r="H122" i="3" s="1"/>
  <c r="Q122" i="3"/>
  <c r="D122" i="3"/>
  <c r="BB118" i="3"/>
  <c r="BQ118" i="3"/>
  <c r="BF118" i="3"/>
  <c r="BJ117" i="3" s="1"/>
  <c r="BK117" i="3" s="1"/>
  <c r="AH121" i="3"/>
  <c r="AO121" i="3"/>
  <c r="BM122" i="3" l="1"/>
  <c r="BC119" i="3"/>
  <c r="BG119" i="3" s="1"/>
  <c r="BH119" i="3" s="1"/>
  <c r="BI119" i="3" s="1"/>
  <c r="BN122" i="3"/>
  <c r="BB119" i="3"/>
  <c r="BD118" i="3"/>
  <c r="BQ119" i="3"/>
  <c r="BA120" i="3"/>
  <c r="BQ120" i="3" s="1"/>
  <c r="AY120" i="3"/>
  <c r="AX121" i="3"/>
  <c r="AO122" i="3"/>
  <c r="AV120" i="3"/>
  <c r="AG122" i="3"/>
  <c r="AH122" i="3"/>
  <c r="AN122" i="3"/>
  <c r="X122" i="3"/>
  <c r="AT121" i="3"/>
  <c r="Y122" i="3"/>
  <c r="Z122" i="3" s="1"/>
  <c r="A124" i="3"/>
  <c r="B123" i="3"/>
  <c r="AQ123" i="3"/>
  <c r="AR123" i="3"/>
  <c r="C123" i="3"/>
  <c r="AM123" i="3"/>
  <c r="AK123" i="3"/>
  <c r="R123" i="3"/>
  <c r="AD123" i="3"/>
  <c r="S123" i="3"/>
  <c r="Q123" i="3"/>
  <c r="P123" i="3"/>
  <c r="AE123" i="3"/>
  <c r="O123" i="3"/>
  <c r="V123" i="3"/>
  <c r="AF123" i="3"/>
  <c r="M123" i="3"/>
  <c r="U123" i="3"/>
  <c r="D123" i="3"/>
  <c r="F123" i="3"/>
  <c r="G123" i="3"/>
  <c r="H123" i="3" s="1"/>
  <c r="T123" i="3"/>
  <c r="BJ118" i="3"/>
  <c r="BK118" i="3" s="1"/>
  <c r="AU121" i="3"/>
  <c r="AW121" i="3"/>
  <c r="BN123" i="3" l="1"/>
  <c r="BD119" i="3"/>
  <c r="AU122" i="3"/>
  <c r="BB120" i="3"/>
  <c r="BM123" i="3"/>
  <c r="BF120" i="3"/>
  <c r="BJ119" i="3" s="1"/>
  <c r="BK119" i="3" s="1"/>
  <c r="BC120" i="3"/>
  <c r="BD120" i="3" s="1"/>
  <c r="AY121" i="3"/>
  <c r="AN123" i="3"/>
  <c r="AX122" i="3"/>
  <c r="AW122" i="3"/>
  <c r="Y123" i="3"/>
  <c r="Z123" i="3" s="1"/>
  <c r="A125" i="3"/>
  <c r="AR124" i="3"/>
  <c r="B124" i="3"/>
  <c r="AQ124" i="3"/>
  <c r="D124" i="3"/>
  <c r="AM124" i="3"/>
  <c r="T124" i="3"/>
  <c r="AK124" i="3"/>
  <c r="AD124" i="3"/>
  <c r="P124" i="3"/>
  <c r="AE124" i="3"/>
  <c r="M124" i="3"/>
  <c r="AF124" i="3"/>
  <c r="V124" i="3"/>
  <c r="U124" i="3"/>
  <c r="O124" i="3"/>
  <c r="C124" i="3"/>
  <c r="G124" i="3"/>
  <c r="H124" i="3" s="1"/>
  <c r="R124" i="3"/>
  <c r="Q124" i="3"/>
  <c r="F124" i="3"/>
  <c r="S124" i="3"/>
  <c r="AG123" i="3"/>
  <c r="AH123" i="3"/>
  <c r="AO123" i="3"/>
  <c r="X123" i="3"/>
  <c r="AT122" i="3"/>
  <c r="BA121" i="3"/>
  <c r="AV121" i="3"/>
  <c r="BM124" i="3" l="1"/>
  <c r="AO124" i="3"/>
  <c r="BN124" i="3"/>
  <c r="AY122" i="3"/>
  <c r="BG120" i="3"/>
  <c r="BH120" i="3" s="1"/>
  <c r="BI120" i="3" s="1"/>
  <c r="AU123" i="3"/>
  <c r="BC121" i="3"/>
  <c r="BD121" i="3" s="1"/>
  <c r="AT123" i="3"/>
  <c r="X124" i="3"/>
  <c r="BA122" i="3"/>
  <c r="AV122" i="3"/>
  <c r="Y124" i="3"/>
  <c r="Z124" i="3" s="1"/>
  <c r="AQ125" i="3"/>
  <c r="B125" i="3"/>
  <c r="AR125" i="3"/>
  <c r="A126" i="3"/>
  <c r="AM125" i="3"/>
  <c r="S125" i="3"/>
  <c r="AK125" i="3"/>
  <c r="R125" i="3"/>
  <c r="Q125" i="3"/>
  <c r="AD125" i="3"/>
  <c r="P125" i="3"/>
  <c r="O125" i="3"/>
  <c r="V125" i="3"/>
  <c r="U125" i="3"/>
  <c r="AE125" i="3"/>
  <c r="AF125" i="3"/>
  <c r="M125" i="3"/>
  <c r="C125" i="3"/>
  <c r="D125" i="3"/>
  <c r="G125" i="3"/>
  <c r="H125" i="3" s="1"/>
  <c r="F125" i="3"/>
  <c r="T125" i="3"/>
  <c r="AW123" i="3"/>
  <c r="AN124" i="3"/>
  <c r="AX123" i="3"/>
  <c r="AG124" i="3"/>
  <c r="AH124" i="3"/>
  <c r="BB121" i="3"/>
  <c r="BF121" i="3"/>
  <c r="BQ121" i="3"/>
  <c r="AV123" i="3" l="1"/>
  <c r="AO125" i="3"/>
  <c r="BC122" i="3"/>
  <c r="BD122" i="3" s="1"/>
  <c r="BN125" i="3"/>
  <c r="BG121" i="3"/>
  <c r="BH121" i="3" s="1"/>
  <c r="BI121" i="3" s="1"/>
  <c r="AW124" i="3"/>
  <c r="AH125" i="3"/>
  <c r="AT124" i="3"/>
  <c r="X125" i="3"/>
  <c r="BJ120" i="3"/>
  <c r="BK120" i="3" s="1"/>
  <c r="BF122" i="3"/>
  <c r="BJ121" i="3" s="1"/>
  <c r="BB122" i="3"/>
  <c r="BQ122" i="3"/>
  <c r="Y125" i="3"/>
  <c r="Z125" i="3" s="1"/>
  <c r="AU124" i="3"/>
  <c r="AX124" i="3"/>
  <c r="AY123" i="3"/>
  <c r="BM125" i="3"/>
  <c r="AG125" i="3"/>
  <c r="AN125" i="3"/>
  <c r="BA123" i="3"/>
  <c r="B126" i="3"/>
  <c r="AQ126" i="3"/>
  <c r="AR126" i="3"/>
  <c r="A127" i="3"/>
  <c r="C126" i="3"/>
  <c r="AM126" i="3"/>
  <c r="R126" i="3"/>
  <c r="D126" i="3"/>
  <c r="AK126" i="3"/>
  <c r="Q126" i="3"/>
  <c r="P126" i="3"/>
  <c r="S126" i="3"/>
  <c r="AD126" i="3"/>
  <c r="O126" i="3"/>
  <c r="AE126" i="3"/>
  <c r="M126" i="3"/>
  <c r="AF126" i="3"/>
  <c r="U126" i="3"/>
  <c r="V126" i="3"/>
  <c r="G126" i="3"/>
  <c r="H126" i="3" s="1"/>
  <c r="F126" i="3"/>
  <c r="BM126" i="3" s="1"/>
  <c r="T126" i="3"/>
  <c r="BN126" i="3" l="1"/>
  <c r="BC123" i="3"/>
  <c r="BG123" i="3" s="1"/>
  <c r="BH123" i="3" s="1"/>
  <c r="BI123" i="3" s="1"/>
  <c r="AT125" i="3"/>
  <c r="BK121" i="3"/>
  <c r="BG122" i="3"/>
  <c r="BH122" i="3" s="1"/>
  <c r="BI122" i="3" s="1"/>
  <c r="AX125" i="3"/>
  <c r="AH126" i="3"/>
  <c r="BA124" i="3"/>
  <c r="BB124" i="3" s="1"/>
  <c r="AV124" i="3"/>
  <c r="AW125" i="3"/>
  <c r="AN126" i="3"/>
  <c r="AY124" i="3"/>
  <c r="A128" i="3"/>
  <c r="B127" i="3"/>
  <c r="AQ127" i="3"/>
  <c r="AR127" i="3"/>
  <c r="AM127" i="3"/>
  <c r="AK127" i="3"/>
  <c r="S127" i="3"/>
  <c r="Q127" i="3"/>
  <c r="AD127" i="3"/>
  <c r="O127" i="3"/>
  <c r="P127" i="3"/>
  <c r="AF127" i="3"/>
  <c r="M127" i="3"/>
  <c r="U127" i="3"/>
  <c r="V127" i="3"/>
  <c r="AE127" i="3"/>
  <c r="G127" i="3"/>
  <c r="H127" i="3" s="1"/>
  <c r="F127" i="3"/>
  <c r="R127" i="3"/>
  <c r="C127" i="3"/>
  <c r="D127" i="3"/>
  <c r="T127" i="3"/>
  <c r="BB123" i="3"/>
  <c r="BF123" i="3"/>
  <c r="BJ122" i="3" s="1"/>
  <c r="BQ123" i="3"/>
  <c r="Y126" i="3"/>
  <c r="Z126" i="3" s="1"/>
  <c r="AG126" i="3"/>
  <c r="AO126" i="3"/>
  <c r="X126" i="3"/>
  <c r="AU125" i="3"/>
  <c r="BD123" i="3" l="1"/>
  <c r="BK122" i="3"/>
  <c r="AY125" i="3"/>
  <c r="BN127" i="3"/>
  <c r="AN127" i="3"/>
  <c r="BF124" i="3"/>
  <c r="BJ123" i="3" s="1"/>
  <c r="BK123" i="3" s="1"/>
  <c r="BA125" i="3"/>
  <c r="BF125" i="3" s="1"/>
  <c r="BQ124" i="3"/>
  <c r="BC124" i="3"/>
  <c r="BD124" i="3" s="1"/>
  <c r="AU126" i="3"/>
  <c r="AW126" i="3"/>
  <c r="AT126" i="3"/>
  <c r="AX126" i="3"/>
  <c r="AV125" i="3"/>
  <c r="Y127" i="3"/>
  <c r="Z127" i="3" s="1"/>
  <c r="X127" i="3"/>
  <c r="BM127" i="3"/>
  <c r="AG127" i="3"/>
  <c r="AH127" i="3"/>
  <c r="AO127" i="3"/>
  <c r="A129" i="3"/>
  <c r="AR128" i="3"/>
  <c r="B128" i="3"/>
  <c r="AQ128" i="3"/>
  <c r="AK128" i="3"/>
  <c r="AM128" i="3"/>
  <c r="D128" i="3"/>
  <c r="R128" i="3"/>
  <c r="Q128" i="3"/>
  <c r="AD128" i="3"/>
  <c r="P128" i="3"/>
  <c r="O128" i="3"/>
  <c r="AE128" i="3"/>
  <c r="AF128" i="3"/>
  <c r="U128" i="3"/>
  <c r="V128" i="3"/>
  <c r="M128" i="3"/>
  <c r="G128" i="3"/>
  <c r="H128" i="3" s="1"/>
  <c r="C128" i="3"/>
  <c r="F128" i="3"/>
  <c r="S128" i="3"/>
  <c r="T128" i="3"/>
  <c r="BC125" i="3" l="1"/>
  <c r="BG125" i="3" s="1"/>
  <c r="BH125" i="3" s="1"/>
  <c r="BI125" i="3" s="1"/>
  <c r="AO128" i="3"/>
  <c r="BJ124" i="3"/>
  <c r="AY126" i="3"/>
  <c r="BG124" i="3"/>
  <c r="BH124" i="3" s="1"/>
  <c r="BI124" i="3" s="1"/>
  <c r="BQ125" i="3"/>
  <c r="AU127" i="3"/>
  <c r="BB125" i="3"/>
  <c r="AG128" i="3"/>
  <c r="AT127" i="3"/>
  <c r="X128" i="3"/>
  <c r="Y128" i="3"/>
  <c r="Z128" i="3" s="1"/>
  <c r="BM128" i="3"/>
  <c r="BN128" i="3"/>
  <c r="AH128" i="3"/>
  <c r="AN128" i="3"/>
  <c r="AX127" i="3"/>
  <c r="AQ129" i="3"/>
  <c r="AR129" i="3"/>
  <c r="B129" i="3"/>
  <c r="A130" i="3"/>
  <c r="C129" i="3"/>
  <c r="D129" i="3"/>
  <c r="AK129" i="3"/>
  <c r="T129" i="3"/>
  <c r="AM129" i="3"/>
  <c r="Q129" i="3"/>
  <c r="AD129" i="3"/>
  <c r="R129" i="3"/>
  <c r="P129" i="3"/>
  <c r="O129" i="3"/>
  <c r="AE129" i="3"/>
  <c r="M129" i="3"/>
  <c r="V129" i="3"/>
  <c r="AF129" i="3"/>
  <c r="U129" i="3"/>
  <c r="F129" i="3"/>
  <c r="G129" i="3"/>
  <c r="H129" i="3" s="1"/>
  <c r="S129" i="3"/>
  <c r="AV126" i="3"/>
  <c r="BA126" i="3"/>
  <c r="AW127" i="3"/>
  <c r="BK124" i="3" l="1"/>
  <c r="BD125" i="3"/>
  <c r="BN129" i="3"/>
  <c r="AN129" i="3"/>
  <c r="BM129" i="3"/>
  <c r="AY127" i="3"/>
  <c r="BC126" i="3"/>
  <c r="BG126" i="3" s="1"/>
  <c r="BH126" i="3" s="1"/>
  <c r="BI126" i="3" s="1"/>
  <c r="AT128" i="3"/>
  <c r="AW128" i="3"/>
  <c r="AV127" i="3"/>
  <c r="AG129" i="3"/>
  <c r="BB126" i="3"/>
  <c r="BQ126" i="3"/>
  <c r="BF126" i="3"/>
  <c r="BJ125" i="3" s="1"/>
  <c r="BK125" i="3" s="1"/>
  <c r="Y129" i="3"/>
  <c r="Z129" i="3" s="1"/>
  <c r="B130" i="3"/>
  <c r="AQ130" i="3"/>
  <c r="AR130" i="3"/>
  <c r="A131" i="3"/>
  <c r="D130" i="3"/>
  <c r="AK130" i="3"/>
  <c r="AM130" i="3"/>
  <c r="R130" i="3"/>
  <c r="Q130" i="3"/>
  <c r="O130" i="3"/>
  <c r="AD130" i="3"/>
  <c r="AE130" i="3"/>
  <c r="V130" i="3"/>
  <c r="U130" i="3"/>
  <c r="M130" i="3"/>
  <c r="AF130" i="3"/>
  <c r="F130" i="3"/>
  <c r="C130" i="3"/>
  <c r="G130" i="3"/>
  <c r="H130" i="3" s="1"/>
  <c r="T130" i="3"/>
  <c r="S130" i="3"/>
  <c r="P130" i="3"/>
  <c r="X129" i="3"/>
  <c r="AH129" i="3"/>
  <c r="BA127" i="3"/>
  <c r="AU128" i="3"/>
  <c r="AX128" i="3"/>
  <c r="AO129" i="3"/>
  <c r="BN130" i="3" l="1"/>
  <c r="BD126" i="3"/>
  <c r="BC127" i="3"/>
  <c r="BD127" i="3" s="1"/>
  <c r="BM130" i="3"/>
  <c r="AY128" i="3"/>
  <c r="AV128" i="3"/>
  <c r="AN130" i="3"/>
  <c r="X130" i="3"/>
  <c r="AH130" i="3"/>
  <c r="AQ131" i="3"/>
  <c r="B131" i="3"/>
  <c r="A132" i="3"/>
  <c r="AR131" i="3"/>
  <c r="C131" i="3"/>
  <c r="AK131" i="3"/>
  <c r="AM131" i="3"/>
  <c r="S131" i="3"/>
  <c r="T131" i="3"/>
  <c r="Q131" i="3"/>
  <c r="R131" i="3"/>
  <c r="P131" i="3"/>
  <c r="AD131" i="3"/>
  <c r="AF131" i="3"/>
  <c r="AE131" i="3"/>
  <c r="V131" i="3"/>
  <c r="U131" i="3"/>
  <c r="O131" i="3"/>
  <c r="M131" i="3"/>
  <c r="D131" i="3"/>
  <c r="F131" i="3"/>
  <c r="G131" i="3"/>
  <c r="H131" i="3" s="1"/>
  <c r="BA128" i="3"/>
  <c r="AX129" i="3"/>
  <c r="AU129" i="3"/>
  <c r="AW129" i="3"/>
  <c r="AT129" i="3"/>
  <c r="Y130" i="3"/>
  <c r="Z130" i="3" s="1"/>
  <c r="AG130" i="3"/>
  <c r="AO130" i="3"/>
  <c r="BQ127" i="3"/>
  <c r="BB127" i="3"/>
  <c r="BF127" i="3"/>
  <c r="BJ126" i="3" s="1"/>
  <c r="BK126" i="3" s="1"/>
  <c r="BM131" i="3" l="1"/>
  <c r="BN131" i="3"/>
  <c r="BG127" i="3"/>
  <c r="BH127" i="3" s="1"/>
  <c r="BI127" i="3" s="1"/>
  <c r="AU130" i="3"/>
  <c r="AG131" i="3"/>
  <c r="BC128" i="3"/>
  <c r="BD128" i="3" s="1"/>
  <c r="AO131" i="3"/>
  <c r="AY129" i="3"/>
  <c r="AT130" i="3"/>
  <c r="AX130" i="3"/>
  <c r="AW130" i="3"/>
  <c r="AN131" i="3"/>
  <c r="Y131" i="3"/>
  <c r="Z131" i="3" s="1"/>
  <c r="BA129" i="3"/>
  <c r="AV129" i="3"/>
  <c r="BQ128" i="3"/>
  <c r="BF128" i="3"/>
  <c r="BJ127" i="3" s="1"/>
  <c r="BB128" i="3"/>
  <c r="A133" i="3"/>
  <c r="B132" i="3"/>
  <c r="AR132" i="3"/>
  <c r="AQ132" i="3"/>
  <c r="C132" i="3"/>
  <c r="D132" i="3"/>
  <c r="AM132" i="3"/>
  <c r="AK132" i="3"/>
  <c r="T132" i="3"/>
  <c r="AD132" i="3"/>
  <c r="R132" i="3"/>
  <c r="Q132" i="3"/>
  <c r="O132" i="3"/>
  <c r="P132" i="3"/>
  <c r="M132" i="3"/>
  <c r="AE132" i="3"/>
  <c r="U132" i="3"/>
  <c r="V132" i="3"/>
  <c r="AF132" i="3"/>
  <c r="G132" i="3"/>
  <c r="H132" i="3" s="1"/>
  <c r="F132" i="3"/>
  <c r="S132" i="3"/>
  <c r="AH131" i="3"/>
  <c r="X131" i="3"/>
  <c r="BM132" i="3" l="1"/>
  <c r="BK127" i="3"/>
  <c r="BN132" i="3"/>
  <c r="AV130" i="3"/>
  <c r="BC129" i="3"/>
  <c r="BG129" i="3" s="1"/>
  <c r="BH129" i="3" s="1"/>
  <c r="BI129" i="3" s="1"/>
  <c r="BG128" i="3"/>
  <c r="BH128" i="3" s="1"/>
  <c r="BI128" i="3" s="1"/>
  <c r="AX131" i="3"/>
  <c r="AG132" i="3"/>
  <c r="BA130" i="3"/>
  <c r="BB130" i="3" s="1"/>
  <c r="AY130" i="3"/>
  <c r="AO132" i="3"/>
  <c r="AU131" i="3"/>
  <c r="AW131" i="3"/>
  <c r="X132" i="3"/>
  <c r="AR133" i="3"/>
  <c r="B133" i="3"/>
  <c r="AQ133" i="3"/>
  <c r="A134" i="3"/>
  <c r="C133" i="3"/>
  <c r="R133" i="3"/>
  <c r="Q133" i="3"/>
  <c r="AK133" i="3"/>
  <c r="AM133" i="3"/>
  <c r="AD133" i="3"/>
  <c r="P133" i="3"/>
  <c r="AE133" i="3"/>
  <c r="O133" i="3"/>
  <c r="V133" i="3"/>
  <c r="U133" i="3"/>
  <c r="M133" i="3"/>
  <c r="AF133" i="3"/>
  <c r="F133" i="3"/>
  <c r="D133" i="3"/>
  <c r="G133" i="3"/>
  <c r="H133" i="3" s="1"/>
  <c r="S133" i="3"/>
  <c r="T133" i="3"/>
  <c r="AN132" i="3"/>
  <c r="AT131" i="3"/>
  <c r="Y132" i="3"/>
  <c r="Z132" i="3" s="1"/>
  <c r="BQ129" i="3"/>
  <c r="BB129" i="3"/>
  <c r="BF129" i="3"/>
  <c r="BJ128" i="3" s="1"/>
  <c r="AH132" i="3"/>
  <c r="BD129" i="3" l="1"/>
  <c r="BK128" i="3"/>
  <c r="BC130" i="3"/>
  <c r="BD130" i="3" s="1"/>
  <c r="AY131" i="3"/>
  <c r="AN133" i="3"/>
  <c r="BM133" i="3"/>
  <c r="AX132" i="3"/>
  <c r="BN133" i="3"/>
  <c r="BQ130" i="3"/>
  <c r="BF130" i="3"/>
  <c r="BJ129" i="3" s="1"/>
  <c r="BK129" i="3" s="1"/>
  <c r="AU132" i="3"/>
  <c r="AW132" i="3"/>
  <c r="AT132" i="3"/>
  <c r="BA131" i="3"/>
  <c r="AV131" i="3"/>
  <c r="Y133" i="3"/>
  <c r="Z133" i="3" s="1"/>
  <c r="X133" i="3"/>
  <c r="AR134" i="3"/>
  <c r="B134" i="3"/>
  <c r="AQ134" i="3"/>
  <c r="A135" i="3"/>
  <c r="AM134" i="3"/>
  <c r="S134" i="3"/>
  <c r="T134" i="3"/>
  <c r="AK134" i="3"/>
  <c r="R134" i="3"/>
  <c r="AD134" i="3"/>
  <c r="P134" i="3"/>
  <c r="O134" i="3"/>
  <c r="AE134" i="3"/>
  <c r="AF134" i="3"/>
  <c r="V134" i="3"/>
  <c r="M134" i="3"/>
  <c r="U134" i="3"/>
  <c r="C134" i="3"/>
  <c r="D134" i="3"/>
  <c r="Q134" i="3"/>
  <c r="F134" i="3"/>
  <c r="G134" i="3"/>
  <c r="H134" i="3" s="1"/>
  <c r="AG133" i="3"/>
  <c r="AH133" i="3"/>
  <c r="AO133" i="3"/>
  <c r="BG130" i="3" l="1"/>
  <c r="BH130" i="3" s="1"/>
  <c r="BI130" i="3" s="1"/>
  <c r="AV132" i="3"/>
  <c r="BC131" i="3"/>
  <c r="BD131" i="3" s="1"/>
  <c r="BM134" i="3"/>
  <c r="AY132" i="3"/>
  <c r="AN134" i="3"/>
  <c r="BA132" i="3"/>
  <c r="BB132" i="3" s="1"/>
  <c r="AX133" i="3"/>
  <c r="AG134" i="3"/>
  <c r="Y134" i="3"/>
  <c r="Z134" i="3" s="1"/>
  <c r="BN134" i="3"/>
  <c r="AQ135" i="3"/>
  <c r="B135" i="3"/>
  <c r="A136" i="3"/>
  <c r="AR135" i="3"/>
  <c r="C135" i="3"/>
  <c r="AK135" i="3"/>
  <c r="AM135" i="3"/>
  <c r="S135" i="3"/>
  <c r="Q135" i="3"/>
  <c r="R135" i="3"/>
  <c r="AD135" i="3"/>
  <c r="P135" i="3"/>
  <c r="O135" i="3"/>
  <c r="M135" i="3"/>
  <c r="AF135" i="3"/>
  <c r="AE135" i="3"/>
  <c r="V135" i="3"/>
  <c r="U135" i="3"/>
  <c r="D135" i="3"/>
  <c r="G135" i="3"/>
  <c r="H135" i="3" s="1"/>
  <c r="F135" i="3"/>
  <c r="BM135" i="3" s="1"/>
  <c r="T135" i="3"/>
  <c r="BQ131" i="3"/>
  <c r="BB131" i="3"/>
  <c r="BF131" i="3"/>
  <c r="BJ130" i="3" s="1"/>
  <c r="AW133" i="3"/>
  <c r="X134" i="3"/>
  <c r="AH134" i="3"/>
  <c r="AO134" i="3"/>
  <c r="AT133" i="3"/>
  <c r="AU133" i="3"/>
  <c r="BK130" i="3" l="1"/>
  <c r="AU134" i="3"/>
  <c r="BC132" i="3"/>
  <c r="BD132" i="3" s="1"/>
  <c r="BG131" i="3"/>
  <c r="BH131" i="3" s="1"/>
  <c r="BI131" i="3" s="1"/>
  <c r="AX134" i="3"/>
  <c r="BN135" i="3"/>
  <c r="AO135" i="3"/>
  <c r="BQ132" i="3"/>
  <c r="BF132" i="3"/>
  <c r="BJ131" i="3" s="1"/>
  <c r="AY133" i="3"/>
  <c r="Y135" i="3"/>
  <c r="Z135" i="3" s="1"/>
  <c r="AG135" i="3"/>
  <c r="AN135" i="3"/>
  <c r="BA133" i="3"/>
  <c r="BF133" i="3" s="1"/>
  <c r="AV133" i="3"/>
  <c r="AT134" i="3"/>
  <c r="AW134" i="3"/>
  <c r="A137" i="3"/>
  <c r="B136" i="3"/>
  <c r="AR136" i="3"/>
  <c r="AQ136" i="3"/>
  <c r="D136" i="3"/>
  <c r="AK136" i="3"/>
  <c r="R136" i="3"/>
  <c r="AM136" i="3"/>
  <c r="S136" i="3"/>
  <c r="Q136" i="3"/>
  <c r="AD136" i="3"/>
  <c r="P136" i="3"/>
  <c r="AE136" i="3"/>
  <c r="AF136" i="3"/>
  <c r="M136" i="3"/>
  <c r="O136" i="3"/>
  <c r="U136" i="3"/>
  <c r="V136" i="3"/>
  <c r="C136" i="3"/>
  <c r="F136" i="3"/>
  <c r="G136" i="3"/>
  <c r="H136" i="3" s="1"/>
  <c r="T136" i="3"/>
  <c r="AH135" i="3"/>
  <c r="X135" i="3"/>
  <c r="BN136" i="3" l="1"/>
  <c r="BK131" i="3"/>
  <c r="AV134" i="3"/>
  <c r="BG132" i="3"/>
  <c r="BH132" i="3" s="1"/>
  <c r="BI132" i="3" s="1"/>
  <c r="AY134" i="3"/>
  <c r="AN136" i="3"/>
  <c r="BJ132" i="3"/>
  <c r="AX135" i="3"/>
  <c r="BC133" i="3"/>
  <c r="BD133" i="3" s="1"/>
  <c r="AT135" i="3"/>
  <c r="BA134" i="3"/>
  <c r="BQ134" i="3" s="1"/>
  <c r="AG136" i="3"/>
  <c r="BB133" i="3"/>
  <c r="BQ133" i="3"/>
  <c r="AU135" i="3"/>
  <c r="AW135" i="3"/>
  <c r="X136" i="3"/>
  <c r="AH136" i="3"/>
  <c r="Y136" i="3"/>
  <c r="Z136" i="3" s="1"/>
  <c r="BM136" i="3"/>
  <c r="AO136" i="3"/>
  <c r="AR137" i="3"/>
  <c r="B137" i="3"/>
  <c r="AQ137" i="3"/>
  <c r="A138" i="3"/>
  <c r="D137" i="3"/>
  <c r="AK137" i="3"/>
  <c r="S137" i="3"/>
  <c r="C137" i="3"/>
  <c r="AM137" i="3"/>
  <c r="R137" i="3"/>
  <c r="Q137" i="3"/>
  <c r="AD137" i="3"/>
  <c r="P137" i="3"/>
  <c r="O137" i="3"/>
  <c r="AF137" i="3"/>
  <c r="V137" i="3"/>
  <c r="AE137" i="3"/>
  <c r="M137" i="3"/>
  <c r="U137" i="3"/>
  <c r="F137" i="3"/>
  <c r="G137" i="3"/>
  <c r="H137" i="3" s="1"/>
  <c r="BN137" i="3" s="1"/>
  <c r="T137" i="3"/>
  <c r="BM137" i="3" l="1"/>
  <c r="BK132" i="3"/>
  <c r="BC134" i="3"/>
  <c r="BD134" i="3" s="1"/>
  <c r="AY135" i="3"/>
  <c r="BG133" i="3"/>
  <c r="BH133" i="3" s="1"/>
  <c r="BI133" i="3" s="1"/>
  <c r="AV135" i="3"/>
  <c r="AU136" i="3"/>
  <c r="AT136" i="3"/>
  <c r="BB134" i="3"/>
  <c r="BF134" i="3"/>
  <c r="BJ133" i="3" s="1"/>
  <c r="AW136" i="3"/>
  <c r="AO137" i="3"/>
  <c r="BA135" i="3"/>
  <c r="BB135" i="3" s="1"/>
  <c r="Y137" i="3"/>
  <c r="Z137" i="3" s="1"/>
  <c r="AG137" i="3"/>
  <c r="AH137" i="3"/>
  <c r="AN137" i="3"/>
  <c r="AX136" i="3"/>
  <c r="AR138" i="3"/>
  <c r="B138" i="3"/>
  <c r="AQ138" i="3"/>
  <c r="A139" i="3"/>
  <c r="AK138" i="3"/>
  <c r="R138" i="3"/>
  <c r="AM138" i="3"/>
  <c r="Q138" i="3"/>
  <c r="AD138" i="3"/>
  <c r="P138" i="3"/>
  <c r="AE138" i="3"/>
  <c r="U138" i="3"/>
  <c r="V138" i="3"/>
  <c r="O138" i="3"/>
  <c r="M138" i="3"/>
  <c r="AF138" i="3"/>
  <c r="F138" i="3"/>
  <c r="C138" i="3"/>
  <c r="D138" i="3"/>
  <c r="G138" i="3"/>
  <c r="H138" i="3" s="1"/>
  <c r="T138" i="3"/>
  <c r="S138" i="3"/>
  <c r="X137" i="3"/>
  <c r="BG134" i="3" l="1"/>
  <c r="BH134" i="3" s="1"/>
  <c r="BI134" i="3" s="1"/>
  <c r="BC135" i="3"/>
  <c r="BD135" i="3" s="1"/>
  <c r="BK133" i="3"/>
  <c r="AN138" i="3"/>
  <c r="AV136" i="3"/>
  <c r="BM138" i="3"/>
  <c r="BA136" i="3"/>
  <c r="BB136" i="3" s="1"/>
  <c r="BQ135" i="3"/>
  <c r="AG138" i="3"/>
  <c r="BF135" i="3"/>
  <c r="BJ134" i="3" s="1"/>
  <c r="AT137" i="3"/>
  <c r="AU137" i="3"/>
  <c r="Y138" i="3"/>
  <c r="Z138" i="3" s="1"/>
  <c r="AH138" i="3"/>
  <c r="AO138" i="3"/>
  <c r="AX137" i="3"/>
  <c r="AY136" i="3"/>
  <c r="AQ139" i="3"/>
  <c r="B139" i="3"/>
  <c r="A140" i="3"/>
  <c r="AR139" i="3"/>
  <c r="C139" i="3"/>
  <c r="R139" i="3"/>
  <c r="D139" i="3"/>
  <c r="AK139" i="3"/>
  <c r="AM139" i="3"/>
  <c r="S139" i="3"/>
  <c r="T139" i="3"/>
  <c r="AD139" i="3"/>
  <c r="O139" i="3"/>
  <c r="M139" i="3"/>
  <c r="AE139" i="3"/>
  <c r="AF139" i="3"/>
  <c r="V139" i="3"/>
  <c r="U139" i="3"/>
  <c r="Q139" i="3"/>
  <c r="F139" i="3"/>
  <c r="G139" i="3"/>
  <c r="H139" i="3" s="1"/>
  <c r="P139" i="3"/>
  <c r="X138" i="3"/>
  <c r="BN138" i="3"/>
  <c r="AW137" i="3"/>
  <c r="BK134" i="3" l="1"/>
  <c r="BG135" i="3"/>
  <c r="BH135" i="3" s="1"/>
  <c r="BI135" i="3" s="1"/>
  <c r="BN139" i="3"/>
  <c r="AY137" i="3"/>
  <c r="BC136" i="3"/>
  <c r="BG136" i="3" s="1"/>
  <c r="BH136" i="3" s="1"/>
  <c r="BI136" i="3" s="1"/>
  <c r="BF136" i="3"/>
  <c r="BJ135" i="3" s="1"/>
  <c r="BK135" i="3" s="1"/>
  <c r="BQ136" i="3"/>
  <c r="BM139" i="3"/>
  <c r="AV137" i="3"/>
  <c r="AU138" i="3"/>
  <c r="AT138" i="3"/>
  <c r="AO139" i="3"/>
  <c r="AW138" i="3"/>
  <c r="Y139" i="3"/>
  <c r="Z139" i="3" s="1"/>
  <c r="A141" i="3"/>
  <c r="B140" i="3"/>
  <c r="AR140" i="3"/>
  <c r="AQ140" i="3"/>
  <c r="AM140" i="3"/>
  <c r="AK140" i="3"/>
  <c r="C140" i="3"/>
  <c r="R140" i="3"/>
  <c r="Q140" i="3"/>
  <c r="AD140" i="3"/>
  <c r="O140" i="3"/>
  <c r="M140" i="3"/>
  <c r="P140" i="3"/>
  <c r="AE140" i="3"/>
  <c r="AF140" i="3"/>
  <c r="V140" i="3"/>
  <c r="U140" i="3"/>
  <c r="D140" i="3"/>
  <c r="F140" i="3"/>
  <c r="G140" i="3"/>
  <c r="H140" i="3" s="1"/>
  <c r="S140" i="3"/>
  <c r="T140" i="3"/>
  <c r="AH139" i="3"/>
  <c r="AG139" i="3"/>
  <c r="AN139" i="3"/>
  <c r="X139" i="3"/>
  <c r="AX138" i="3"/>
  <c r="BA137" i="3"/>
  <c r="BM140" i="3" l="1"/>
  <c r="BN140" i="3"/>
  <c r="BD136" i="3"/>
  <c r="BC137" i="3"/>
  <c r="BD137" i="3" s="1"/>
  <c r="AV138" i="3"/>
  <c r="AT139" i="3"/>
  <c r="AY138" i="3"/>
  <c r="AN140" i="3"/>
  <c r="BF137" i="3"/>
  <c r="BQ137" i="3"/>
  <c r="BB137" i="3"/>
  <c r="AU139" i="3"/>
  <c r="AW139" i="3"/>
  <c r="AX139" i="3"/>
  <c r="X140" i="3"/>
  <c r="BA138" i="3"/>
  <c r="Y140" i="3"/>
  <c r="Z140" i="3" s="1"/>
  <c r="AG140" i="3"/>
  <c r="AH140" i="3"/>
  <c r="AO140" i="3"/>
  <c r="AR141" i="3"/>
  <c r="B141" i="3"/>
  <c r="AQ141" i="3"/>
  <c r="A142" i="3"/>
  <c r="D141" i="3"/>
  <c r="AK141" i="3"/>
  <c r="C141" i="3"/>
  <c r="AM141" i="3"/>
  <c r="T141" i="3"/>
  <c r="R141" i="3"/>
  <c r="P141" i="3"/>
  <c r="Q141" i="3"/>
  <c r="AD141" i="3"/>
  <c r="O141" i="3"/>
  <c r="M141" i="3"/>
  <c r="AF141" i="3"/>
  <c r="AE141" i="3"/>
  <c r="V141" i="3"/>
  <c r="U141" i="3"/>
  <c r="F141" i="3"/>
  <c r="G141" i="3"/>
  <c r="H141" i="3" s="1"/>
  <c r="S141" i="3"/>
  <c r="BN141" i="3" l="1"/>
  <c r="BG137" i="3"/>
  <c r="BH137" i="3" s="1"/>
  <c r="BI137" i="3" s="1"/>
  <c r="BC138" i="3"/>
  <c r="BG138" i="3" s="1"/>
  <c r="BH138" i="3" s="1"/>
  <c r="BI138" i="3" s="1"/>
  <c r="AV139" i="3"/>
  <c r="BM141" i="3"/>
  <c r="AN141" i="3"/>
  <c r="AO141" i="3"/>
  <c r="AX140" i="3"/>
  <c r="AR142" i="3"/>
  <c r="B142" i="3"/>
  <c r="AQ142" i="3"/>
  <c r="A143" i="3"/>
  <c r="AM142" i="3"/>
  <c r="AK142" i="3"/>
  <c r="T142" i="3"/>
  <c r="R142" i="3"/>
  <c r="Q142" i="3"/>
  <c r="AD142" i="3"/>
  <c r="P142" i="3"/>
  <c r="O142" i="3"/>
  <c r="AE142" i="3"/>
  <c r="M142" i="3"/>
  <c r="V142" i="3"/>
  <c r="AF142" i="3"/>
  <c r="U142" i="3"/>
  <c r="C142" i="3"/>
  <c r="D142" i="3"/>
  <c r="G142" i="3"/>
  <c r="H142" i="3" s="1"/>
  <c r="F142" i="3"/>
  <c r="S142" i="3"/>
  <c r="Y141" i="3"/>
  <c r="Z141" i="3" s="1"/>
  <c r="BJ136" i="3"/>
  <c r="BK136" i="3" s="1"/>
  <c r="AU140" i="3"/>
  <c r="AT140" i="3"/>
  <c r="AG141" i="3"/>
  <c r="AH141" i="3"/>
  <c r="AW140" i="3"/>
  <c r="AY139" i="3"/>
  <c r="BA139" i="3"/>
  <c r="BF138" i="3"/>
  <c r="BJ137" i="3" s="1"/>
  <c r="BQ138" i="3"/>
  <c r="BB138" i="3"/>
  <c r="X141" i="3"/>
  <c r="BK137" i="3" l="1"/>
  <c r="BD138" i="3"/>
  <c r="BC139" i="3"/>
  <c r="BG139" i="3" s="1"/>
  <c r="BH139" i="3" s="1"/>
  <c r="BI139" i="3" s="1"/>
  <c r="BM142" i="3"/>
  <c r="AW141" i="3"/>
  <c r="AG142" i="3"/>
  <c r="AY140" i="3"/>
  <c r="AN142" i="3"/>
  <c r="BB139" i="3"/>
  <c r="BF139" i="3"/>
  <c r="BJ138" i="3" s="1"/>
  <c r="BK138" i="3" s="1"/>
  <c r="BQ139" i="3"/>
  <c r="AV140" i="3"/>
  <c r="BA140" i="3"/>
  <c r="AQ143" i="3"/>
  <c r="B143" i="3"/>
  <c r="A144" i="3"/>
  <c r="AR143" i="3"/>
  <c r="D143" i="3"/>
  <c r="AK143" i="3"/>
  <c r="AM143" i="3"/>
  <c r="T143" i="3"/>
  <c r="C143" i="3"/>
  <c r="R143" i="3"/>
  <c r="Q143" i="3"/>
  <c r="S143" i="3"/>
  <c r="AD143" i="3"/>
  <c r="P143" i="3"/>
  <c r="O143" i="3"/>
  <c r="M143" i="3"/>
  <c r="AE143" i="3"/>
  <c r="AF143" i="3"/>
  <c r="V143" i="3"/>
  <c r="U143" i="3"/>
  <c r="F143" i="3"/>
  <c r="G143" i="3"/>
  <c r="H143" i="3" s="1"/>
  <c r="AU141" i="3"/>
  <c r="AT141" i="3"/>
  <c r="AX141" i="3"/>
  <c r="X142" i="3"/>
  <c r="BN142" i="3"/>
  <c r="AH142" i="3"/>
  <c r="AO142" i="3"/>
  <c r="Y142" i="3"/>
  <c r="Z142" i="3" s="1"/>
  <c r="BM143" i="3" l="1"/>
  <c r="BD139" i="3"/>
  <c r="AN143" i="3"/>
  <c r="AG143" i="3"/>
  <c r="AY141" i="3"/>
  <c r="BC140" i="3"/>
  <c r="BD140" i="3" s="1"/>
  <c r="AT142" i="3"/>
  <c r="AX142" i="3"/>
  <c r="Y143" i="3"/>
  <c r="Z143" i="3" s="1"/>
  <c r="A145" i="3"/>
  <c r="B144" i="3"/>
  <c r="AR144" i="3"/>
  <c r="AQ144" i="3"/>
  <c r="C144" i="3"/>
  <c r="T144" i="3"/>
  <c r="AK144" i="3"/>
  <c r="AM144" i="3"/>
  <c r="R144" i="3"/>
  <c r="P144" i="3"/>
  <c r="AD144" i="3"/>
  <c r="AF144" i="3"/>
  <c r="O144" i="3"/>
  <c r="M144" i="3"/>
  <c r="AE144" i="3"/>
  <c r="U144" i="3"/>
  <c r="V144" i="3"/>
  <c r="G144" i="3"/>
  <c r="H144" i="3" s="1"/>
  <c r="F144" i="3"/>
  <c r="Q144" i="3"/>
  <c r="D144" i="3"/>
  <c r="S144" i="3"/>
  <c r="BQ140" i="3"/>
  <c r="BF140" i="3"/>
  <c r="BJ139" i="3" s="1"/>
  <c r="BK139" i="3" s="1"/>
  <c r="BB140" i="3"/>
  <c r="AU142" i="3"/>
  <c r="AW142" i="3"/>
  <c r="BN143" i="3"/>
  <c r="AH143" i="3"/>
  <c r="AO143" i="3"/>
  <c r="BA141" i="3"/>
  <c r="AV141" i="3"/>
  <c r="X143" i="3"/>
  <c r="BC141" i="3" l="1"/>
  <c r="BD141" i="3" s="1"/>
  <c r="BG140" i="3"/>
  <c r="BH140" i="3" s="1"/>
  <c r="BI140" i="3" s="1"/>
  <c r="BM144" i="3"/>
  <c r="AT143" i="3"/>
  <c r="AY142" i="3"/>
  <c r="AN144" i="3"/>
  <c r="AG144" i="3"/>
  <c r="AX143" i="3"/>
  <c r="AO144" i="3"/>
  <c r="AU143" i="3"/>
  <c r="AW143" i="3"/>
  <c r="BA142" i="3"/>
  <c r="BB142" i="3" s="1"/>
  <c r="Y144" i="3"/>
  <c r="Z144" i="3" s="1"/>
  <c r="AR145" i="3"/>
  <c r="B145" i="3"/>
  <c r="AQ145" i="3"/>
  <c r="A146" i="3"/>
  <c r="D145" i="3"/>
  <c r="Q145" i="3"/>
  <c r="R145" i="3"/>
  <c r="C145" i="3"/>
  <c r="AK145" i="3"/>
  <c r="AM145" i="3"/>
  <c r="S145" i="3"/>
  <c r="AD145" i="3"/>
  <c r="O145" i="3"/>
  <c r="P145" i="3"/>
  <c r="M145" i="3"/>
  <c r="AF145" i="3"/>
  <c r="AE145" i="3"/>
  <c r="V145" i="3"/>
  <c r="U145" i="3"/>
  <c r="G145" i="3"/>
  <c r="H145" i="3" s="1"/>
  <c r="F145" i="3"/>
  <c r="T145" i="3"/>
  <c r="AH144" i="3"/>
  <c r="AV142" i="3"/>
  <c r="BF141" i="3"/>
  <c r="BJ140" i="3" s="1"/>
  <c r="BK140" i="3" s="1"/>
  <c r="BB141" i="3"/>
  <c r="BQ141" i="3"/>
  <c r="X144" i="3"/>
  <c r="BN144" i="3"/>
  <c r="BG141" i="3" l="1"/>
  <c r="BH141" i="3" s="1"/>
  <c r="BI141" i="3" s="1"/>
  <c r="BC142" i="3"/>
  <c r="BG142" i="3" s="1"/>
  <c r="BH142" i="3" s="1"/>
  <c r="BI142" i="3" s="1"/>
  <c r="AV143" i="3"/>
  <c r="BM145" i="3"/>
  <c r="AX144" i="3"/>
  <c r="AG145" i="3"/>
  <c r="BA143" i="3"/>
  <c r="BQ143" i="3" s="1"/>
  <c r="AO145" i="3"/>
  <c r="BQ142" i="3"/>
  <c r="AY143" i="3"/>
  <c r="BF142" i="3"/>
  <c r="BJ141" i="3" s="1"/>
  <c r="AR146" i="3"/>
  <c r="B146" i="3"/>
  <c r="AQ146" i="3"/>
  <c r="A147" i="3"/>
  <c r="AM146" i="3"/>
  <c r="AK146" i="3"/>
  <c r="T146" i="3"/>
  <c r="AD146" i="3"/>
  <c r="Q146" i="3"/>
  <c r="P146" i="3"/>
  <c r="AE146" i="3"/>
  <c r="AF146" i="3"/>
  <c r="O146" i="3"/>
  <c r="M146" i="3"/>
  <c r="U146" i="3"/>
  <c r="V146" i="3"/>
  <c r="R146" i="3"/>
  <c r="C146" i="3"/>
  <c r="F146" i="3"/>
  <c r="D146" i="3"/>
  <c r="G146" i="3"/>
  <c r="H146" i="3" s="1"/>
  <c r="S146" i="3"/>
  <c r="AU144" i="3"/>
  <c r="AT144" i="3"/>
  <c r="AW144" i="3"/>
  <c r="Y145" i="3"/>
  <c r="Z145" i="3" s="1"/>
  <c r="BN145" i="3"/>
  <c r="AH145" i="3"/>
  <c r="AN145" i="3"/>
  <c r="X145" i="3"/>
  <c r="BK141" i="3" l="1"/>
  <c r="BD142" i="3"/>
  <c r="BC143" i="3"/>
  <c r="BD143" i="3" s="1"/>
  <c r="AY144" i="3"/>
  <c r="BN146" i="3"/>
  <c r="BM146" i="3"/>
  <c r="AT145" i="3"/>
  <c r="BB143" i="3"/>
  <c r="BF143" i="3"/>
  <c r="BJ142" i="3" s="1"/>
  <c r="BK142" i="3" s="1"/>
  <c r="AN146" i="3"/>
  <c r="AW145" i="3"/>
  <c r="AG146" i="3"/>
  <c r="AV144" i="3"/>
  <c r="BA144" i="3"/>
  <c r="Y146" i="3"/>
  <c r="Z146" i="3" s="1"/>
  <c r="AQ147" i="3"/>
  <c r="B147" i="3"/>
  <c r="A148" i="3"/>
  <c r="AR147" i="3"/>
  <c r="D147" i="3"/>
  <c r="AM147" i="3"/>
  <c r="AK147" i="3"/>
  <c r="C147" i="3"/>
  <c r="S147" i="3"/>
  <c r="R147" i="3"/>
  <c r="Q147" i="3"/>
  <c r="AD147" i="3"/>
  <c r="P147" i="3"/>
  <c r="O147" i="3"/>
  <c r="AE147" i="3"/>
  <c r="AF147" i="3"/>
  <c r="M147" i="3"/>
  <c r="V147" i="3"/>
  <c r="U147" i="3"/>
  <c r="G147" i="3"/>
  <c r="H147" i="3" s="1"/>
  <c r="F147" i="3"/>
  <c r="T147" i="3"/>
  <c r="AX145" i="3"/>
  <c r="AU145" i="3"/>
  <c r="X146" i="3"/>
  <c r="AH146" i="3"/>
  <c r="AO146" i="3"/>
  <c r="BG143" i="3" l="1"/>
  <c r="BH143" i="3" s="1"/>
  <c r="BI143" i="3" s="1"/>
  <c r="BC144" i="3"/>
  <c r="BG144" i="3" s="1"/>
  <c r="BH144" i="3" s="1"/>
  <c r="BI144" i="3" s="1"/>
  <c r="AY145" i="3"/>
  <c r="BN147" i="3"/>
  <c r="AU146" i="3"/>
  <c r="AT146" i="3"/>
  <c r="AN147" i="3"/>
  <c r="AH147" i="3"/>
  <c r="Y147" i="3"/>
  <c r="Z147" i="3" s="1"/>
  <c r="AW146" i="3"/>
  <c r="BA145" i="3"/>
  <c r="BQ145" i="3" s="1"/>
  <c r="A149" i="3"/>
  <c r="B148" i="3"/>
  <c r="AR148" i="3"/>
  <c r="AQ148" i="3"/>
  <c r="D148" i="3"/>
  <c r="AM148" i="3"/>
  <c r="S148" i="3"/>
  <c r="R148" i="3"/>
  <c r="AK148" i="3"/>
  <c r="Q148" i="3"/>
  <c r="AD148" i="3"/>
  <c r="P148" i="3"/>
  <c r="O148" i="3"/>
  <c r="AE148" i="3"/>
  <c r="M148" i="3"/>
  <c r="AF148" i="3"/>
  <c r="U148" i="3"/>
  <c r="V148" i="3"/>
  <c r="C148" i="3"/>
  <c r="F148" i="3"/>
  <c r="G148" i="3"/>
  <c r="H148" i="3" s="1"/>
  <c r="T148" i="3"/>
  <c r="AX146" i="3"/>
  <c r="AV145" i="3"/>
  <c r="BM147" i="3"/>
  <c r="AG147" i="3"/>
  <c r="AO147" i="3"/>
  <c r="BF144" i="3"/>
  <c r="BJ143" i="3" s="1"/>
  <c r="BQ144" i="3"/>
  <c r="BB144" i="3"/>
  <c r="X147" i="3"/>
  <c r="BN148" i="3" l="1"/>
  <c r="BK143" i="3"/>
  <c r="BD144" i="3"/>
  <c r="BC145" i="3"/>
  <c r="BD145" i="3" s="1"/>
  <c r="AU147" i="3"/>
  <c r="AV146" i="3"/>
  <c r="BM148" i="3"/>
  <c r="AT147" i="3"/>
  <c r="AX147" i="3"/>
  <c r="BA146" i="3"/>
  <c r="BQ146" i="3" s="1"/>
  <c r="AG148" i="3"/>
  <c r="AN148" i="3"/>
  <c r="BF145" i="3"/>
  <c r="BJ144" i="3" s="1"/>
  <c r="BK144" i="3" s="1"/>
  <c r="Y148" i="3"/>
  <c r="Z148" i="3" s="1"/>
  <c r="BB145" i="3"/>
  <c r="AY146" i="3"/>
  <c r="AR149" i="3"/>
  <c r="B149" i="3"/>
  <c r="AQ149" i="3"/>
  <c r="A150" i="3"/>
  <c r="AK149" i="3"/>
  <c r="T149" i="3"/>
  <c r="S149" i="3"/>
  <c r="AM149" i="3"/>
  <c r="R149" i="3"/>
  <c r="Q149" i="3"/>
  <c r="P149" i="3"/>
  <c r="AD149" i="3"/>
  <c r="O149" i="3"/>
  <c r="M149" i="3"/>
  <c r="AE149" i="3"/>
  <c r="AF149" i="3"/>
  <c r="U149" i="3"/>
  <c r="V149" i="3"/>
  <c r="D149" i="3"/>
  <c r="F149" i="3"/>
  <c r="C149" i="3"/>
  <c r="G149" i="3"/>
  <c r="H149" i="3" s="1"/>
  <c r="AH148" i="3"/>
  <c r="AW147" i="3"/>
  <c r="X148" i="3"/>
  <c r="AO148" i="3"/>
  <c r="BC146" i="3" l="1"/>
  <c r="BD146" i="3" s="1"/>
  <c r="BG145" i="3"/>
  <c r="BH145" i="3" s="1"/>
  <c r="BI145" i="3" s="1"/>
  <c r="AV147" i="3"/>
  <c r="BF146" i="3"/>
  <c r="BJ145" i="3" s="1"/>
  <c r="AY147" i="3"/>
  <c r="BB146" i="3"/>
  <c r="AW148" i="3"/>
  <c r="AX148" i="3"/>
  <c r="AO149" i="3"/>
  <c r="X149" i="3"/>
  <c r="Y149" i="3"/>
  <c r="Z149" i="3" s="1"/>
  <c r="AR150" i="3"/>
  <c r="B150" i="3"/>
  <c r="AQ150" i="3"/>
  <c r="A151" i="3"/>
  <c r="D150" i="3"/>
  <c r="C150" i="3"/>
  <c r="AM150" i="3"/>
  <c r="S150" i="3"/>
  <c r="Q150" i="3"/>
  <c r="AK150" i="3"/>
  <c r="R150" i="3"/>
  <c r="AD150" i="3"/>
  <c r="O150" i="3"/>
  <c r="P150" i="3"/>
  <c r="AE150" i="3"/>
  <c r="AF150" i="3"/>
  <c r="U150" i="3"/>
  <c r="M150" i="3"/>
  <c r="V150" i="3"/>
  <c r="G150" i="3"/>
  <c r="H150" i="3" s="1"/>
  <c r="F150" i="3"/>
  <c r="T150" i="3"/>
  <c r="AU148" i="3"/>
  <c r="AT148" i="3"/>
  <c r="BN149" i="3"/>
  <c r="BM149" i="3"/>
  <c r="AG149" i="3"/>
  <c r="AH149" i="3"/>
  <c r="AN149" i="3"/>
  <c r="BA147" i="3"/>
  <c r="BG146" i="3" l="1"/>
  <c r="BH146" i="3" s="1"/>
  <c r="BI146" i="3" s="1"/>
  <c r="AY148" i="3"/>
  <c r="BK145" i="3"/>
  <c r="BC147" i="3"/>
  <c r="BG147" i="3" s="1"/>
  <c r="BH147" i="3" s="1"/>
  <c r="BI147" i="3" s="1"/>
  <c r="BN150" i="3"/>
  <c r="AT149" i="3"/>
  <c r="AW149" i="3"/>
  <c r="AV148" i="3"/>
  <c r="BF147" i="3"/>
  <c r="BJ146" i="3" s="1"/>
  <c r="BK146" i="3" s="1"/>
  <c r="BB147" i="3"/>
  <c r="BQ147" i="3"/>
  <c r="AO150" i="3"/>
  <c r="AN150" i="3"/>
  <c r="AX149" i="3"/>
  <c r="BA148" i="3"/>
  <c r="BM150" i="3"/>
  <c r="AG150" i="3"/>
  <c r="AQ151" i="3"/>
  <c r="B151" i="3"/>
  <c r="A152" i="3"/>
  <c r="AR151" i="3"/>
  <c r="D151" i="3"/>
  <c r="AM151" i="3"/>
  <c r="AK151" i="3"/>
  <c r="Q151" i="3"/>
  <c r="T151" i="3"/>
  <c r="R151" i="3"/>
  <c r="AD151" i="3"/>
  <c r="P151" i="3"/>
  <c r="O151" i="3"/>
  <c r="AE151" i="3"/>
  <c r="AF151" i="3"/>
  <c r="M151" i="3"/>
  <c r="V151" i="3"/>
  <c r="U151" i="3"/>
  <c r="C151" i="3"/>
  <c r="G151" i="3"/>
  <c r="H151" i="3" s="1"/>
  <c r="F151" i="3"/>
  <c r="S151" i="3"/>
  <c r="AU149" i="3"/>
  <c r="Y150" i="3"/>
  <c r="Z150" i="3" s="1"/>
  <c r="AH150" i="3"/>
  <c r="X150" i="3"/>
  <c r="BC148" i="3" l="1"/>
  <c r="BG148" i="3" s="1"/>
  <c r="BH148" i="3" s="1"/>
  <c r="BI148" i="3" s="1"/>
  <c r="BD147" i="3"/>
  <c r="BM151" i="3"/>
  <c r="BN151" i="3"/>
  <c r="AX150" i="3"/>
  <c r="BA149" i="3"/>
  <c r="BQ149" i="3" s="1"/>
  <c r="AO151" i="3"/>
  <c r="AN151" i="3"/>
  <c r="AY149" i="3"/>
  <c r="AG151" i="3"/>
  <c r="X151" i="3"/>
  <c r="Y151" i="3"/>
  <c r="Z151" i="3" s="1"/>
  <c r="A153" i="3"/>
  <c r="B152" i="3"/>
  <c r="AR152" i="3"/>
  <c r="AQ152" i="3"/>
  <c r="C152" i="3"/>
  <c r="AK152" i="3"/>
  <c r="AM152" i="3"/>
  <c r="Q152" i="3"/>
  <c r="AD152" i="3"/>
  <c r="T152" i="3"/>
  <c r="R152" i="3"/>
  <c r="P152" i="3"/>
  <c r="M152" i="3"/>
  <c r="AE152" i="3"/>
  <c r="AF152" i="3"/>
  <c r="V152" i="3"/>
  <c r="U152" i="3"/>
  <c r="O152" i="3"/>
  <c r="D152" i="3"/>
  <c r="G152" i="3"/>
  <c r="H152" i="3" s="1"/>
  <c r="F152" i="3"/>
  <c r="BM152" i="3" s="1"/>
  <c r="S152" i="3"/>
  <c r="BF148" i="3"/>
  <c r="BJ147" i="3" s="1"/>
  <c r="BK147" i="3" s="1"/>
  <c r="BB148" i="3"/>
  <c r="BQ148" i="3"/>
  <c r="AV149" i="3"/>
  <c r="AH151" i="3"/>
  <c r="AU150" i="3"/>
  <c r="AW150" i="3"/>
  <c r="AT150" i="3"/>
  <c r="AY150" i="3" l="1"/>
  <c r="BD148" i="3"/>
  <c r="AV150" i="3"/>
  <c r="BN152" i="3"/>
  <c r="BC149" i="3"/>
  <c r="BD149" i="3" s="1"/>
  <c r="BB149" i="3"/>
  <c r="AG152" i="3"/>
  <c r="AX151" i="3"/>
  <c r="BF149" i="3"/>
  <c r="BJ148" i="3" s="1"/>
  <c r="BK148" i="3" s="1"/>
  <c r="AO152" i="3"/>
  <c r="X152" i="3"/>
  <c r="Y152" i="3"/>
  <c r="Z152" i="3" s="1"/>
  <c r="AR153" i="3"/>
  <c r="B153" i="3"/>
  <c r="AQ153" i="3"/>
  <c r="A154" i="3"/>
  <c r="D153" i="3"/>
  <c r="C153" i="3"/>
  <c r="S153" i="3"/>
  <c r="T153" i="3"/>
  <c r="AM153" i="3"/>
  <c r="AK153" i="3"/>
  <c r="Q153" i="3"/>
  <c r="P153" i="3"/>
  <c r="AD153" i="3"/>
  <c r="O153" i="3"/>
  <c r="M153" i="3"/>
  <c r="U153" i="3"/>
  <c r="AE153" i="3"/>
  <c r="AF153" i="3"/>
  <c r="V153" i="3"/>
  <c r="R153" i="3"/>
  <c r="F153" i="3"/>
  <c r="G153" i="3"/>
  <c r="H153" i="3" s="1"/>
  <c r="BA150" i="3"/>
  <c r="AW151" i="3"/>
  <c r="AU151" i="3"/>
  <c r="AH152" i="3"/>
  <c r="AN152" i="3"/>
  <c r="AT151" i="3"/>
  <c r="BC150" i="3" l="1"/>
  <c r="BG150" i="3" s="1"/>
  <c r="BH150" i="3" s="1"/>
  <c r="BI150" i="3" s="1"/>
  <c r="BM153" i="3"/>
  <c r="BN153" i="3"/>
  <c r="AU152" i="3"/>
  <c r="BG149" i="3"/>
  <c r="BH149" i="3" s="1"/>
  <c r="BI149" i="3" s="1"/>
  <c r="AY151" i="3"/>
  <c r="AO153" i="3"/>
  <c r="AH153" i="3"/>
  <c r="BQ150" i="3"/>
  <c r="BF150" i="3"/>
  <c r="BJ149" i="3" s="1"/>
  <c r="BB150" i="3"/>
  <c r="Y153" i="3"/>
  <c r="Z153" i="3" s="1"/>
  <c r="AX152" i="3"/>
  <c r="AG153" i="3"/>
  <c r="AN153" i="3"/>
  <c r="AT152" i="3"/>
  <c r="AV151" i="3"/>
  <c r="BA151" i="3"/>
  <c r="AR154" i="3"/>
  <c r="B154" i="3"/>
  <c r="AQ154" i="3"/>
  <c r="A155" i="3"/>
  <c r="D154" i="3"/>
  <c r="AK154" i="3"/>
  <c r="T154" i="3"/>
  <c r="AM154" i="3"/>
  <c r="S154" i="3"/>
  <c r="R154" i="3"/>
  <c r="Q154" i="3"/>
  <c r="P154" i="3"/>
  <c r="AD154" i="3"/>
  <c r="AE154" i="3"/>
  <c r="U154" i="3"/>
  <c r="O154" i="3"/>
  <c r="AF154" i="3"/>
  <c r="M154" i="3"/>
  <c r="V154" i="3"/>
  <c r="C154" i="3"/>
  <c r="F154" i="3"/>
  <c r="G154" i="3"/>
  <c r="H154" i="3" s="1"/>
  <c r="X153" i="3"/>
  <c r="AW152" i="3"/>
  <c r="BD150" i="3" l="1"/>
  <c r="AN154" i="3"/>
  <c r="AT153" i="3"/>
  <c r="BK149" i="3"/>
  <c r="BN154" i="3"/>
  <c r="BC151" i="3"/>
  <c r="BG151" i="3" s="1"/>
  <c r="BH151" i="3" s="1"/>
  <c r="BI151" i="3" s="1"/>
  <c r="BM154" i="3"/>
  <c r="AU153" i="3"/>
  <c r="AY152" i="3"/>
  <c r="AX153" i="3"/>
  <c r="AH154" i="3"/>
  <c r="AQ155" i="3"/>
  <c r="B155" i="3"/>
  <c r="A156" i="3"/>
  <c r="AR155" i="3"/>
  <c r="C155" i="3"/>
  <c r="AM155" i="3"/>
  <c r="AK155" i="3"/>
  <c r="Q155" i="3"/>
  <c r="AD155" i="3"/>
  <c r="P155" i="3"/>
  <c r="R155" i="3"/>
  <c r="O155" i="3"/>
  <c r="AE155" i="3"/>
  <c r="AF155" i="3"/>
  <c r="V155" i="3"/>
  <c r="U155" i="3"/>
  <c r="M155" i="3"/>
  <c r="G155" i="3"/>
  <c r="H155" i="3" s="1"/>
  <c r="F155" i="3"/>
  <c r="D155" i="3"/>
  <c r="T155" i="3"/>
  <c r="S155" i="3"/>
  <c r="BQ151" i="3"/>
  <c r="BB151" i="3"/>
  <c r="BF151" i="3"/>
  <c r="BJ150" i="3" s="1"/>
  <c r="BK150" i="3" s="1"/>
  <c r="BA152" i="3"/>
  <c r="AV152" i="3"/>
  <c r="X154" i="3"/>
  <c r="AG154" i="3"/>
  <c r="AO154" i="3"/>
  <c r="AW153" i="3"/>
  <c r="Y154" i="3"/>
  <c r="Z154" i="3" s="1"/>
  <c r="BM155" i="3" l="1"/>
  <c r="BD151" i="3"/>
  <c r="AV153" i="3"/>
  <c r="AY153" i="3"/>
  <c r="AT154" i="3"/>
  <c r="AU154" i="3"/>
  <c r="BC152" i="3"/>
  <c r="BG152" i="3" s="1"/>
  <c r="BH152" i="3" s="1"/>
  <c r="BI152" i="3" s="1"/>
  <c r="AX154" i="3"/>
  <c r="AN155" i="3"/>
  <c r="BA153" i="3"/>
  <c r="BB153" i="3" s="1"/>
  <c r="X155" i="3"/>
  <c r="A157" i="3"/>
  <c r="B156" i="3"/>
  <c r="AR156" i="3"/>
  <c r="AQ156" i="3"/>
  <c r="C156" i="3"/>
  <c r="AM156" i="3"/>
  <c r="AK156" i="3"/>
  <c r="S156" i="3"/>
  <c r="T156" i="3"/>
  <c r="AD156" i="3"/>
  <c r="Q156" i="3"/>
  <c r="P156" i="3"/>
  <c r="O156" i="3"/>
  <c r="AE156" i="3"/>
  <c r="V156" i="3"/>
  <c r="U156" i="3"/>
  <c r="M156" i="3"/>
  <c r="AF156" i="3"/>
  <c r="R156" i="3"/>
  <c r="F156" i="3"/>
  <c r="D156" i="3"/>
  <c r="G156" i="3"/>
  <c r="H156" i="3" s="1"/>
  <c r="AW154" i="3"/>
  <c r="Y155" i="3"/>
  <c r="Z155" i="3" s="1"/>
  <c r="AG155" i="3"/>
  <c r="AH155" i="3"/>
  <c r="AO155" i="3"/>
  <c r="BF152" i="3"/>
  <c r="BJ151" i="3" s="1"/>
  <c r="BK151" i="3" s="1"/>
  <c r="BB152" i="3"/>
  <c r="BQ152" i="3"/>
  <c r="BN155" i="3"/>
  <c r="AY154" i="3" l="1"/>
  <c r="BC153" i="3"/>
  <c r="BG153" i="3" s="1"/>
  <c r="BH153" i="3" s="1"/>
  <c r="BI153" i="3" s="1"/>
  <c r="AV154" i="3"/>
  <c r="BN156" i="3"/>
  <c r="BM156" i="3"/>
  <c r="AH156" i="3"/>
  <c r="BD152" i="3"/>
  <c r="AO156" i="3"/>
  <c r="BF153" i="3"/>
  <c r="BJ152" i="3" s="1"/>
  <c r="BK152" i="3" s="1"/>
  <c r="BQ153" i="3"/>
  <c r="AW155" i="3"/>
  <c r="AG156" i="3"/>
  <c r="AN156" i="3"/>
  <c r="Y156" i="3"/>
  <c r="Z156" i="3" s="1"/>
  <c r="AR157" i="3"/>
  <c r="B157" i="3"/>
  <c r="AQ157" i="3"/>
  <c r="A158" i="3"/>
  <c r="C157" i="3"/>
  <c r="AK157" i="3"/>
  <c r="AM157" i="3"/>
  <c r="R157" i="3"/>
  <c r="AD157" i="3"/>
  <c r="P157" i="3"/>
  <c r="O157" i="3"/>
  <c r="M157" i="3"/>
  <c r="AE157" i="3"/>
  <c r="V157" i="3"/>
  <c r="U157" i="3"/>
  <c r="AF157" i="3"/>
  <c r="Q157" i="3"/>
  <c r="D157" i="3"/>
  <c r="G157" i="3"/>
  <c r="H157" i="3" s="1"/>
  <c r="F157" i="3"/>
  <c r="S157" i="3"/>
  <c r="T157" i="3"/>
  <c r="AT155" i="3"/>
  <c r="AU155" i="3"/>
  <c r="AX155" i="3"/>
  <c r="X156" i="3"/>
  <c r="BA154" i="3"/>
  <c r="BD153" i="3" l="1"/>
  <c r="BC154" i="3"/>
  <c r="BD154" i="3" s="1"/>
  <c r="BM157" i="3"/>
  <c r="BN157" i="3"/>
  <c r="AW156" i="3"/>
  <c r="AT156" i="3"/>
  <c r="AG157" i="3"/>
  <c r="AU156" i="3"/>
  <c r="AN157" i="3"/>
  <c r="AX156" i="3"/>
  <c r="X157" i="3"/>
  <c r="AV155" i="3"/>
  <c r="BA155" i="3"/>
  <c r="AH157" i="3"/>
  <c r="AY155" i="3"/>
  <c r="BQ154" i="3"/>
  <c r="BF154" i="3"/>
  <c r="BJ153" i="3" s="1"/>
  <c r="BK153" i="3" s="1"/>
  <c r="BB154" i="3"/>
  <c r="AR158" i="3"/>
  <c r="B158" i="3"/>
  <c r="AQ158" i="3"/>
  <c r="A159" i="3"/>
  <c r="AM158" i="3"/>
  <c r="R158" i="3"/>
  <c r="AK158" i="3"/>
  <c r="S158" i="3"/>
  <c r="Q158" i="3"/>
  <c r="AD158" i="3"/>
  <c r="O158" i="3"/>
  <c r="P158" i="3"/>
  <c r="M158" i="3"/>
  <c r="AF158" i="3"/>
  <c r="AE158" i="3"/>
  <c r="V158" i="3"/>
  <c r="U158" i="3"/>
  <c r="C158" i="3"/>
  <c r="D158" i="3"/>
  <c r="G158" i="3"/>
  <c r="H158" i="3" s="1"/>
  <c r="F158" i="3"/>
  <c r="T158" i="3"/>
  <c r="Y157" i="3"/>
  <c r="Z157" i="3" s="1"/>
  <c r="AO157" i="3"/>
  <c r="BG154" i="3" l="1"/>
  <c r="BH154" i="3" s="1"/>
  <c r="BI154" i="3" s="1"/>
  <c r="AV156" i="3"/>
  <c r="AO158" i="3"/>
  <c r="BM158" i="3"/>
  <c r="AY156" i="3"/>
  <c r="AG158" i="3"/>
  <c r="AT157" i="3"/>
  <c r="BA156" i="3"/>
  <c r="BF156" i="3" s="1"/>
  <c r="AW157" i="3"/>
  <c r="AQ159" i="3"/>
  <c r="B159" i="3"/>
  <c r="A160" i="3"/>
  <c r="AR159" i="3"/>
  <c r="D159" i="3"/>
  <c r="C159" i="3"/>
  <c r="AK159" i="3"/>
  <c r="AM159" i="3"/>
  <c r="S159" i="3"/>
  <c r="Q159" i="3"/>
  <c r="AD159" i="3"/>
  <c r="M159" i="3"/>
  <c r="AE159" i="3"/>
  <c r="O159" i="3"/>
  <c r="AF159" i="3"/>
  <c r="U159" i="3"/>
  <c r="V159" i="3"/>
  <c r="P159" i="3"/>
  <c r="R159" i="3"/>
  <c r="G159" i="3"/>
  <c r="H159" i="3" s="1"/>
  <c r="F159" i="3"/>
  <c r="T159" i="3"/>
  <c r="AN158" i="3"/>
  <c r="Y158" i="3"/>
  <c r="Z158" i="3" s="1"/>
  <c r="BN158" i="3"/>
  <c r="X158" i="3"/>
  <c r="AH158" i="3"/>
  <c r="AU157" i="3"/>
  <c r="BC155" i="3"/>
  <c r="BB155" i="3"/>
  <c r="BQ155" i="3"/>
  <c r="BF155" i="3"/>
  <c r="BJ154" i="3" s="1"/>
  <c r="BK154" i="3" s="1"/>
  <c r="AX157" i="3"/>
  <c r="BC156" i="3" l="1"/>
  <c r="BD156" i="3" s="1"/>
  <c r="BB156" i="3"/>
  <c r="AU158" i="3"/>
  <c r="BQ156" i="3"/>
  <c r="BM159" i="3"/>
  <c r="AY157" i="3"/>
  <c r="AV157" i="3"/>
  <c r="AG159" i="3"/>
  <c r="AO159" i="3"/>
  <c r="AW158" i="3"/>
  <c r="BD155" i="3"/>
  <c r="BG155" i="3"/>
  <c r="BH155" i="3" s="1"/>
  <c r="BI155" i="3" s="1"/>
  <c r="AX158" i="3"/>
  <c r="AT158" i="3"/>
  <c r="BJ155" i="3"/>
  <c r="Y159" i="3"/>
  <c r="Z159" i="3" s="1"/>
  <c r="BN159" i="3"/>
  <c r="AN159" i="3"/>
  <c r="X159" i="3"/>
  <c r="BA157" i="3"/>
  <c r="A161" i="3"/>
  <c r="B160" i="3"/>
  <c r="AR160" i="3"/>
  <c r="AQ160" i="3"/>
  <c r="AM160" i="3"/>
  <c r="S160" i="3"/>
  <c r="C160" i="3"/>
  <c r="AK160" i="3"/>
  <c r="Q160" i="3"/>
  <c r="R160" i="3"/>
  <c r="AD160" i="3"/>
  <c r="P160" i="3"/>
  <c r="O160" i="3"/>
  <c r="M160" i="3"/>
  <c r="AE160" i="3"/>
  <c r="AF160" i="3"/>
  <c r="V160" i="3"/>
  <c r="U160" i="3"/>
  <c r="D160" i="3"/>
  <c r="G160" i="3"/>
  <c r="H160" i="3" s="1"/>
  <c r="F160" i="3"/>
  <c r="T160" i="3"/>
  <c r="AH159" i="3"/>
  <c r="BM160" i="3" l="1"/>
  <c r="BG156" i="3"/>
  <c r="BH156" i="3" s="1"/>
  <c r="BI156" i="3" s="1"/>
  <c r="BK155" i="3"/>
  <c r="AO160" i="3"/>
  <c r="BC157" i="3"/>
  <c r="BG157" i="3" s="1"/>
  <c r="BH157" i="3" s="1"/>
  <c r="BI157" i="3" s="1"/>
  <c r="BN160" i="3"/>
  <c r="AX159" i="3"/>
  <c r="AY158" i="3"/>
  <c r="AU159" i="3"/>
  <c r="Y160" i="3"/>
  <c r="Z160" i="3" s="1"/>
  <c r="AR161" i="3"/>
  <c r="B161" i="3"/>
  <c r="AQ161" i="3"/>
  <c r="A162" i="3"/>
  <c r="D161" i="3"/>
  <c r="S161" i="3"/>
  <c r="AM161" i="3"/>
  <c r="AK161" i="3"/>
  <c r="T161" i="3"/>
  <c r="Q161" i="3"/>
  <c r="R161" i="3"/>
  <c r="AD161" i="3"/>
  <c r="P161" i="3"/>
  <c r="V161" i="3"/>
  <c r="O161" i="3"/>
  <c r="AE161" i="3"/>
  <c r="M161" i="3"/>
  <c r="AF161" i="3"/>
  <c r="U161" i="3"/>
  <c r="C161" i="3"/>
  <c r="G161" i="3"/>
  <c r="H161" i="3" s="1"/>
  <c r="F161" i="3"/>
  <c r="AV158" i="3"/>
  <c r="BA158" i="3"/>
  <c r="AG160" i="3"/>
  <c r="AH160" i="3"/>
  <c r="X160" i="3"/>
  <c r="AN160" i="3"/>
  <c r="AT159" i="3"/>
  <c r="AW159" i="3"/>
  <c r="BF157" i="3"/>
  <c r="BJ156" i="3" s="1"/>
  <c r="BQ157" i="3"/>
  <c r="BB157" i="3"/>
  <c r="BN161" i="3" l="1"/>
  <c r="BK156" i="3"/>
  <c r="BM161" i="3"/>
  <c r="BD157" i="3"/>
  <c r="AY159" i="3"/>
  <c r="BC158" i="3"/>
  <c r="BD158" i="3" s="1"/>
  <c r="AN161" i="3"/>
  <c r="AT160" i="3"/>
  <c r="BB158" i="3"/>
  <c r="BF158" i="3"/>
  <c r="BJ157" i="3" s="1"/>
  <c r="BK157" i="3" s="1"/>
  <c r="BQ158" i="3"/>
  <c r="AR162" i="3"/>
  <c r="B162" i="3"/>
  <c r="AQ162" i="3"/>
  <c r="A163" i="3"/>
  <c r="C162" i="3"/>
  <c r="AK162" i="3"/>
  <c r="S162" i="3"/>
  <c r="R162" i="3"/>
  <c r="Q162" i="3"/>
  <c r="AM162" i="3"/>
  <c r="D162" i="3"/>
  <c r="AD162" i="3"/>
  <c r="O162" i="3"/>
  <c r="M162" i="3"/>
  <c r="AE162" i="3"/>
  <c r="V162" i="3"/>
  <c r="AF162" i="3"/>
  <c r="U162" i="3"/>
  <c r="G162" i="3"/>
  <c r="H162" i="3" s="1"/>
  <c r="BN162" i="3" s="1"/>
  <c r="F162" i="3"/>
  <c r="P162" i="3"/>
  <c r="T162" i="3"/>
  <c r="AU160" i="3"/>
  <c r="AW160" i="3"/>
  <c r="X161" i="3"/>
  <c r="AG161" i="3"/>
  <c r="AH161" i="3"/>
  <c r="AO161" i="3"/>
  <c r="BA159" i="3"/>
  <c r="AV159" i="3"/>
  <c r="Y161" i="3"/>
  <c r="Z161" i="3" s="1"/>
  <c r="AX160" i="3"/>
  <c r="AN162" i="3" l="1"/>
  <c r="BC159" i="3"/>
  <c r="BD159" i="3" s="1"/>
  <c r="AV160" i="3"/>
  <c r="BG158" i="3"/>
  <c r="BH158" i="3" s="1"/>
  <c r="BI158" i="3" s="1"/>
  <c r="AT161" i="3"/>
  <c r="AX161" i="3"/>
  <c r="AG162" i="3"/>
  <c r="Y162" i="3"/>
  <c r="Z162" i="3" s="1"/>
  <c r="AQ163" i="3"/>
  <c r="B163" i="3"/>
  <c r="A164" i="3"/>
  <c r="AR163" i="3"/>
  <c r="C163" i="3"/>
  <c r="AM163" i="3"/>
  <c r="T163" i="3"/>
  <c r="Q163" i="3"/>
  <c r="AK163" i="3"/>
  <c r="R163" i="3"/>
  <c r="P163" i="3"/>
  <c r="AD163" i="3"/>
  <c r="M163" i="3"/>
  <c r="AF163" i="3"/>
  <c r="V163" i="3"/>
  <c r="O163" i="3"/>
  <c r="AE163" i="3"/>
  <c r="U163" i="3"/>
  <c r="F163" i="3"/>
  <c r="D163" i="3"/>
  <c r="G163" i="3"/>
  <c r="H163" i="3" s="1"/>
  <c r="S163" i="3"/>
  <c r="X162" i="3"/>
  <c r="AU161" i="3"/>
  <c r="AW161" i="3"/>
  <c r="AY160" i="3"/>
  <c r="BM162" i="3"/>
  <c r="AH162" i="3"/>
  <c r="AO162" i="3"/>
  <c r="BA160" i="3"/>
  <c r="BQ159" i="3"/>
  <c r="BF159" i="3"/>
  <c r="BJ158" i="3" s="1"/>
  <c r="BK158" i="3" s="1"/>
  <c r="BB159" i="3"/>
  <c r="BM163" i="3" l="1"/>
  <c r="BG159" i="3"/>
  <c r="BH159" i="3" s="1"/>
  <c r="BI159" i="3" s="1"/>
  <c r="AT162" i="3"/>
  <c r="BC160" i="3"/>
  <c r="BG160" i="3" s="1"/>
  <c r="BH160" i="3" s="1"/>
  <c r="BI160" i="3" s="1"/>
  <c r="AV161" i="3"/>
  <c r="BN163" i="3"/>
  <c r="AG163" i="3"/>
  <c r="BA161" i="3"/>
  <c r="BF161" i="3" s="1"/>
  <c r="AY161" i="3"/>
  <c r="AO163" i="3"/>
  <c r="AX162" i="3"/>
  <c r="BQ160" i="3"/>
  <c r="BB160" i="3"/>
  <c r="BF160" i="3"/>
  <c r="BJ159" i="3" s="1"/>
  <c r="BK159" i="3" s="1"/>
  <c r="Y163" i="3"/>
  <c r="Z163" i="3" s="1"/>
  <c r="AU162" i="3"/>
  <c r="X163" i="3"/>
  <c r="AH163" i="3"/>
  <c r="AN163" i="3"/>
  <c r="A165" i="3"/>
  <c r="B164" i="3"/>
  <c r="AR164" i="3"/>
  <c r="AQ164" i="3"/>
  <c r="C164" i="3"/>
  <c r="AM164" i="3"/>
  <c r="T164" i="3"/>
  <c r="AK164" i="3"/>
  <c r="R164" i="3"/>
  <c r="Q164" i="3"/>
  <c r="AD164" i="3"/>
  <c r="P164" i="3"/>
  <c r="M164" i="3"/>
  <c r="U164" i="3"/>
  <c r="V164" i="3"/>
  <c r="O164" i="3"/>
  <c r="AF164" i="3"/>
  <c r="AE164" i="3"/>
  <c r="D164" i="3"/>
  <c r="G164" i="3"/>
  <c r="H164" i="3" s="1"/>
  <c r="F164" i="3"/>
  <c r="BM164" i="3" s="1"/>
  <c r="S164" i="3"/>
  <c r="AW162" i="3"/>
  <c r="BD160" i="3" l="1"/>
  <c r="AV162" i="3"/>
  <c r="BC161" i="3"/>
  <c r="BG161" i="3" s="1"/>
  <c r="BH161" i="3" s="1"/>
  <c r="BI161" i="3" s="1"/>
  <c r="AO164" i="3"/>
  <c r="AY162" i="3"/>
  <c r="BN164" i="3"/>
  <c r="AX163" i="3"/>
  <c r="BB161" i="3"/>
  <c r="AU163" i="3"/>
  <c r="AT163" i="3"/>
  <c r="AG164" i="3"/>
  <c r="BQ161" i="3"/>
  <c r="X164" i="3"/>
  <c r="Y164" i="3"/>
  <c r="Z164" i="3" s="1"/>
  <c r="AR165" i="3"/>
  <c r="B165" i="3"/>
  <c r="AQ165" i="3"/>
  <c r="A166" i="3"/>
  <c r="AM165" i="3"/>
  <c r="R165" i="3"/>
  <c r="C165" i="3"/>
  <c r="AK165" i="3"/>
  <c r="Q165" i="3"/>
  <c r="AD165" i="3"/>
  <c r="S165" i="3"/>
  <c r="P165" i="3"/>
  <c r="O165" i="3"/>
  <c r="AE165" i="3"/>
  <c r="U165" i="3"/>
  <c r="V165" i="3"/>
  <c r="M165" i="3"/>
  <c r="AF165" i="3"/>
  <c r="D165" i="3"/>
  <c r="G165" i="3"/>
  <c r="H165" i="3" s="1"/>
  <c r="F165" i="3"/>
  <c r="T165" i="3"/>
  <c r="AH164" i="3"/>
  <c r="BA162" i="3"/>
  <c r="AN164" i="3"/>
  <c r="AW163" i="3"/>
  <c r="BJ160" i="3"/>
  <c r="BK160" i="3" s="1"/>
  <c r="BD161" i="3" l="1"/>
  <c r="BM165" i="3"/>
  <c r="BC162" i="3"/>
  <c r="BG162" i="3" s="1"/>
  <c r="BH162" i="3" s="1"/>
  <c r="BI162" i="3" s="1"/>
  <c r="BN165" i="3"/>
  <c r="AT164" i="3"/>
  <c r="AY163" i="3"/>
  <c r="AV163" i="3"/>
  <c r="AW164" i="3"/>
  <c r="AU164" i="3"/>
  <c r="Y165" i="3"/>
  <c r="Z165" i="3" s="1"/>
  <c r="AO165" i="3"/>
  <c r="BQ162" i="3"/>
  <c r="BF162" i="3"/>
  <c r="BB162" i="3"/>
  <c r="BA163" i="3"/>
  <c r="AX164" i="3"/>
  <c r="X165" i="3"/>
  <c r="AN165" i="3"/>
  <c r="AR166" i="3"/>
  <c r="B166" i="3"/>
  <c r="AQ166" i="3"/>
  <c r="A167" i="3"/>
  <c r="C166" i="3"/>
  <c r="D166" i="3"/>
  <c r="AK166" i="3"/>
  <c r="Q166" i="3"/>
  <c r="AM166" i="3"/>
  <c r="AD166" i="3"/>
  <c r="T166" i="3"/>
  <c r="R166" i="3"/>
  <c r="P166" i="3"/>
  <c r="M166" i="3"/>
  <c r="AE166" i="3"/>
  <c r="V166" i="3"/>
  <c r="U166" i="3"/>
  <c r="O166" i="3"/>
  <c r="AF166" i="3"/>
  <c r="G166" i="3"/>
  <c r="H166" i="3" s="1"/>
  <c r="F166" i="3"/>
  <c r="BM166" i="3" s="1"/>
  <c r="S166" i="3"/>
  <c r="AG165" i="3"/>
  <c r="AH165" i="3"/>
  <c r="BN166" i="3" l="1"/>
  <c r="BD162" i="3"/>
  <c r="AV164" i="3"/>
  <c r="AN166" i="3"/>
  <c r="AY164" i="3"/>
  <c r="BC163" i="3"/>
  <c r="BG163" i="3" s="1"/>
  <c r="BH163" i="3" s="1"/>
  <c r="BI163" i="3" s="1"/>
  <c r="BA164" i="3"/>
  <c r="BQ164" i="3" s="1"/>
  <c r="AX165" i="3"/>
  <c r="Y166" i="3"/>
  <c r="Z166" i="3" s="1"/>
  <c r="AQ167" i="3"/>
  <c r="B167" i="3"/>
  <c r="A168" i="3"/>
  <c r="AR167" i="3"/>
  <c r="D167" i="3"/>
  <c r="AK167" i="3"/>
  <c r="AM167" i="3"/>
  <c r="R167" i="3"/>
  <c r="P167" i="3"/>
  <c r="Q167" i="3"/>
  <c r="AD167" i="3"/>
  <c r="U167" i="3"/>
  <c r="O167" i="3"/>
  <c r="M167" i="3"/>
  <c r="AF167" i="3"/>
  <c r="AE167" i="3"/>
  <c r="V167" i="3"/>
  <c r="C167" i="3"/>
  <c r="G167" i="3"/>
  <c r="H167" i="3" s="1"/>
  <c r="F167" i="3"/>
  <c r="T167" i="3"/>
  <c r="S167" i="3"/>
  <c r="BF163" i="3"/>
  <c r="BJ162" i="3" s="1"/>
  <c r="BK162" i="3" s="1"/>
  <c r="BQ163" i="3"/>
  <c r="BB163" i="3"/>
  <c r="BJ161" i="3"/>
  <c r="BK161" i="3" s="1"/>
  <c r="AW165" i="3"/>
  <c r="X166" i="3"/>
  <c r="AH166" i="3"/>
  <c r="AT165" i="3"/>
  <c r="AG166" i="3"/>
  <c r="AO166" i="3"/>
  <c r="AU165" i="3"/>
  <c r="BM167" i="3" l="1"/>
  <c r="BN167" i="3"/>
  <c r="BC164" i="3"/>
  <c r="BD164" i="3" s="1"/>
  <c r="BD163" i="3"/>
  <c r="AY165" i="3"/>
  <c r="BB164" i="3"/>
  <c r="BF164" i="3"/>
  <c r="BJ163" i="3" s="1"/>
  <c r="BK163" i="3" s="1"/>
  <c r="AU166" i="3"/>
  <c r="X167" i="3"/>
  <c r="AG167" i="3"/>
  <c r="AO167" i="3"/>
  <c r="AT166" i="3"/>
  <c r="AV165" i="3"/>
  <c r="BA165" i="3"/>
  <c r="A169" i="3"/>
  <c r="B168" i="3"/>
  <c r="AR168" i="3"/>
  <c r="AQ168" i="3"/>
  <c r="D168" i="3"/>
  <c r="C168" i="3"/>
  <c r="AK168" i="3"/>
  <c r="AM168" i="3"/>
  <c r="S168" i="3"/>
  <c r="R168" i="3"/>
  <c r="AD168" i="3"/>
  <c r="P168" i="3"/>
  <c r="Q168" i="3"/>
  <c r="AF168" i="3"/>
  <c r="AE168" i="3"/>
  <c r="M168" i="3"/>
  <c r="U168" i="3"/>
  <c r="O168" i="3"/>
  <c r="V168" i="3"/>
  <c r="F168" i="3"/>
  <c r="G168" i="3"/>
  <c r="H168" i="3" s="1"/>
  <c r="T168" i="3"/>
  <c r="AW166" i="3"/>
  <c r="AX166" i="3"/>
  <c r="Y167" i="3"/>
  <c r="Z167" i="3" s="1"/>
  <c r="AH167" i="3"/>
  <c r="AN167" i="3"/>
  <c r="BG164" i="3" l="1"/>
  <c r="BH164" i="3" s="1"/>
  <c r="BI164" i="3" s="1"/>
  <c r="BM168" i="3"/>
  <c r="BC165" i="3"/>
  <c r="BG165" i="3" s="1"/>
  <c r="BH165" i="3" s="1"/>
  <c r="BI165" i="3" s="1"/>
  <c r="AV166" i="3"/>
  <c r="AN168" i="3"/>
  <c r="BN168" i="3"/>
  <c r="AX167" i="3"/>
  <c r="Y168" i="3"/>
  <c r="Z168" i="3" s="1"/>
  <c r="BA166" i="3"/>
  <c r="AY166" i="3"/>
  <c r="AR169" i="3"/>
  <c r="B169" i="3"/>
  <c r="AQ169" i="3"/>
  <c r="A170" i="3"/>
  <c r="C169" i="3"/>
  <c r="AM169" i="3"/>
  <c r="AK169" i="3"/>
  <c r="R169" i="3"/>
  <c r="Q169" i="3"/>
  <c r="AD169" i="3"/>
  <c r="S169" i="3"/>
  <c r="P169" i="3"/>
  <c r="O169" i="3"/>
  <c r="V169" i="3"/>
  <c r="U169" i="3"/>
  <c r="M169" i="3"/>
  <c r="AE169" i="3"/>
  <c r="AF169" i="3"/>
  <c r="F169" i="3"/>
  <c r="D169" i="3"/>
  <c r="G169" i="3"/>
  <c r="H169" i="3" s="1"/>
  <c r="T169" i="3"/>
  <c r="AW167" i="3"/>
  <c r="AT167" i="3"/>
  <c r="AU167" i="3"/>
  <c r="AG168" i="3"/>
  <c r="AH168" i="3"/>
  <c r="AO168" i="3"/>
  <c r="BF165" i="3"/>
  <c r="BJ164" i="3" s="1"/>
  <c r="BK164" i="3" s="1"/>
  <c r="BB165" i="3"/>
  <c r="BQ165" i="3"/>
  <c r="X168" i="3"/>
  <c r="BM169" i="3" l="1"/>
  <c r="BD165" i="3"/>
  <c r="BC166" i="3"/>
  <c r="BG166" i="3" s="1"/>
  <c r="BH166" i="3" s="1"/>
  <c r="BI166" i="3" s="1"/>
  <c r="BN169" i="3"/>
  <c r="AY167" i="3"/>
  <c r="AU168" i="3"/>
  <c r="AN169" i="3"/>
  <c r="Y169" i="3"/>
  <c r="Z169" i="3" s="1"/>
  <c r="AT168" i="3"/>
  <c r="AX168" i="3"/>
  <c r="BQ166" i="3"/>
  <c r="BB166" i="3"/>
  <c r="BF166" i="3"/>
  <c r="BJ165" i="3" s="1"/>
  <c r="BK165" i="3" s="1"/>
  <c r="AG169" i="3"/>
  <c r="AO169" i="3"/>
  <c r="X169" i="3"/>
  <c r="AV167" i="3"/>
  <c r="BA167" i="3"/>
  <c r="AR170" i="3"/>
  <c r="B170" i="3"/>
  <c r="AQ170" i="3"/>
  <c r="A171" i="3"/>
  <c r="D170" i="3"/>
  <c r="R170" i="3"/>
  <c r="AM170" i="3"/>
  <c r="AK170" i="3"/>
  <c r="O170" i="3"/>
  <c r="Q170" i="3"/>
  <c r="AD170" i="3"/>
  <c r="P170" i="3"/>
  <c r="AE170" i="3"/>
  <c r="AF170" i="3"/>
  <c r="U170" i="3"/>
  <c r="V170" i="3"/>
  <c r="M170" i="3"/>
  <c r="C170" i="3"/>
  <c r="F170" i="3"/>
  <c r="G170" i="3"/>
  <c r="H170" i="3" s="1"/>
  <c r="T170" i="3"/>
  <c r="S170" i="3"/>
  <c r="AW168" i="3"/>
  <c r="AH169" i="3"/>
  <c r="BC167" i="3" l="1"/>
  <c r="BD167" i="3" s="1"/>
  <c r="BD166" i="3"/>
  <c r="AX169" i="3"/>
  <c r="BM170" i="3"/>
  <c r="BN170" i="3"/>
  <c r="AV168" i="3"/>
  <c r="AO170" i="3"/>
  <c r="X170" i="3"/>
  <c r="AY168" i="3"/>
  <c r="Y170" i="3"/>
  <c r="Z170" i="3" s="1"/>
  <c r="AG170" i="3"/>
  <c r="AH170" i="3"/>
  <c r="AN170" i="3"/>
  <c r="AU169" i="3"/>
  <c r="AQ171" i="3"/>
  <c r="B171" i="3"/>
  <c r="A172" i="3"/>
  <c r="AR171" i="3"/>
  <c r="S171" i="3"/>
  <c r="R171" i="3"/>
  <c r="AM171" i="3"/>
  <c r="AK171" i="3"/>
  <c r="Q171" i="3"/>
  <c r="AD171" i="3"/>
  <c r="O171" i="3"/>
  <c r="M171" i="3"/>
  <c r="AE171" i="3"/>
  <c r="AF171" i="3"/>
  <c r="U171" i="3"/>
  <c r="V171" i="3"/>
  <c r="C171" i="3"/>
  <c r="D171" i="3"/>
  <c r="F171" i="3"/>
  <c r="G171" i="3"/>
  <c r="H171" i="3" s="1"/>
  <c r="T171" i="3"/>
  <c r="P171" i="3"/>
  <c r="BF167" i="3"/>
  <c r="BJ166" i="3" s="1"/>
  <c r="BK166" i="3" s="1"/>
  <c r="BB167" i="3"/>
  <c r="BQ167" i="3"/>
  <c r="AT169" i="3"/>
  <c r="AW169" i="3"/>
  <c r="BA168" i="3"/>
  <c r="AY169" i="3" l="1"/>
  <c r="BG167" i="3"/>
  <c r="BH167" i="3" s="1"/>
  <c r="BI167" i="3" s="1"/>
  <c r="BN171" i="3"/>
  <c r="BM171" i="3"/>
  <c r="AT170" i="3"/>
  <c r="BC168" i="3"/>
  <c r="AG171" i="3"/>
  <c r="AN171" i="3"/>
  <c r="AX170" i="3"/>
  <c r="BF168" i="3"/>
  <c r="BJ167" i="3" s="1"/>
  <c r="BK167" i="3" s="1"/>
  <c r="BB168" i="3"/>
  <c r="BQ168" i="3"/>
  <c r="BA169" i="3"/>
  <c r="AV169" i="3"/>
  <c r="Y171" i="3"/>
  <c r="Z171" i="3" s="1"/>
  <c r="AH171" i="3"/>
  <c r="AO171" i="3"/>
  <c r="AU170" i="3"/>
  <c r="AW170" i="3"/>
  <c r="A173" i="3"/>
  <c r="B172" i="3"/>
  <c r="AR172" i="3"/>
  <c r="AQ172" i="3"/>
  <c r="C172" i="3"/>
  <c r="AK172" i="3"/>
  <c r="AM172" i="3"/>
  <c r="S172" i="3"/>
  <c r="R172" i="3"/>
  <c r="D172" i="3"/>
  <c r="Q172" i="3"/>
  <c r="AD172" i="3"/>
  <c r="O172" i="3"/>
  <c r="AF172" i="3"/>
  <c r="M172" i="3"/>
  <c r="U172" i="3"/>
  <c r="P172" i="3"/>
  <c r="AE172" i="3"/>
  <c r="V172" i="3"/>
  <c r="G172" i="3"/>
  <c r="H172" i="3" s="1"/>
  <c r="F172" i="3"/>
  <c r="BM172" i="3" s="1"/>
  <c r="T172" i="3"/>
  <c r="X171" i="3"/>
  <c r="BC169" i="3" l="1"/>
  <c r="BD169" i="3" s="1"/>
  <c r="BN172" i="3"/>
  <c r="AV170" i="3"/>
  <c r="AT171" i="3"/>
  <c r="BG168" i="3"/>
  <c r="BH168" i="3" s="1"/>
  <c r="BI168" i="3" s="1"/>
  <c r="BD168" i="3"/>
  <c r="BA170" i="3"/>
  <c r="BF170" i="3" s="1"/>
  <c r="AW171" i="3"/>
  <c r="AY170" i="3"/>
  <c r="AO172" i="3"/>
  <c r="AX171" i="3"/>
  <c r="AU171" i="3"/>
  <c r="Y172" i="3"/>
  <c r="Z172" i="3" s="1"/>
  <c r="AR173" i="3"/>
  <c r="B173" i="3"/>
  <c r="AQ173" i="3"/>
  <c r="A174" i="3"/>
  <c r="AK173" i="3"/>
  <c r="AM173" i="3"/>
  <c r="T173" i="3"/>
  <c r="AD173" i="3"/>
  <c r="P173" i="3"/>
  <c r="R173" i="3"/>
  <c r="O173" i="3"/>
  <c r="AE173" i="3"/>
  <c r="AF173" i="3"/>
  <c r="M173" i="3"/>
  <c r="U173" i="3"/>
  <c r="V173" i="3"/>
  <c r="Q173" i="3"/>
  <c r="C173" i="3"/>
  <c r="D173" i="3"/>
  <c r="G173" i="3"/>
  <c r="H173" i="3" s="1"/>
  <c r="F173" i="3"/>
  <c r="S173" i="3"/>
  <c r="AN172" i="3"/>
  <c r="X172" i="3"/>
  <c r="AH172" i="3"/>
  <c r="AG172" i="3"/>
  <c r="BQ169" i="3"/>
  <c r="BF169" i="3"/>
  <c r="BJ168" i="3" s="1"/>
  <c r="BK168" i="3" s="1"/>
  <c r="BB169" i="3"/>
  <c r="BG169" i="3" l="1"/>
  <c r="BH169" i="3" s="1"/>
  <c r="BI169" i="3" s="1"/>
  <c r="BC170" i="3"/>
  <c r="BD170" i="3" s="1"/>
  <c r="BB170" i="3"/>
  <c r="BQ170" i="3"/>
  <c r="BM173" i="3"/>
  <c r="AO173" i="3"/>
  <c r="BA171" i="3"/>
  <c r="BF171" i="3" s="1"/>
  <c r="BJ170" i="3" s="1"/>
  <c r="AV171" i="3"/>
  <c r="AY171" i="3"/>
  <c r="AX172" i="3"/>
  <c r="Y173" i="3"/>
  <c r="Z173" i="3" s="1"/>
  <c r="BN173" i="3"/>
  <c r="AR174" i="3"/>
  <c r="B174" i="3"/>
  <c r="AQ174" i="3"/>
  <c r="A175" i="3"/>
  <c r="D174" i="3"/>
  <c r="T174" i="3"/>
  <c r="C174" i="3"/>
  <c r="AK174" i="3"/>
  <c r="AM174" i="3"/>
  <c r="Q174" i="3"/>
  <c r="S174" i="3"/>
  <c r="R174" i="3"/>
  <c r="AD174" i="3"/>
  <c r="O174" i="3"/>
  <c r="P174" i="3"/>
  <c r="AE174" i="3"/>
  <c r="M174" i="3"/>
  <c r="V174" i="3"/>
  <c r="U174" i="3"/>
  <c r="AF174" i="3"/>
  <c r="G174" i="3"/>
  <c r="H174" i="3" s="1"/>
  <c r="BN174" i="3" s="1"/>
  <c r="F174" i="3"/>
  <c r="AU172" i="3"/>
  <c r="AW172" i="3"/>
  <c r="AT172" i="3"/>
  <c r="X173" i="3"/>
  <c r="AG173" i="3"/>
  <c r="AH173" i="3"/>
  <c r="AN173" i="3"/>
  <c r="BJ169" i="3"/>
  <c r="BK169" i="3" l="1"/>
  <c r="BG170" i="3"/>
  <c r="BH170" i="3" s="1"/>
  <c r="BI170" i="3" s="1"/>
  <c r="AY172" i="3"/>
  <c r="BK170" i="3"/>
  <c r="BB171" i="3"/>
  <c r="BM174" i="3"/>
  <c r="BQ171" i="3"/>
  <c r="BC171" i="3"/>
  <c r="BD171" i="3" s="1"/>
  <c r="AU173" i="3"/>
  <c r="AT173" i="3"/>
  <c r="AH174" i="3"/>
  <c r="AN174" i="3"/>
  <c r="BA172" i="3"/>
  <c r="BQ172" i="3" s="1"/>
  <c r="Y174" i="3"/>
  <c r="Z174" i="3" s="1"/>
  <c r="AX173" i="3"/>
  <c r="X174" i="3"/>
  <c r="AQ175" i="3"/>
  <c r="B175" i="3"/>
  <c r="A176" i="3"/>
  <c r="AR175" i="3"/>
  <c r="D175" i="3"/>
  <c r="AK175" i="3"/>
  <c r="AM175" i="3"/>
  <c r="S175" i="3"/>
  <c r="R175" i="3"/>
  <c r="T175" i="3"/>
  <c r="AD175" i="3"/>
  <c r="P175" i="3"/>
  <c r="O175" i="3"/>
  <c r="AE175" i="3"/>
  <c r="M175" i="3"/>
  <c r="AF175" i="3"/>
  <c r="U175" i="3"/>
  <c r="V175" i="3"/>
  <c r="F175" i="3"/>
  <c r="Q175" i="3"/>
  <c r="C175" i="3"/>
  <c r="G175" i="3"/>
  <c r="H175" i="3" s="1"/>
  <c r="AW173" i="3"/>
  <c r="AV172" i="3"/>
  <c r="AG174" i="3"/>
  <c r="AO174" i="3"/>
  <c r="BC172" i="3" l="1"/>
  <c r="BG172" i="3" s="1"/>
  <c r="BH172" i="3" s="1"/>
  <c r="BI172" i="3" s="1"/>
  <c r="BB172" i="3"/>
  <c r="BN175" i="3"/>
  <c r="AV173" i="3"/>
  <c r="BG171" i="3"/>
  <c r="BH171" i="3" s="1"/>
  <c r="BI171" i="3" s="1"/>
  <c r="AG175" i="3"/>
  <c r="AY173" i="3"/>
  <c r="AO175" i="3"/>
  <c r="BF172" i="3"/>
  <c r="BJ171" i="3" s="1"/>
  <c r="BK171" i="3" s="1"/>
  <c r="AX174" i="3"/>
  <c r="Y175" i="3"/>
  <c r="Z175" i="3" s="1"/>
  <c r="A177" i="3"/>
  <c r="B176" i="3"/>
  <c r="AR176" i="3"/>
  <c r="AQ176" i="3"/>
  <c r="D176" i="3"/>
  <c r="AM176" i="3"/>
  <c r="AK176" i="3"/>
  <c r="T176" i="3"/>
  <c r="Q176" i="3"/>
  <c r="P176" i="3"/>
  <c r="R176" i="3"/>
  <c r="AD176" i="3"/>
  <c r="O176" i="3"/>
  <c r="AE176" i="3"/>
  <c r="M176" i="3"/>
  <c r="AF176" i="3"/>
  <c r="U176" i="3"/>
  <c r="V176" i="3"/>
  <c r="C176" i="3"/>
  <c r="F176" i="3"/>
  <c r="G176" i="3"/>
  <c r="H176" i="3" s="1"/>
  <c r="BN176" i="3" s="1"/>
  <c r="S176" i="3"/>
  <c r="AW174" i="3"/>
  <c r="X175" i="3"/>
  <c r="BM175" i="3"/>
  <c r="AH175" i="3"/>
  <c r="AN175" i="3"/>
  <c r="AT174" i="3"/>
  <c r="BA173" i="3"/>
  <c r="AU174" i="3"/>
  <c r="BD172" i="3" l="1"/>
  <c r="AX175" i="3"/>
  <c r="BC173" i="3"/>
  <c r="BG173" i="3" s="1"/>
  <c r="BH173" i="3" s="1"/>
  <c r="BI173" i="3" s="1"/>
  <c r="BM176" i="3"/>
  <c r="AN176" i="3"/>
  <c r="BQ173" i="3"/>
  <c r="BB173" i="3"/>
  <c r="BF173" i="3"/>
  <c r="BJ172" i="3" s="1"/>
  <c r="BK172" i="3" s="1"/>
  <c r="BA174" i="3"/>
  <c r="AY174" i="3"/>
  <c r="Y176" i="3"/>
  <c r="Z176" i="3" s="1"/>
  <c r="AR177" i="3"/>
  <c r="B177" i="3"/>
  <c r="AQ177" i="3"/>
  <c r="A178" i="3"/>
  <c r="R177" i="3"/>
  <c r="AM177" i="3"/>
  <c r="AK177" i="3"/>
  <c r="Q177" i="3"/>
  <c r="AD177" i="3"/>
  <c r="O177" i="3"/>
  <c r="AF177" i="3"/>
  <c r="AE177" i="3"/>
  <c r="P177" i="3"/>
  <c r="M177" i="3"/>
  <c r="V177" i="3"/>
  <c r="U177" i="3"/>
  <c r="D177" i="3"/>
  <c r="G177" i="3"/>
  <c r="H177" i="3" s="1"/>
  <c r="C177" i="3"/>
  <c r="F177" i="3"/>
  <c r="S177" i="3"/>
  <c r="T177" i="3"/>
  <c r="AU175" i="3"/>
  <c r="X176" i="3"/>
  <c r="AH176" i="3"/>
  <c r="AT175" i="3"/>
  <c r="AV174" i="3"/>
  <c r="AW175" i="3"/>
  <c r="AO176" i="3"/>
  <c r="AG176" i="3"/>
  <c r="AY175" i="3" l="1"/>
  <c r="BD173" i="3"/>
  <c r="BC174" i="3"/>
  <c r="BD174" i="3" s="1"/>
  <c r="AO177" i="3"/>
  <c r="AW176" i="3"/>
  <c r="AT176" i="3"/>
  <c r="X177" i="3"/>
  <c r="BA175" i="3"/>
  <c r="AV175" i="3"/>
  <c r="AR178" i="3"/>
  <c r="B178" i="3"/>
  <c r="AQ178" i="3"/>
  <c r="A179" i="3"/>
  <c r="AM178" i="3"/>
  <c r="AK178" i="3"/>
  <c r="S178" i="3"/>
  <c r="T178" i="3"/>
  <c r="C178" i="3"/>
  <c r="Q178" i="3"/>
  <c r="AD178" i="3"/>
  <c r="P178" i="3"/>
  <c r="O178" i="3"/>
  <c r="AE178" i="3"/>
  <c r="AF178" i="3"/>
  <c r="M178" i="3"/>
  <c r="U178" i="3"/>
  <c r="V178" i="3"/>
  <c r="D178" i="3"/>
  <c r="F178" i="3"/>
  <c r="R178" i="3"/>
  <c r="G178" i="3"/>
  <c r="H178" i="3" s="1"/>
  <c r="AH177" i="3"/>
  <c r="AU176" i="3"/>
  <c r="Y177" i="3"/>
  <c r="Z177" i="3" s="1"/>
  <c r="BM177" i="3"/>
  <c r="BN177" i="3"/>
  <c r="AG177" i="3"/>
  <c r="AN177" i="3"/>
  <c r="BF174" i="3"/>
  <c r="BJ173" i="3" s="1"/>
  <c r="BK173" i="3" s="1"/>
  <c r="BQ174" i="3"/>
  <c r="BB174" i="3"/>
  <c r="AX176" i="3"/>
  <c r="BC175" i="3" l="1"/>
  <c r="BG175" i="3" s="1"/>
  <c r="BH175" i="3" s="1"/>
  <c r="BI175" i="3" s="1"/>
  <c r="BN178" i="3"/>
  <c r="BM178" i="3"/>
  <c r="BG174" i="3"/>
  <c r="BH174" i="3" s="1"/>
  <c r="BI174" i="3" s="1"/>
  <c r="AT177" i="3"/>
  <c r="AG178" i="3"/>
  <c r="AY176" i="3"/>
  <c r="AW177" i="3"/>
  <c r="AO178" i="3"/>
  <c r="BA176" i="3"/>
  <c r="BB176" i="3" s="1"/>
  <c r="AU177" i="3"/>
  <c r="AX177" i="3"/>
  <c r="Y178" i="3"/>
  <c r="Z178" i="3" s="1"/>
  <c r="BB175" i="3"/>
  <c r="BF175" i="3"/>
  <c r="BJ174" i="3" s="1"/>
  <c r="BQ175" i="3"/>
  <c r="AH178" i="3"/>
  <c r="X178" i="3"/>
  <c r="AN178" i="3"/>
  <c r="AV176" i="3"/>
  <c r="AQ179" i="3"/>
  <c r="B179" i="3"/>
  <c r="A180" i="3"/>
  <c r="AR179" i="3"/>
  <c r="D179" i="3"/>
  <c r="AM179" i="3"/>
  <c r="AK179" i="3"/>
  <c r="S179" i="3"/>
  <c r="Q179" i="3"/>
  <c r="C179" i="3"/>
  <c r="AD179" i="3"/>
  <c r="R179" i="3"/>
  <c r="P179" i="3"/>
  <c r="O179" i="3"/>
  <c r="M179" i="3"/>
  <c r="AE179" i="3"/>
  <c r="AF179" i="3"/>
  <c r="V179" i="3"/>
  <c r="U179" i="3"/>
  <c r="G179" i="3"/>
  <c r="H179" i="3" s="1"/>
  <c r="F179" i="3"/>
  <c r="T179" i="3"/>
  <c r="BD175" i="3" l="1"/>
  <c r="AV177" i="3"/>
  <c r="AY177" i="3"/>
  <c r="BK174" i="3"/>
  <c r="BM179" i="3"/>
  <c r="BC176" i="3"/>
  <c r="BG176" i="3" s="1"/>
  <c r="BH176" i="3" s="1"/>
  <c r="BI176" i="3" s="1"/>
  <c r="AW178" i="3"/>
  <c r="AO179" i="3"/>
  <c r="AT178" i="3"/>
  <c r="BQ176" i="3"/>
  <c r="BF176" i="3"/>
  <c r="BJ175" i="3" s="1"/>
  <c r="BK175" i="3" s="1"/>
  <c r="BA177" i="3"/>
  <c r="BF177" i="3" s="1"/>
  <c r="Y179" i="3"/>
  <c r="Z179" i="3" s="1"/>
  <c r="BN179" i="3"/>
  <c r="AG179" i="3"/>
  <c r="X179" i="3"/>
  <c r="AN179" i="3"/>
  <c r="AU178" i="3"/>
  <c r="A181" i="3"/>
  <c r="B180" i="3"/>
  <c r="AR180" i="3"/>
  <c r="AQ180" i="3"/>
  <c r="D180" i="3"/>
  <c r="S180" i="3"/>
  <c r="R180" i="3"/>
  <c r="AM180" i="3"/>
  <c r="AK180" i="3"/>
  <c r="Q180" i="3"/>
  <c r="P180" i="3"/>
  <c r="AD180" i="3"/>
  <c r="O180" i="3"/>
  <c r="AE180" i="3"/>
  <c r="AF180" i="3"/>
  <c r="M180" i="3"/>
  <c r="U180" i="3"/>
  <c r="V180" i="3"/>
  <c r="G180" i="3"/>
  <c r="H180" i="3" s="1"/>
  <c r="C180" i="3"/>
  <c r="F180" i="3"/>
  <c r="T180" i="3"/>
  <c r="AH179" i="3"/>
  <c r="AX178" i="3"/>
  <c r="BD176" i="3" l="1"/>
  <c r="BN180" i="3"/>
  <c r="BC177" i="3"/>
  <c r="BG177" i="3" s="1"/>
  <c r="BH177" i="3" s="1"/>
  <c r="BI177" i="3" s="1"/>
  <c r="AU179" i="3"/>
  <c r="AV178" i="3"/>
  <c r="AG180" i="3"/>
  <c r="AY178" i="3"/>
  <c r="AN180" i="3"/>
  <c r="BB177" i="3"/>
  <c r="BQ177" i="3"/>
  <c r="BJ176" i="3"/>
  <c r="BK176" i="3" s="1"/>
  <c r="Y180" i="3"/>
  <c r="Z180" i="3" s="1"/>
  <c r="AW179" i="3"/>
  <c r="AX179" i="3"/>
  <c r="X180" i="3"/>
  <c r="BM180" i="3"/>
  <c r="AR181" i="3"/>
  <c r="B181" i="3"/>
  <c r="AQ181" i="3"/>
  <c r="A182" i="3"/>
  <c r="D181" i="3"/>
  <c r="AM181" i="3"/>
  <c r="AK181" i="3"/>
  <c r="T181" i="3"/>
  <c r="P181" i="3"/>
  <c r="R181" i="3"/>
  <c r="Q181" i="3"/>
  <c r="AD181" i="3"/>
  <c r="O181" i="3"/>
  <c r="AE181" i="3"/>
  <c r="AF181" i="3"/>
  <c r="M181" i="3"/>
  <c r="U181" i="3"/>
  <c r="V181" i="3"/>
  <c r="C181" i="3"/>
  <c r="G181" i="3"/>
  <c r="H181" i="3" s="1"/>
  <c r="F181" i="3"/>
  <c r="S181" i="3"/>
  <c r="BA178" i="3"/>
  <c r="AO180" i="3"/>
  <c r="AH180" i="3"/>
  <c r="AT179" i="3"/>
  <c r="BD177" i="3" l="1"/>
  <c r="BM181" i="3"/>
  <c r="BC178" i="3"/>
  <c r="BD178" i="3" s="1"/>
  <c r="AT180" i="3"/>
  <c r="BN181" i="3"/>
  <c r="AG181" i="3"/>
  <c r="AN181" i="3"/>
  <c r="AX180" i="3"/>
  <c r="AW180" i="3"/>
  <c r="AU180" i="3"/>
  <c r="X181" i="3"/>
  <c r="AV179" i="3"/>
  <c r="BA179" i="3"/>
  <c r="Y181" i="3"/>
  <c r="Z181" i="3" s="1"/>
  <c r="AH181" i="3"/>
  <c r="AO181" i="3"/>
  <c r="AY179" i="3"/>
  <c r="BB178" i="3"/>
  <c r="BF178" i="3"/>
  <c r="BJ177" i="3" s="1"/>
  <c r="BK177" i="3" s="1"/>
  <c r="BQ178" i="3"/>
  <c r="AR182" i="3"/>
  <c r="B182" i="3"/>
  <c r="AQ182" i="3"/>
  <c r="A183" i="3"/>
  <c r="C182" i="3"/>
  <c r="AK182" i="3"/>
  <c r="AM182" i="3"/>
  <c r="Q182" i="3"/>
  <c r="R182" i="3"/>
  <c r="AD182" i="3"/>
  <c r="O182" i="3"/>
  <c r="M182" i="3"/>
  <c r="AE182" i="3"/>
  <c r="U182" i="3"/>
  <c r="P182" i="3"/>
  <c r="AF182" i="3"/>
  <c r="V182" i="3"/>
  <c r="D182" i="3"/>
  <c r="G182" i="3"/>
  <c r="H182" i="3" s="1"/>
  <c r="F182" i="3"/>
  <c r="T182" i="3"/>
  <c r="S182" i="3"/>
  <c r="BG178" i="3" l="1"/>
  <c r="BH178" i="3" s="1"/>
  <c r="BI178" i="3" s="1"/>
  <c r="AV180" i="3"/>
  <c r="AU181" i="3"/>
  <c r="BN182" i="3"/>
  <c r="BM182" i="3"/>
  <c r="BA180" i="3"/>
  <c r="BQ180" i="3" s="1"/>
  <c r="AY180" i="3"/>
  <c r="AX181" i="3"/>
  <c r="AN182" i="3"/>
  <c r="AW181" i="3"/>
  <c r="AG182" i="3"/>
  <c r="Y182" i="3"/>
  <c r="Z182" i="3" s="1"/>
  <c r="AQ183" i="3"/>
  <c r="B183" i="3"/>
  <c r="A184" i="3"/>
  <c r="AR183" i="3"/>
  <c r="D183" i="3"/>
  <c r="AM183" i="3"/>
  <c r="T183" i="3"/>
  <c r="AK183" i="3"/>
  <c r="R183" i="3"/>
  <c r="AD183" i="3"/>
  <c r="P183" i="3"/>
  <c r="O183" i="3"/>
  <c r="AE183" i="3"/>
  <c r="U183" i="3"/>
  <c r="V183" i="3"/>
  <c r="M183" i="3"/>
  <c r="AF183" i="3"/>
  <c r="C183" i="3"/>
  <c r="Q183" i="3"/>
  <c r="G183" i="3"/>
  <c r="H183" i="3" s="1"/>
  <c r="F183" i="3"/>
  <c r="S183" i="3"/>
  <c r="X182" i="3"/>
  <c r="AH182" i="3"/>
  <c r="AO182" i="3"/>
  <c r="AT181" i="3"/>
  <c r="BC179" i="3"/>
  <c r="BQ179" i="3"/>
  <c r="BF179" i="3"/>
  <c r="BJ178" i="3" s="1"/>
  <c r="BK178" i="3" s="1"/>
  <c r="BB179" i="3"/>
  <c r="BC180" i="3" l="1"/>
  <c r="BD180" i="3" s="1"/>
  <c r="AY181" i="3"/>
  <c r="AO183" i="3"/>
  <c r="BB180" i="3"/>
  <c r="BN183" i="3"/>
  <c r="BF180" i="3"/>
  <c r="BJ179" i="3" s="1"/>
  <c r="AT182" i="3"/>
  <c r="AX182" i="3"/>
  <c r="X183" i="3"/>
  <c r="AV181" i="3"/>
  <c r="BA181" i="3"/>
  <c r="BD179" i="3"/>
  <c r="BG179" i="3"/>
  <c r="BH179" i="3" s="1"/>
  <c r="BI179" i="3" s="1"/>
  <c r="Y183" i="3"/>
  <c r="Z183" i="3" s="1"/>
  <c r="A185" i="3"/>
  <c r="B184" i="3"/>
  <c r="AR184" i="3"/>
  <c r="AQ184" i="3"/>
  <c r="AM184" i="3"/>
  <c r="T184" i="3"/>
  <c r="AK184" i="3"/>
  <c r="S184" i="3"/>
  <c r="R184" i="3"/>
  <c r="Q184" i="3"/>
  <c r="AD184" i="3"/>
  <c r="P184" i="3"/>
  <c r="O184" i="3"/>
  <c r="AE184" i="3"/>
  <c r="AF184" i="3"/>
  <c r="V184" i="3"/>
  <c r="M184" i="3"/>
  <c r="U184" i="3"/>
  <c r="D184" i="3"/>
  <c r="G184" i="3"/>
  <c r="H184" i="3" s="1"/>
  <c r="C184" i="3"/>
  <c r="F184" i="3"/>
  <c r="AU182" i="3"/>
  <c r="AW182" i="3"/>
  <c r="BM183" i="3"/>
  <c r="AH183" i="3"/>
  <c r="AG183" i="3"/>
  <c r="AN183" i="3"/>
  <c r="BG180" i="3" l="1"/>
  <c r="BH180" i="3" s="1"/>
  <c r="BI180" i="3" s="1"/>
  <c r="AO184" i="3"/>
  <c r="BC181" i="3"/>
  <c r="BG181" i="3" s="1"/>
  <c r="BH181" i="3" s="1"/>
  <c r="BI181" i="3" s="1"/>
  <c r="BK179" i="3"/>
  <c r="BM184" i="3"/>
  <c r="BN184" i="3"/>
  <c r="AT183" i="3"/>
  <c r="AG184" i="3"/>
  <c r="AY182" i="3"/>
  <c r="AH184" i="3"/>
  <c r="BA182" i="3"/>
  <c r="BF182" i="3" s="1"/>
  <c r="Y184" i="3"/>
  <c r="Z184" i="3" s="1"/>
  <c r="AR185" i="3"/>
  <c r="B185" i="3"/>
  <c r="AQ185" i="3"/>
  <c r="A186" i="3"/>
  <c r="C185" i="3"/>
  <c r="D185" i="3"/>
  <c r="AK185" i="3"/>
  <c r="AM185" i="3"/>
  <c r="Q185" i="3"/>
  <c r="AD185" i="3"/>
  <c r="P185" i="3"/>
  <c r="T185" i="3"/>
  <c r="O185" i="3"/>
  <c r="M185" i="3"/>
  <c r="AE185" i="3"/>
  <c r="AF185" i="3"/>
  <c r="U185" i="3"/>
  <c r="V185" i="3"/>
  <c r="G185" i="3"/>
  <c r="H185" i="3" s="1"/>
  <c r="R185" i="3"/>
  <c r="F185" i="3"/>
  <c r="BM185" i="3" s="1"/>
  <c r="S185" i="3"/>
  <c r="AW183" i="3"/>
  <c r="X184" i="3"/>
  <c r="AN184" i="3"/>
  <c r="AV182" i="3"/>
  <c r="AU183" i="3"/>
  <c r="AX183" i="3"/>
  <c r="BB181" i="3"/>
  <c r="BQ181" i="3"/>
  <c r="BF181" i="3"/>
  <c r="BJ180" i="3" s="1"/>
  <c r="BD181" i="3" l="1"/>
  <c r="BK180" i="3"/>
  <c r="BC182" i="3"/>
  <c r="BD182" i="3" s="1"/>
  <c r="AT184" i="3"/>
  <c r="BN185" i="3"/>
  <c r="AW184" i="3"/>
  <c r="AU184" i="3"/>
  <c r="AO185" i="3"/>
  <c r="AX184" i="3"/>
  <c r="AG185" i="3"/>
  <c r="BB182" i="3"/>
  <c r="BQ182" i="3"/>
  <c r="BA183" i="3"/>
  <c r="BQ183" i="3" s="1"/>
  <c r="Y185" i="3"/>
  <c r="Z185" i="3" s="1"/>
  <c r="AR186" i="3"/>
  <c r="B186" i="3"/>
  <c r="AQ186" i="3"/>
  <c r="A187" i="3"/>
  <c r="AM186" i="3"/>
  <c r="S186" i="3"/>
  <c r="AK186" i="3"/>
  <c r="T186" i="3"/>
  <c r="Q186" i="3"/>
  <c r="R186" i="3"/>
  <c r="AD186" i="3"/>
  <c r="P186" i="3"/>
  <c r="O186" i="3"/>
  <c r="AE186" i="3"/>
  <c r="U186" i="3"/>
  <c r="AF186" i="3"/>
  <c r="M186" i="3"/>
  <c r="V186" i="3"/>
  <c r="D186" i="3"/>
  <c r="G186" i="3"/>
  <c r="H186" i="3" s="1"/>
  <c r="C186" i="3"/>
  <c r="F186" i="3"/>
  <c r="AY183" i="3"/>
  <c r="X185" i="3"/>
  <c r="AH185" i="3"/>
  <c r="AN185" i="3"/>
  <c r="BJ181" i="3"/>
  <c r="BK181" i="3" s="1"/>
  <c r="AV183" i="3"/>
  <c r="AO186" i="3" l="1"/>
  <c r="BG182" i="3"/>
  <c r="BH182" i="3" s="1"/>
  <c r="BI182" i="3" s="1"/>
  <c r="AV184" i="3"/>
  <c r="BA184" i="3"/>
  <c r="BQ184" i="3" s="1"/>
  <c r="AY184" i="3"/>
  <c r="AT185" i="3"/>
  <c r="AW185" i="3"/>
  <c r="BB183" i="3"/>
  <c r="BF183" i="3"/>
  <c r="BJ182" i="3" s="1"/>
  <c r="X186" i="3"/>
  <c r="AU185" i="3"/>
  <c r="AX185" i="3"/>
  <c r="AH186" i="3"/>
  <c r="AG186" i="3"/>
  <c r="AQ187" i="3"/>
  <c r="B187" i="3"/>
  <c r="A188" i="3"/>
  <c r="AR187" i="3"/>
  <c r="D187" i="3"/>
  <c r="AK187" i="3"/>
  <c r="AM187" i="3"/>
  <c r="R187" i="3"/>
  <c r="Q187" i="3"/>
  <c r="AD187" i="3"/>
  <c r="P187" i="3"/>
  <c r="O187" i="3"/>
  <c r="M187" i="3"/>
  <c r="V187" i="3"/>
  <c r="U187" i="3"/>
  <c r="AE187" i="3"/>
  <c r="AF187" i="3"/>
  <c r="C187" i="3"/>
  <c r="G187" i="3"/>
  <c r="H187" i="3" s="1"/>
  <c r="F187" i="3"/>
  <c r="T187" i="3"/>
  <c r="S187" i="3"/>
  <c r="BC183" i="3"/>
  <c r="BM186" i="3"/>
  <c r="BN186" i="3"/>
  <c r="Y186" i="3"/>
  <c r="Z186" i="3" s="1"/>
  <c r="AN186" i="3"/>
  <c r="BK182" i="3" l="1"/>
  <c r="BM187" i="3"/>
  <c r="BN187" i="3"/>
  <c r="BC184" i="3"/>
  <c r="BD184" i="3" s="1"/>
  <c r="BF184" i="3"/>
  <c r="BJ183" i="3" s="1"/>
  <c r="BB184" i="3"/>
  <c r="AN187" i="3"/>
  <c r="AV185" i="3"/>
  <c r="AY185" i="3"/>
  <c r="AU186" i="3"/>
  <c r="AT186" i="3"/>
  <c r="BD183" i="3"/>
  <c r="BG183" i="3"/>
  <c r="BH183" i="3" s="1"/>
  <c r="BI183" i="3" s="1"/>
  <c r="X187" i="3"/>
  <c r="AG187" i="3"/>
  <c r="AH187" i="3"/>
  <c r="AO187" i="3"/>
  <c r="AW186" i="3"/>
  <c r="BA185" i="3"/>
  <c r="Y187" i="3"/>
  <c r="Z187" i="3" s="1"/>
  <c r="A189" i="3"/>
  <c r="B188" i="3"/>
  <c r="AR188" i="3"/>
  <c r="AQ188" i="3"/>
  <c r="D188" i="3"/>
  <c r="AK188" i="3"/>
  <c r="T188" i="3"/>
  <c r="Q188" i="3"/>
  <c r="AM188" i="3"/>
  <c r="S188" i="3"/>
  <c r="AD188" i="3"/>
  <c r="O188" i="3"/>
  <c r="P188" i="3"/>
  <c r="AE188" i="3"/>
  <c r="AF188" i="3"/>
  <c r="V188" i="3"/>
  <c r="U188" i="3"/>
  <c r="M188" i="3"/>
  <c r="C188" i="3"/>
  <c r="F188" i="3"/>
  <c r="R188" i="3"/>
  <c r="G188" i="3"/>
  <c r="H188" i="3" s="1"/>
  <c r="AX186" i="3"/>
  <c r="BG184" i="3" l="1"/>
  <c r="BH184" i="3" s="1"/>
  <c r="BI184" i="3" s="1"/>
  <c r="BK183" i="3"/>
  <c r="AN188" i="3"/>
  <c r="BC185" i="3"/>
  <c r="BD185" i="3" s="1"/>
  <c r="AV186" i="3"/>
  <c r="AU187" i="3"/>
  <c r="AT187" i="3"/>
  <c r="X188" i="3"/>
  <c r="AR189" i="3"/>
  <c r="B189" i="3"/>
  <c r="AQ189" i="3"/>
  <c r="A190" i="3"/>
  <c r="Q189" i="3"/>
  <c r="D189" i="3"/>
  <c r="AK189" i="3"/>
  <c r="AM189" i="3"/>
  <c r="R189" i="3"/>
  <c r="AD189" i="3"/>
  <c r="P189" i="3"/>
  <c r="M189" i="3"/>
  <c r="V189" i="3"/>
  <c r="O189" i="3"/>
  <c r="AE189" i="3"/>
  <c r="AF189" i="3"/>
  <c r="U189" i="3"/>
  <c r="F189" i="3"/>
  <c r="C189" i="3"/>
  <c r="G189" i="3"/>
  <c r="H189" i="3" s="1"/>
  <c r="T189" i="3"/>
  <c r="S189" i="3"/>
  <c r="BQ185" i="3"/>
  <c r="BB185" i="3"/>
  <c r="BF185" i="3"/>
  <c r="BJ184" i="3" s="1"/>
  <c r="BK184" i="3" s="1"/>
  <c r="AH188" i="3"/>
  <c r="BN188" i="3"/>
  <c r="BM188" i="3"/>
  <c r="AG188" i="3"/>
  <c r="AO188" i="3"/>
  <c r="AX187" i="3"/>
  <c r="Y188" i="3"/>
  <c r="Z188" i="3" s="1"/>
  <c r="AY186" i="3"/>
  <c r="AW187" i="3"/>
  <c r="BA186" i="3"/>
  <c r="BN189" i="3" l="1"/>
  <c r="BG185" i="3"/>
  <c r="BH185" i="3" s="1"/>
  <c r="BI185" i="3" s="1"/>
  <c r="BC186" i="3"/>
  <c r="BD186" i="3" s="1"/>
  <c r="AO189" i="3"/>
  <c r="AV187" i="3"/>
  <c r="AU188" i="3"/>
  <c r="AW188" i="3"/>
  <c r="AG189" i="3"/>
  <c r="AT188" i="3"/>
  <c r="X189" i="3"/>
  <c r="BA187" i="3"/>
  <c r="BF187" i="3" s="1"/>
  <c r="BQ186" i="3"/>
  <c r="BB186" i="3"/>
  <c r="BF186" i="3"/>
  <c r="AY187" i="3"/>
  <c r="Y189" i="3"/>
  <c r="Z189" i="3" s="1"/>
  <c r="AR190" i="3"/>
  <c r="B190" i="3"/>
  <c r="AQ190" i="3"/>
  <c r="A191" i="3"/>
  <c r="D190" i="3"/>
  <c r="C190" i="3"/>
  <c r="AM190" i="3"/>
  <c r="S190" i="3"/>
  <c r="R190" i="3"/>
  <c r="AK190" i="3"/>
  <c r="Q190" i="3"/>
  <c r="P190" i="3"/>
  <c r="AD190" i="3"/>
  <c r="O190" i="3"/>
  <c r="AE190" i="3"/>
  <c r="M190" i="3"/>
  <c r="AF190" i="3"/>
  <c r="U190" i="3"/>
  <c r="V190" i="3"/>
  <c r="G190" i="3"/>
  <c r="H190" i="3" s="1"/>
  <c r="F190" i="3"/>
  <c r="T190" i="3"/>
  <c r="AX188" i="3"/>
  <c r="BM189" i="3"/>
  <c r="AH189" i="3"/>
  <c r="AN189" i="3"/>
  <c r="BC187" i="3" l="1"/>
  <c r="BD187" i="3" s="1"/>
  <c r="BG186" i="3"/>
  <c r="BH186" i="3" s="1"/>
  <c r="BI186" i="3" s="1"/>
  <c r="BN190" i="3"/>
  <c r="AV188" i="3"/>
  <c r="BA188" i="3"/>
  <c r="BQ188" i="3" s="1"/>
  <c r="BB187" i="3"/>
  <c r="AO190" i="3"/>
  <c r="BQ187" i="3"/>
  <c r="AX189" i="3"/>
  <c r="AY188" i="3"/>
  <c r="BM190" i="3"/>
  <c r="AG190" i="3"/>
  <c r="AH190" i="3"/>
  <c r="AN190" i="3"/>
  <c r="AU189" i="3"/>
  <c r="AQ191" i="3"/>
  <c r="B191" i="3"/>
  <c r="A192" i="3"/>
  <c r="AR191" i="3"/>
  <c r="AM191" i="3"/>
  <c r="Q191" i="3"/>
  <c r="C191" i="3"/>
  <c r="AK191" i="3"/>
  <c r="AD191" i="3"/>
  <c r="O191" i="3"/>
  <c r="S191" i="3"/>
  <c r="P191" i="3"/>
  <c r="AE191" i="3"/>
  <c r="AF191" i="3"/>
  <c r="V191" i="3"/>
  <c r="M191" i="3"/>
  <c r="U191" i="3"/>
  <c r="F191" i="3"/>
  <c r="R191" i="3"/>
  <c r="D191" i="3"/>
  <c r="G191" i="3"/>
  <c r="H191" i="3" s="1"/>
  <c r="T191" i="3"/>
  <c r="BJ186" i="3"/>
  <c r="BK186" i="3" s="1"/>
  <c r="BJ185" i="3"/>
  <c r="BK185" i="3" s="1"/>
  <c r="Y190" i="3"/>
  <c r="Z190" i="3" s="1"/>
  <c r="X190" i="3"/>
  <c r="AT189" i="3"/>
  <c r="AW189" i="3"/>
  <c r="BG187" i="3" l="1"/>
  <c r="BH187" i="3" s="1"/>
  <c r="BI187" i="3" s="1"/>
  <c r="AO191" i="3"/>
  <c r="BM191" i="3"/>
  <c r="BB188" i="3"/>
  <c r="BF188" i="3"/>
  <c r="BJ187" i="3" s="1"/>
  <c r="BK187" i="3" s="1"/>
  <c r="BC188" i="3"/>
  <c r="BG188" i="3" s="1"/>
  <c r="BH188" i="3" s="1"/>
  <c r="BI188" i="3" s="1"/>
  <c r="AY189" i="3"/>
  <c r="AT190" i="3"/>
  <c r="AU190" i="3"/>
  <c r="Y191" i="3"/>
  <c r="Z191" i="3" s="1"/>
  <c r="A193" i="3"/>
  <c r="B192" i="3"/>
  <c r="AR192" i="3"/>
  <c r="AQ192" i="3"/>
  <c r="D192" i="3"/>
  <c r="C192" i="3"/>
  <c r="AM192" i="3"/>
  <c r="AK192" i="3"/>
  <c r="R192" i="3"/>
  <c r="AD192" i="3"/>
  <c r="Q192" i="3"/>
  <c r="P192" i="3"/>
  <c r="O192" i="3"/>
  <c r="V192" i="3"/>
  <c r="AE192" i="3"/>
  <c r="M192" i="3"/>
  <c r="AF192" i="3"/>
  <c r="U192" i="3"/>
  <c r="G192" i="3"/>
  <c r="H192" i="3" s="1"/>
  <c r="F192" i="3"/>
  <c r="S192" i="3"/>
  <c r="T192" i="3"/>
  <c r="BN191" i="3"/>
  <c r="AG191" i="3"/>
  <c r="AH191" i="3"/>
  <c r="X191" i="3"/>
  <c r="AN191" i="3"/>
  <c r="AX190" i="3"/>
  <c r="BA189" i="3"/>
  <c r="AV189" i="3"/>
  <c r="AW190" i="3"/>
  <c r="BM192" i="3" l="1"/>
  <c r="BN192" i="3"/>
  <c r="BC189" i="3"/>
  <c r="BG189" i="3" s="1"/>
  <c r="BH189" i="3" s="1"/>
  <c r="BI189" i="3" s="1"/>
  <c r="BD188" i="3"/>
  <c r="AV190" i="3"/>
  <c r="AW191" i="3"/>
  <c r="AO192" i="3"/>
  <c r="AH192" i="3"/>
  <c r="AY190" i="3"/>
  <c r="Y192" i="3"/>
  <c r="Z192" i="3" s="1"/>
  <c r="AR193" i="3"/>
  <c r="B193" i="3"/>
  <c r="AQ193" i="3"/>
  <c r="A194" i="3"/>
  <c r="AK193" i="3"/>
  <c r="T193" i="3"/>
  <c r="Q193" i="3"/>
  <c r="AM193" i="3"/>
  <c r="C193" i="3"/>
  <c r="S193" i="3"/>
  <c r="R193" i="3"/>
  <c r="AD193" i="3"/>
  <c r="P193" i="3"/>
  <c r="M193" i="3"/>
  <c r="O193" i="3"/>
  <c r="AF193" i="3"/>
  <c r="AE193" i="3"/>
  <c r="V193" i="3"/>
  <c r="U193" i="3"/>
  <c r="D193" i="3"/>
  <c r="F193" i="3"/>
  <c r="G193" i="3"/>
  <c r="H193" i="3" s="1"/>
  <c r="AT191" i="3"/>
  <c r="AX191" i="3"/>
  <c r="X192" i="3"/>
  <c r="AG192" i="3"/>
  <c r="AN192" i="3"/>
  <c r="BA190" i="3"/>
  <c r="BB189" i="3"/>
  <c r="BQ189" i="3"/>
  <c r="BF189" i="3"/>
  <c r="BJ188" i="3" s="1"/>
  <c r="BK188" i="3" s="1"/>
  <c r="AU191" i="3"/>
  <c r="BM193" i="3" l="1"/>
  <c r="BD189" i="3"/>
  <c r="BN193" i="3"/>
  <c r="AT192" i="3"/>
  <c r="AY191" i="3"/>
  <c r="BC190" i="3"/>
  <c r="BD190" i="3" s="1"/>
  <c r="AN193" i="3"/>
  <c r="AX192" i="3"/>
  <c r="AU192" i="3"/>
  <c r="BA191" i="3"/>
  <c r="AV191" i="3"/>
  <c r="Y193" i="3"/>
  <c r="Z193" i="3" s="1"/>
  <c r="AR194" i="3"/>
  <c r="B194" i="3"/>
  <c r="AQ194" i="3"/>
  <c r="A195" i="3"/>
  <c r="C194" i="3"/>
  <c r="AK194" i="3"/>
  <c r="S194" i="3"/>
  <c r="AM194" i="3"/>
  <c r="R194" i="3"/>
  <c r="Q194" i="3"/>
  <c r="AD194" i="3"/>
  <c r="P194" i="3"/>
  <c r="AE194" i="3"/>
  <c r="V194" i="3"/>
  <c r="O194" i="3"/>
  <c r="M194" i="3"/>
  <c r="AF194" i="3"/>
  <c r="U194" i="3"/>
  <c r="G194" i="3"/>
  <c r="H194" i="3" s="1"/>
  <c r="F194" i="3"/>
  <c r="D194" i="3"/>
  <c r="T194" i="3"/>
  <c r="BB190" i="3"/>
  <c r="BQ190" i="3"/>
  <c r="BF190" i="3"/>
  <c r="BJ189" i="3" s="1"/>
  <c r="BK189" i="3" s="1"/>
  <c r="AH193" i="3"/>
  <c r="AW192" i="3"/>
  <c r="AG193" i="3"/>
  <c r="X193" i="3"/>
  <c r="AO193" i="3"/>
  <c r="AN194" i="3" l="1"/>
  <c r="BC191" i="3"/>
  <c r="BG191" i="3" s="1"/>
  <c r="BH191" i="3" s="1"/>
  <c r="BI191" i="3" s="1"/>
  <c r="AY192" i="3"/>
  <c r="BG190" i="3"/>
  <c r="BH190" i="3" s="1"/>
  <c r="BI190" i="3" s="1"/>
  <c r="AV192" i="3"/>
  <c r="BN194" i="3"/>
  <c r="AU193" i="3"/>
  <c r="AT193" i="3"/>
  <c r="BQ191" i="3"/>
  <c r="BF191" i="3"/>
  <c r="BJ190" i="3" s="1"/>
  <c r="BB191" i="3"/>
  <c r="AH194" i="3"/>
  <c r="X194" i="3"/>
  <c r="AQ195" i="3"/>
  <c r="B195" i="3"/>
  <c r="A196" i="3"/>
  <c r="AR195" i="3"/>
  <c r="AM195" i="3"/>
  <c r="D195" i="3"/>
  <c r="AK195" i="3"/>
  <c r="R195" i="3"/>
  <c r="T195" i="3"/>
  <c r="P195" i="3"/>
  <c r="S195" i="3"/>
  <c r="Q195" i="3"/>
  <c r="AD195" i="3"/>
  <c r="AE195" i="3"/>
  <c r="O195" i="3"/>
  <c r="M195" i="3"/>
  <c r="AF195" i="3"/>
  <c r="V195" i="3"/>
  <c r="U195" i="3"/>
  <c r="G195" i="3"/>
  <c r="H195" i="3" s="1"/>
  <c r="C195" i="3"/>
  <c r="F195" i="3"/>
  <c r="AG194" i="3"/>
  <c r="AW193" i="3"/>
  <c r="AX193" i="3"/>
  <c r="BA192" i="3"/>
  <c r="Y194" i="3"/>
  <c r="Z194" i="3" s="1"/>
  <c r="BM194" i="3"/>
  <c r="AO194" i="3"/>
  <c r="BK190" i="3" l="1"/>
  <c r="BN195" i="3"/>
  <c r="BD191" i="3"/>
  <c r="BC192" i="3"/>
  <c r="BD192" i="3" s="1"/>
  <c r="AO195" i="3"/>
  <c r="AV193" i="3"/>
  <c r="BM195" i="3"/>
  <c r="AU194" i="3"/>
  <c r="AX194" i="3"/>
  <c r="AG195" i="3"/>
  <c r="AY193" i="3"/>
  <c r="BQ192" i="3"/>
  <c r="BF192" i="3"/>
  <c r="BJ191" i="3" s="1"/>
  <c r="BK191" i="3" s="1"/>
  <c r="BB192" i="3"/>
  <c r="Y195" i="3"/>
  <c r="Z195" i="3" s="1"/>
  <c r="AT194" i="3"/>
  <c r="AW194" i="3"/>
  <c r="A197" i="3"/>
  <c r="B196" i="3"/>
  <c r="AR196" i="3"/>
  <c r="AQ196" i="3"/>
  <c r="S196" i="3"/>
  <c r="AM196" i="3"/>
  <c r="AK196" i="3"/>
  <c r="T196" i="3"/>
  <c r="R196" i="3"/>
  <c r="AD196" i="3"/>
  <c r="Q196" i="3"/>
  <c r="P196" i="3"/>
  <c r="M196" i="3"/>
  <c r="V196" i="3"/>
  <c r="U196" i="3"/>
  <c r="O196" i="3"/>
  <c r="AF196" i="3"/>
  <c r="AE196" i="3"/>
  <c r="C196" i="3"/>
  <c r="D196" i="3"/>
  <c r="G196" i="3"/>
  <c r="H196" i="3" s="1"/>
  <c r="F196" i="3"/>
  <c r="BA193" i="3"/>
  <c r="X195" i="3"/>
  <c r="AH195" i="3"/>
  <c r="AN195" i="3"/>
  <c r="BG192" i="3" l="1"/>
  <c r="BH192" i="3" s="1"/>
  <c r="BI192" i="3" s="1"/>
  <c r="AG196" i="3"/>
  <c r="BC193" i="3"/>
  <c r="BD193" i="3" s="1"/>
  <c r="BM196" i="3"/>
  <c r="AY194" i="3"/>
  <c r="AN196" i="3"/>
  <c r="Y196" i="3"/>
  <c r="Z196" i="3" s="1"/>
  <c r="AH196" i="3"/>
  <c r="AU195" i="3"/>
  <c r="AX195" i="3"/>
  <c r="BF193" i="3"/>
  <c r="BJ192" i="3" s="1"/>
  <c r="BB193" i="3"/>
  <c r="BQ193" i="3"/>
  <c r="AR197" i="3"/>
  <c r="B197" i="3"/>
  <c r="AQ197" i="3"/>
  <c r="A198" i="3"/>
  <c r="C197" i="3"/>
  <c r="D197" i="3"/>
  <c r="AM197" i="3"/>
  <c r="R197" i="3"/>
  <c r="AK197" i="3"/>
  <c r="Q197" i="3"/>
  <c r="AD197" i="3"/>
  <c r="P197" i="3"/>
  <c r="AE197" i="3"/>
  <c r="V197" i="3"/>
  <c r="O197" i="3"/>
  <c r="M197" i="3"/>
  <c r="AF197" i="3"/>
  <c r="U197" i="3"/>
  <c r="G197" i="3"/>
  <c r="H197" i="3" s="1"/>
  <c r="F197" i="3"/>
  <c r="T197" i="3"/>
  <c r="S197" i="3"/>
  <c r="AV194" i="3"/>
  <c r="BA194" i="3"/>
  <c r="AT195" i="3"/>
  <c r="AW195" i="3"/>
  <c r="BN196" i="3"/>
  <c r="X196" i="3"/>
  <c r="AO196" i="3"/>
  <c r="BK192" i="3" l="1"/>
  <c r="AO197" i="3"/>
  <c r="BC194" i="3"/>
  <c r="BD194" i="3" s="1"/>
  <c r="BG193" i="3"/>
  <c r="BH193" i="3" s="1"/>
  <c r="BI193" i="3" s="1"/>
  <c r="AU196" i="3"/>
  <c r="BN197" i="3"/>
  <c r="AT196" i="3"/>
  <c r="AW196" i="3"/>
  <c r="Y197" i="3"/>
  <c r="Z197" i="3" s="1"/>
  <c r="AV195" i="3"/>
  <c r="BA195" i="3"/>
  <c r="BB194" i="3"/>
  <c r="BQ194" i="3"/>
  <c r="BF194" i="3"/>
  <c r="BJ193" i="3" s="1"/>
  <c r="AR198" i="3"/>
  <c r="B198" i="3"/>
  <c r="AQ198" i="3"/>
  <c r="A199" i="3"/>
  <c r="C198" i="3"/>
  <c r="AK198" i="3"/>
  <c r="AM198" i="3"/>
  <c r="T198" i="3"/>
  <c r="Q198" i="3"/>
  <c r="R198" i="3"/>
  <c r="AD198" i="3"/>
  <c r="P198" i="3"/>
  <c r="O198" i="3"/>
  <c r="M198" i="3"/>
  <c r="AE198" i="3"/>
  <c r="AF198" i="3"/>
  <c r="V198" i="3"/>
  <c r="U198" i="3"/>
  <c r="D198" i="3"/>
  <c r="G198" i="3"/>
  <c r="H198" i="3" s="1"/>
  <c r="F198" i="3"/>
  <c r="S198" i="3"/>
  <c r="AG197" i="3"/>
  <c r="AH197" i="3"/>
  <c r="AN197" i="3"/>
  <c r="AY195" i="3"/>
  <c r="X197" i="3"/>
  <c r="BM197" i="3"/>
  <c r="AX196" i="3"/>
  <c r="BK193" i="3" l="1"/>
  <c r="BM198" i="3"/>
  <c r="BG194" i="3"/>
  <c r="BH194" i="3" s="1"/>
  <c r="BI194" i="3" s="1"/>
  <c r="AV196" i="3"/>
  <c r="BN198" i="3"/>
  <c r="BA196" i="3"/>
  <c r="BF196" i="3" s="1"/>
  <c r="AX197" i="3"/>
  <c r="AH198" i="3"/>
  <c r="X198" i="3"/>
  <c r="Y198" i="3"/>
  <c r="Z198" i="3" s="1"/>
  <c r="BF195" i="3"/>
  <c r="BJ194" i="3" s="1"/>
  <c r="BK194" i="3" s="1"/>
  <c r="BB195" i="3"/>
  <c r="BQ195" i="3"/>
  <c r="AU197" i="3"/>
  <c r="AT197" i="3"/>
  <c r="AW197" i="3"/>
  <c r="AG198" i="3"/>
  <c r="AY196" i="3"/>
  <c r="AN198" i="3"/>
  <c r="AO198" i="3"/>
  <c r="AQ199" i="3"/>
  <c r="B199" i="3"/>
  <c r="A200" i="3"/>
  <c r="AR199" i="3"/>
  <c r="D199" i="3"/>
  <c r="AM199" i="3"/>
  <c r="C199" i="3"/>
  <c r="AK199" i="3"/>
  <c r="R199" i="3"/>
  <c r="P199" i="3"/>
  <c r="S199" i="3"/>
  <c r="AD199" i="3"/>
  <c r="O199" i="3"/>
  <c r="AF199" i="3"/>
  <c r="M199" i="3"/>
  <c r="AE199" i="3"/>
  <c r="V199" i="3"/>
  <c r="U199" i="3"/>
  <c r="Q199" i="3"/>
  <c r="G199" i="3"/>
  <c r="H199" i="3" s="1"/>
  <c r="F199" i="3"/>
  <c r="T199" i="3"/>
  <c r="BC195" i="3"/>
  <c r="BM199" i="3" l="1"/>
  <c r="BC196" i="3"/>
  <c r="BD196" i="3" s="1"/>
  <c r="AG199" i="3"/>
  <c r="AO199" i="3"/>
  <c r="BN199" i="3"/>
  <c r="AY197" i="3"/>
  <c r="BQ196" i="3"/>
  <c r="AU198" i="3"/>
  <c r="BB196" i="3"/>
  <c r="AT198" i="3"/>
  <c r="AX198" i="3"/>
  <c r="Y199" i="3"/>
  <c r="Z199" i="3" s="1"/>
  <c r="BD195" i="3"/>
  <c r="BG195" i="3"/>
  <c r="BH195" i="3" s="1"/>
  <c r="BI195" i="3" s="1"/>
  <c r="A201" i="3"/>
  <c r="B200" i="3"/>
  <c r="AR200" i="3"/>
  <c r="AQ200" i="3"/>
  <c r="AM200" i="3"/>
  <c r="S200" i="3"/>
  <c r="R200" i="3"/>
  <c r="AK200" i="3"/>
  <c r="Q200" i="3"/>
  <c r="P200" i="3"/>
  <c r="AD200" i="3"/>
  <c r="O200" i="3"/>
  <c r="M200" i="3"/>
  <c r="AE200" i="3"/>
  <c r="U200" i="3"/>
  <c r="AF200" i="3"/>
  <c r="V200" i="3"/>
  <c r="C200" i="3"/>
  <c r="D200" i="3"/>
  <c r="F200" i="3"/>
  <c r="G200" i="3"/>
  <c r="H200" i="3" s="1"/>
  <c r="T200" i="3"/>
  <c r="BA197" i="3"/>
  <c r="AV197" i="3"/>
  <c r="X199" i="3"/>
  <c r="AW198" i="3"/>
  <c r="AH199" i="3"/>
  <c r="AN199" i="3"/>
  <c r="BJ195" i="3"/>
  <c r="BC197" i="3" l="1"/>
  <c r="BD197" i="3" s="1"/>
  <c r="BM200" i="3"/>
  <c r="BG196" i="3"/>
  <c r="BH196" i="3" s="1"/>
  <c r="BI196" i="3" s="1"/>
  <c r="AU199" i="3"/>
  <c r="BK195" i="3"/>
  <c r="AV198" i="3"/>
  <c r="BN200" i="3"/>
  <c r="AO200" i="3"/>
  <c r="AY198" i="3"/>
  <c r="AG200" i="3"/>
  <c r="AW199" i="3"/>
  <c r="Y200" i="3"/>
  <c r="Z200" i="3" s="1"/>
  <c r="BQ197" i="3"/>
  <c r="BF197" i="3"/>
  <c r="BJ196" i="3" s="1"/>
  <c r="BB197" i="3"/>
  <c r="AR201" i="3"/>
  <c r="B201" i="3"/>
  <c r="AQ201" i="3"/>
  <c r="A202" i="3"/>
  <c r="D201" i="3"/>
  <c r="AM201" i="3"/>
  <c r="AK201" i="3"/>
  <c r="S201" i="3"/>
  <c r="Q201" i="3"/>
  <c r="AD201" i="3"/>
  <c r="R201" i="3"/>
  <c r="P201" i="3"/>
  <c r="O201" i="3"/>
  <c r="AE201" i="3"/>
  <c r="M201" i="3"/>
  <c r="V201" i="3"/>
  <c r="U201" i="3"/>
  <c r="AF201" i="3"/>
  <c r="C201" i="3"/>
  <c r="F201" i="3"/>
  <c r="G201" i="3"/>
  <c r="H201" i="3" s="1"/>
  <c r="T201" i="3"/>
  <c r="AX199" i="3"/>
  <c r="AT199" i="3"/>
  <c r="BA198" i="3"/>
  <c r="AH200" i="3"/>
  <c r="AN200" i="3"/>
  <c r="X200" i="3"/>
  <c r="BN201" i="3" l="1"/>
  <c r="BG197" i="3"/>
  <c r="BH197" i="3" s="1"/>
  <c r="BI197" i="3" s="1"/>
  <c r="BK196" i="3"/>
  <c r="AY199" i="3"/>
  <c r="BC198" i="3"/>
  <c r="BD198" i="3" s="1"/>
  <c r="AX200" i="3"/>
  <c r="BM201" i="3"/>
  <c r="AN201" i="3"/>
  <c r="AU200" i="3"/>
  <c r="Y201" i="3"/>
  <c r="Z201" i="3" s="1"/>
  <c r="BQ198" i="3"/>
  <c r="BF198" i="3"/>
  <c r="BJ197" i="3" s="1"/>
  <c r="BK197" i="3" s="1"/>
  <c r="BB198" i="3"/>
  <c r="AV199" i="3"/>
  <c r="BA199" i="3"/>
  <c r="AT200" i="3"/>
  <c r="AG201" i="3"/>
  <c r="AW200" i="3"/>
  <c r="X201" i="3"/>
  <c r="AO201" i="3"/>
  <c r="AR202" i="3"/>
  <c r="B202" i="3"/>
  <c r="AQ202" i="3"/>
  <c r="A203" i="3"/>
  <c r="AM202" i="3"/>
  <c r="R202" i="3"/>
  <c r="D202" i="3"/>
  <c r="AK202" i="3"/>
  <c r="AD202" i="3"/>
  <c r="Q202" i="3"/>
  <c r="P202" i="3"/>
  <c r="M202" i="3"/>
  <c r="AF202" i="3"/>
  <c r="AE202" i="3"/>
  <c r="V202" i="3"/>
  <c r="O202" i="3"/>
  <c r="U202" i="3"/>
  <c r="C202" i="3"/>
  <c r="G202" i="3"/>
  <c r="H202" i="3" s="1"/>
  <c r="F202" i="3"/>
  <c r="S202" i="3"/>
  <c r="T202" i="3"/>
  <c r="AH201" i="3"/>
  <c r="BN202" i="3" l="1"/>
  <c r="BM202" i="3"/>
  <c r="BC199" i="3"/>
  <c r="BD199" i="3" s="1"/>
  <c r="AV200" i="3"/>
  <c r="BG198" i="3"/>
  <c r="BH198" i="3" s="1"/>
  <c r="BI198" i="3" s="1"/>
  <c r="AU201" i="3"/>
  <c r="AY200" i="3"/>
  <c r="AN202" i="3"/>
  <c r="X202" i="3"/>
  <c r="AQ203" i="3"/>
  <c r="B203" i="3"/>
  <c r="A204" i="3"/>
  <c r="AR203" i="3"/>
  <c r="AK203" i="3"/>
  <c r="T203" i="3"/>
  <c r="S203" i="3"/>
  <c r="R203" i="3"/>
  <c r="AM203" i="3"/>
  <c r="Q203" i="3"/>
  <c r="O203" i="3"/>
  <c r="AD203" i="3"/>
  <c r="AE203" i="3"/>
  <c r="AF203" i="3"/>
  <c r="U203" i="3"/>
  <c r="M203" i="3"/>
  <c r="V203" i="3"/>
  <c r="G203" i="3"/>
  <c r="H203" i="3" s="1"/>
  <c r="D203" i="3"/>
  <c r="C203" i="3"/>
  <c r="F203" i="3"/>
  <c r="P203" i="3"/>
  <c r="BB199" i="3"/>
  <c r="BQ199" i="3"/>
  <c r="BF199" i="3"/>
  <c r="BJ198" i="3" s="1"/>
  <c r="AH202" i="3"/>
  <c r="AX201" i="3"/>
  <c r="Y202" i="3"/>
  <c r="Z202" i="3" s="1"/>
  <c r="AG202" i="3"/>
  <c r="AO202" i="3"/>
  <c r="AT201" i="3"/>
  <c r="AW201" i="3"/>
  <c r="BA200" i="3"/>
  <c r="BG199" i="3" l="1"/>
  <c r="BH199" i="3" s="1"/>
  <c r="BI199" i="3" s="1"/>
  <c r="BK198" i="3"/>
  <c r="BC200" i="3"/>
  <c r="BG200" i="3" s="1"/>
  <c r="BH200" i="3" s="1"/>
  <c r="BI200" i="3" s="1"/>
  <c r="AN203" i="3"/>
  <c r="BN203" i="3"/>
  <c r="AT202" i="3"/>
  <c r="AU202" i="3"/>
  <c r="AW202" i="3"/>
  <c r="Y203" i="3"/>
  <c r="Z203" i="3" s="1"/>
  <c r="X203" i="3"/>
  <c r="AY201" i="3"/>
  <c r="BB200" i="3"/>
  <c r="BF200" i="3"/>
  <c r="BJ199" i="3" s="1"/>
  <c r="BK199" i="3" s="1"/>
  <c r="BQ200" i="3"/>
  <c r="AV201" i="3"/>
  <c r="BA201" i="3"/>
  <c r="A205" i="3"/>
  <c r="B204" i="3"/>
  <c r="AR204" i="3"/>
  <c r="AQ204" i="3"/>
  <c r="C204" i="3"/>
  <c r="D204" i="3"/>
  <c r="AK204" i="3"/>
  <c r="AM204" i="3"/>
  <c r="S204" i="3"/>
  <c r="R204" i="3"/>
  <c r="AD204" i="3"/>
  <c r="O204" i="3"/>
  <c r="P204" i="3"/>
  <c r="M204" i="3"/>
  <c r="AF204" i="3"/>
  <c r="AE204" i="3"/>
  <c r="V204" i="3"/>
  <c r="U204" i="3"/>
  <c r="Q204" i="3"/>
  <c r="F204" i="3"/>
  <c r="G204" i="3"/>
  <c r="H204" i="3" s="1"/>
  <c r="T204" i="3"/>
  <c r="BM203" i="3"/>
  <c r="AG203" i="3"/>
  <c r="AO203" i="3"/>
  <c r="AX202" i="3"/>
  <c r="AH203" i="3"/>
  <c r="BD200" i="3" l="1"/>
  <c r="BM204" i="3"/>
  <c r="AN204" i="3"/>
  <c r="AV202" i="3"/>
  <c r="BN204" i="3"/>
  <c r="AY202" i="3"/>
  <c r="AG204" i="3"/>
  <c r="BC201" i="3"/>
  <c r="BG201" i="3" s="1"/>
  <c r="BH201" i="3" s="1"/>
  <c r="BI201" i="3" s="1"/>
  <c r="AX203" i="3"/>
  <c r="Y204" i="3"/>
  <c r="Z204" i="3" s="1"/>
  <c r="BB201" i="3"/>
  <c r="BF201" i="3"/>
  <c r="BJ200" i="3" s="1"/>
  <c r="BK200" i="3" s="1"/>
  <c r="BQ201" i="3"/>
  <c r="AW203" i="3"/>
  <c r="BA202" i="3"/>
  <c r="AR205" i="3"/>
  <c r="B205" i="3"/>
  <c r="AQ205" i="3"/>
  <c r="A206" i="3"/>
  <c r="D205" i="3"/>
  <c r="AK205" i="3"/>
  <c r="AM205" i="3"/>
  <c r="T205" i="3"/>
  <c r="Q205" i="3"/>
  <c r="R205" i="3"/>
  <c r="P205" i="3"/>
  <c r="AD205" i="3"/>
  <c r="O205" i="3"/>
  <c r="AE205" i="3"/>
  <c r="M205" i="3"/>
  <c r="U205" i="3"/>
  <c r="AF205" i="3"/>
  <c r="V205" i="3"/>
  <c r="F205" i="3"/>
  <c r="C205" i="3"/>
  <c r="G205" i="3"/>
  <c r="H205" i="3" s="1"/>
  <c r="S205" i="3"/>
  <c r="AU203" i="3"/>
  <c r="AT203" i="3"/>
  <c r="AH204" i="3"/>
  <c r="AO204" i="3"/>
  <c r="X204" i="3"/>
  <c r="BN205" i="3" l="1"/>
  <c r="BC202" i="3"/>
  <c r="BG202" i="3" s="1"/>
  <c r="BH202" i="3" s="1"/>
  <c r="BI202" i="3" s="1"/>
  <c r="AO205" i="3"/>
  <c r="BD201" i="3"/>
  <c r="AG205" i="3"/>
  <c r="AT204" i="3"/>
  <c r="AY203" i="3"/>
  <c r="X205" i="3"/>
  <c r="AV203" i="3"/>
  <c r="BA203" i="3"/>
  <c r="Y205" i="3"/>
  <c r="Z205" i="3" s="1"/>
  <c r="AH205" i="3"/>
  <c r="AX204" i="3"/>
  <c r="BM205" i="3"/>
  <c r="AN205" i="3"/>
  <c r="AU204" i="3"/>
  <c r="AW204" i="3"/>
  <c r="AR206" i="3"/>
  <c r="B206" i="3"/>
  <c r="AQ206" i="3"/>
  <c r="A207" i="3"/>
  <c r="D206" i="3"/>
  <c r="AM206" i="3"/>
  <c r="S206" i="3"/>
  <c r="C206" i="3"/>
  <c r="AK206" i="3"/>
  <c r="R206" i="3"/>
  <c r="AD206" i="3"/>
  <c r="T206" i="3"/>
  <c r="O206" i="3"/>
  <c r="P206" i="3"/>
  <c r="M206" i="3"/>
  <c r="AE206" i="3"/>
  <c r="AF206" i="3"/>
  <c r="V206" i="3"/>
  <c r="U206" i="3"/>
  <c r="G206" i="3"/>
  <c r="H206" i="3" s="1"/>
  <c r="F206" i="3"/>
  <c r="Q206" i="3"/>
  <c r="BF202" i="3"/>
  <c r="BB202" i="3"/>
  <c r="BQ202" i="3"/>
  <c r="BC203" i="3" l="1"/>
  <c r="BD203" i="3" s="1"/>
  <c r="BD202" i="3"/>
  <c r="BM206" i="3"/>
  <c r="AU205" i="3"/>
  <c r="BN206" i="3"/>
  <c r="AW205" i="3"/>
  <c r="AV204" i="3"/>
  <c r="AX205" i="3"/>
  <c r="AO206" i="3"/>
  <c r="AH206" i="3"/>
  <c r="BJ201" i="3"/>
  <c r="BK201" i="3" s="1"/>
  <c r="AQ207" i="3"/>
  <c r="B207" i="3"/>
  <c r="A208" i="3"/>
  <c r="AR207" i="3"/>
  <c r="AK207" i="3"/>
  <c r="T207" i="3"/>
  <c r="AM207" i="3"/>
  <c r="Q207" i="3"/>
  <c r="R207" i="3"/>
  <c r="AD207" i="3"/>
  <c r="P207" i="3"/>
  <c r="O207" i="3"/>
  <c r="M207" i="3"/>
  <c r="AE207" i="3"/>
  <c r="U207" i="3"/>
  <c r="AF207" i="3"/>
  <c r="V207" i="3"/>
  <c r="D207" i="3"/>
  <c r="C207" i="3"/>
  <c r="G207" i="3"/>
  <c r="H207" i="3" s="1"/>
  <c r="F207" i="3"/>
  <c r="S207" i="3"/>
  <c r="BA204" i="3"/>
  <c r="AY204" i="3"/>
  <c r="AG206" i="3"/>
  <c r="X206" i="3"/>
  <c r="AN206" i="3"/>
  <c r="AT205" i="3"/>
  <c r="Y206" i="3"/>
  <c r="Z206" i="3" s="1"/>
  <c r="BQ203" i="3"/>
  <c r="BF203" i="3"/>
  <c r="BJ202" i="3" s="1"/>
  <c r="BK202" i="3" s="1"/>
  <c r="BB203" i="3"/>
  <c r="BM207" i="3" l="1"/>
  <c r="BN207" i="3"/>
  <c r="BG203" i="3"/>
  <c r="BH203" i="3" s="1"/>
  <c r="BI203" i="3" s="1"/>
  <c r="BC204" i="3"/>
  <c r="BG204" i="3" s="1"/>
  <c r="BH204" i="3" s="1"/>
  <c r="BI204" i="3" s="1"/>
  <c r="AU206" i="3"/>
  <c r="AN207" i="3"/>
  <c r="AY205" i="3"/>
  <c r="AX206" i="3"/>
  <c r="AG207" i="3"/>
  <c r="AW206" i="3"/>
  <c r="X207" i="3"/>
  <c r="AV205" i="3"/>
  <c r="BA205" i="3"/>
  <c r="BF204" i="3"/>
  <c r="BJ203" i="3" s="1"/>
  <c r="BK203" i="3" s="1"/>
  <c r="BQ204" i="3"/>
  <c r="BB204" i="3"/>
  <c r="A209" i="3"/>
  <c r="B208" i="3"/>
  <c r="AR208" i="3"/>
  <c r="AQ208" i="3"/>
  <c r="AM208" i="3"/>
  <c r="T208" i="3"/>
  <c r="AK208" i="3"/>
  <c r="C208" i="3"/>
  <c r="Q208" i="3"/>
  <c r="R208" i="3"/>
  <c r="AD208" i="3"/>
  <c r="P208" i="3"/>
  <c r="S208" i="3"/>
  <c r="O208" i="3"/>
  <c r="M208" i="3"/>
  <c r="AE208" i="3"/>
  <c r="AF208" i="3"/>
  <c r="U208" i="3"/>
  <c r="V208" i="3"/>
  <c r="D208" i="3"/>
  <c r="G208" i="3"/>
  <c r="H208" i="3" s="1"/>
  <c r="F208" i="3"/>
  <c r="AH207" i="3"/>
  <c r="AT206" i="3"/>
  <c r="AO207" i="3"/>
  <c r="Y207" i="3"/>
  <c r="Z207" i="3" s="1"/>
  <c r="BD204" i="3" l="1"/>
  <c r="BM208" i="3"/>
  <c r="AU207" i="3"/>
  <c r="BC205" i="3"/>
  <c r="BD205" i="3" s="1"/>
  <c r="AY206" i="3"/>
  <c r="AO208" i="3"/>
  <c r="BN208" i="3"/>
  <c r="AT207" i="3"/>
  <c r="AW207" i="3"/>
  <c r="AR209" i="3"/>
  <c r="B209" i="3"/>
  <c r="AQ209" i="3"/>
  <c r="A210" i="3"/>
  <c r="D209" i="3"/>
  <c r="C209" i="3"/>
  <c r="R209" i="3"/>
  <c r="AK209" i="3"/>
  <c r="AM209" i="3"/>
  <c r="Q209" i="3"/>
  <c r="S209" i="3"/>
  <c r="AD209" i="3"/>
  <c r="P209" i="3"/>
  <c r="AF209" i="3"/>
  <c r="O209" i="3"/>
  <c r="AE209" i="3"/>
  <c r="M209" i="3"/>
  <c r="V209" i="3"/>
  <c r="U209" i="3"/>
  <c r="G209" i="3"/>
  <c r="H209" i="3" s="1"/>
  <c r="F209" i="3"/>
  <c r="T209" i="3"/>
  <c r="BA206" i="3"/>
  <c r="AV206" i="3"/>
  <c r="Y208" i="3"/>
  <c r="Z208" i="3" s="1"/>
  <c r="AN208" i="3"/>
  <c r="AG208" i="3"/>
  <c r="X208" i="3"/>
  <c r="BQ205" i="3"/>
  <c r="BF205" i="3"/>
  <c r="BJ204" i="3" s="1"/>
  <c r="BK204" i="3" s="1"/>
  <c r="BB205" i="3"/>
  <c r="AX207" i="3"/>
  <c r="AH208" i="3"/>
  <c r="AV207" i="3" l="1"/>
  <c r="BC206" i="3"/>
  <c r="BG206" i="3" s="1"/>
  <c r="BH206" i="3" s="1"/>
  <c r="BI206" i="3" s="1"/>
  <c r="BG205" i="3"/>
  <c r="BH205" i="3" s="1"/>
  <c r="BI205" i="3" s="1"/>
  <c r="AG209" i="3"/>
  <c r="AT208" i="3"/>
  <c r="AO209" i="3"/>
  <c r="BN209" i="3"/>
  <c r="BA207" i="3"/>
  <c r="BB207" i="3" s="1"/>
  <c r="BQ206" i="3"/>
  <c r="BB206" i="3"/>
  <c r="BF206" i="3"/>
  <c r="BJ205" i="3" s="1"/>
  <c r="BK205" i="3" s="1"/>
  <c r="AX208" i="3"/>
  <c r="AY207" i="3"/>
  <c r="AU208" i="3"/>
  <c r="AW208" i="3"/>
  <c r="BM209" i="3"/>
  <c r="AN209" i="3"/>
  <c r="AR210" i="3"/>
  <c r="B210" i="3"/>
  <c r="AQ210" i="3"/>
  <c r="A211" i="3"/>
  <c r="AK210" i="3"/>
  <c r="Q210" i="3"/>
  <c r="AM210" i="3"/>
  <c r="T210" i="3"/>
  <c r="AD210" i="3"/>
  <c r="P210" i="3"/>
  <c r="O210" i="3"/>
  <c r="U210" i="3"/>
  <c r="AE210" i="3"/>
  <c r="M210" i="3"/>
  <c r="AF210" i="3"/>
  <c r="V210" i="3"/>
  <c r="R210" i="3"/>
  <c r="C210" i="3"/>
  <c r="F210" i="3"/>
  <c r="D210" i="3"/>
  <c r="G210" i="3"/>
  <c r="H210" i="3" s="1"/>
  <c r="S210" i="3"/>
  <c r="Y209" i="3"/>
  <c r="Z209" i="3" s="1"/>
  <c r="AH209" i="3"/>
  <c r="X209" i="3"/>
  <c r="BD206" i="3" l="1"/>
  <c r="BC207" i="3"/>
  <c r="BG207" i="3" s="1"/>
  <c r="BH207" i="3" s="1"/>
  <c r="BI207" i="3" s="1"/>
  <c r="AN210" i="3"/>
  <c r="AV208" i="3"/>
  <c r="BN210" i="3"/>
  <c r="BM210" i="3"/>
  <c r="BQ207" i="3"/>
  <c r="BF207" i="3"/>
  <c r="BJ206" i="3" s="1"/>
  <c r="BK206" i="3" s="1"/>
  <c r="AX209" i="3"/>
  <c r="BA208" i="3"/>
  <c r="BQ208" i="3" s="1"/>
  <c r="AY208" i="3"/>
  <c r="AG210" i="3"/>
  <c r="AH210" i="3"/>
  <c r="AO210" i="3"/>
  <c r="AT209" i="3"/>
  <c r="Y210" i="3"/>
  <c r="Z210" i="3" s="1"/>
  <c r="AQ211" i="3"/>
  <c r="B211" i="3"/>
  <c r="A212" i="3"/>
  <c r="AR211" i="3"/>
  <c r="AK211" i="3"/>
  <c r="AM211" i="3"/>
  <c r="C211" i="3"/>
  <c r="R211" i="3"/>
  <c r="Q211" i="3"/>
  <c r="AD211" i="3"/>
  <c r="P211" i="3"/>
  <c r="M211" i="3"/>
  <c r="AF211" i="3"/>
  <c r="U211" i="3"/>
  <c r="O211" i="3"/>
  <c r="AE211" i="3"/>
  <c r="V211" i="3"/>
  <c r="D211" i="3"/>
  <c r="G211" i="3"/>
  <c r="H211" i="3" s="1"/>
  <c r="F211" i="3"/>
  <c r="S211" i="3"/>
  <c r="T211" i="3"/>
  <c r="X210" i="3"/>
  <c r="AW209" i="3"/>
  <c r="AU209" i="3"/>
  <c r="BD207" i="3" l="1"/>
  <c r="BB208" i="3"/>
  <c r="AY209" i="3"/>
  <c r="BC208" i="3"/>
  <c r="BN211" i="3"/>
  <c r="AO211" i="3"/>
  <c r="BM211" i="3"/>
  <c r="AG211" i="3"/>
  <c r="BF208" i="3"/>
  <c r="BJ207" i="3" s="1"/>
  <c r="BK207" i="3" s="1"/>
  <c r="Y211" i="3"/>
  <c r="Z211" i="3" s="1"/>
  <c r="A213" i="3"/>
  <c r="B212" i="3"/>
  <c r="AR212" i="3"/>
  <c r="AQ212" i="3"/>
  <c r="D212" i="3"/>
  <c r="AM212" i="3"/>
  <c r="Q212" i="3"/>
  <c r="R212" i="3"/>
  <c r="C212" i="3"/>
  <c r="AK212" i="3"/>
  <c r="P212" i="3"/>
  <c r="AD212" i="3"/>
  <c r="AF212" i="3"/>
  <c r="U212" i="3"/>
  <c r="O212" i="3"/>
  <c r="AE212" i="3"/>
  <c r="M212" i="3"/>
  <c r="V212" i="3"/>
  <c r="F212" i="3"/>
  <c r="G212" i="3"/>
  <c r="H212" i="3" s="1"/>
  <c r="S212" i="3"/>
  <c r="T212" i="3"/>
  <c r="BA209" i="3"/>
  <c r="AV209" i="3"/>
  <c r="X211" i="3"/>
  <c r="AW210" i="3"/>
  <c r="AU210" i="3"/>
  <c r="AX210" i="3"/>
  <c r="AH211" i="3"/>
  <c r="AN211" i="3"/>
  <c r="AT210" i="3"/>
  <c r="AO212" i="3" l="1"/>
  <c r="BM212" i="3"/>
  <c r="BC209" i="3"/>
  <c r="BG209" i="3" s="1"/>
  <c r="BH209" i="3" s="1"/>
  <c r="BI209" i="3" s="1"/>
  <c r="BG208" i="3"/>
  <c r="BH208" i="3" s="1"/>
  <c r="BI208" i="3" s="1"/>
  <c r="BD208" i="3"/>
  <c r="BN212" i="3"/>
  <c r="AG212" i="3"/>
  <c r="AX211" i="3"/>
  <c r="Y212" i="3"/>
  <c r="Z212" i="3" s="1"/>
  <c r="X212" i="3"/>
  <c r="AV210" i="3"/>
  <c r="BA210" i="3"/>
  <c r="BQ209" i="3"/>
  <c r="BF209" i="3"/>
  <c r="BJ208" i="3" s="1"/>
  <c r="BK208" i="3" s="1"/>
  <c r="BB209" i="3"/>
  <c r="AR213" i="3"/>
  <c r="B213" i="3"/>
  <c r="AQ213" i="3"/>
  <c r="A214" i="3"/>
  <c r="AK213" i="3"/>
  <c r="T213" i="3"/>
  <c r="AM213" i="3"/>
  <c r="S213" i="3"/>
  <c r="R213" i="3"/>
  <c r="AD213" i="3"/>
  <c r="P213" i="3"/>
  <c r="M213" i="3"/>
  <c r="AF213" i="3"/>
  <c r="U213" i="3"/>
  <c r="O213" i="3"/>
  <c r="AE213" i="3"/>
  <c r="V213" i="3"/>
  <c r="Q213" i="3"/>
  <c r="C213" i="3"/>
  <c r="D213" i="3"/>
  <c r="G213" i="3"/>
  <c r="H213" i="3" s="1"/>
  <c r="F213" i="3"/>
  <c r="AT211" i="3"/>
  <c r="AW211" i="3"/>
  <c r="AY210" i="3"/>
  <c r="AU211" i="3"/>
  <c r="AH212" i="3"/>
  <c r="AN212" i="3"/>
  <c r="BD209" i="3" l="1"/>
  <c r="AN213" i="3"/>
  <c r="AT212" i="3"/>
  <c r="BN213" i="3"/>
  <c r="BC210" i="3"/>
  <c r="BG210" i="3" s="1"/>
  <c r="BH210" i="3" s="1"/>
  <c r="BI210" i="3" s="1"/>
  <c r="AY211" i="3"/>
  <c r="AW212" i="3"/>
  <c r="AU212" i="3"/>
  <c r="X213" i="3"/>
  <c r="Y213" i="3"/>
  <c r="Z213" i="3" s="1"/>
  <c r="AR214" i="3"/>
  <c r="B214" i="3"/>
  <c r="AQ214" i="3"/>
  <c r="A215" i="3"/>
  <c r="D214" i="3"/>
  <c r="AM214" i="3"/>
  <c r="AK214" i="3"/>
  <c r="S214" i="3"/>
  <c r="Q214" i="3"/>
  <c r="R214" i="3"/>
  <c r="AD214" i="3"/>
  <c r="P214" i="3"/>
  <c r="O214" i="3"/>
  <c r="AE214" i="3"/>
  <c r="M214" i="3"/>
  <c r="AF214" i="3"/>
  <c r="V214" i="3"/>
  <c r="U214" i="3"/>
  <c r="F214" i="3"/>
  <c r="C214" i="3"/>
  <c r="G214" i="3"/>
  <c r="H214" i="3" s="1"/>
  <c r="T214" i="3"/>
  <c r="AX212" i="3"/>
  <c r="BM213" i="3"/>
  <c r="AG213" i="3"/>
  <c r="AH213" i="3"/>
  <c r="AV211" i="3"/>
  <c r="BA211" i="3"/>
  <c r="BB210" i="3"/>
  <c r="BF210" i="3"/>
  <c r="BJ209" i="3" s="1"/>
  <c r="BK209" i="3" s="1"/>
  <c r="BQ210" i="3"/>
  <c r="AO213" i="3"/>
  <c r="BN214" i="3" l="1"/>
  <c r="BD210" i="3"/>
  <c r="AY212" i="3"/>
  <c r="AO214" i="3"/>
  <c r="AV212" i="3"/>
  <c r="BM214" i="3"/>
  <c r="BC211" i="3"/>
  <c r="BG211" i="3" s="1"/>
  <c r="BH211" i="3" s="1"/>
  <c r="BI211" i="3" s="1"/>
  <c r="AT213" i="3"/>
  <c r="AH214" i="3"/>
  <c r="BA212" i="3"/>
  <c r="BB212" i="3" s="1"/>
  <c r="BB211" i="3"/>
  <c r="BF211" i="3"/>
  <c r="BJ210" i="3" s="1"/>
  <c r="BK210" i="3" s="1"/>
  <c r="BQ211" i="3"/>
  <c r="AQ215" i="3"/>
  <c r="B215" i="3"/>
  <c r="A216" i="3"/>
  <c r="AR215" i="3"/>
  <c r="C215" i="3"/>
  <c r="S215" i="3"/>
  <c r="AK215" i="3"/>
  <c r="AM215" i="3"/>
  <c r="T215" i="3"/>
  <c r="Q215" i="3"/>
  <c r="R215" i="3"/>
  <c r="AD215" i="3"/>
  <c r="P215" i="3"/>
  <c r="M215" i="3"/>
  <c r="AE215" i="3"/>
  <c r="O215" i="3"/>
  <c r="V215" i="3"/>
  <c r="AF215" i="3"/>
  <c r="U215" i="3"/>
  <c r="G215" i="3"/>
  <c r="H215" i="3" s="1"/>
  <c r="D215" i="3"/>
  <c r="F215" i="3"/>
  <c r="AX213" i="3"/>
  <c r="AU213" i="3"/>
  <c r="AW213" i="3"/>
  <c r="Y214" i="3"/>
  <c r="Z214" i="3" s="1"/>
  <c r="X214" i="3"/>
  <c r="AG214" i="3"/>
  <c r="AN214" i="3"/>
  <c r="BC212" i="3" l="1"/>
  <c r="BD212" i="3" s="1"/>
  <c r="BD211" i="3"/>
  <c r="BM215" i="3"/>
  <c r="AO215" i="3"/>
  <c r="BQ212" i="3"/>
  <c r="BF212" i="3"/>
  <c r="BJ211" i="3" s="1"/>
  <c r="BK211" i="3" s="1"/>
  <c r="AT214" i="3"/>
  <c r="AX214" i="3"/>
  <c r="AY213" i="3"/>
  <c r="AG215" i="3"/>
  <c r="BA213" i="3"/>
  <c r="BQ213" i="3" s="1"/>
  <c r="AW214" i="3"/>
  <c r="AU214" i="3"/>
  <c r="BN215" i="3"/>
  <c r="AH215" i="3"/>
  <c r="AN215" i="3"/>
  <c r="AV213" i="3"/>
  <c r="Y215" i="3"/>
  <c r="Z215" i="3" s="1"/>
  <c r="A217" i="3"/>
  <c r="B216" i="3"/>
  <c r="AR216" i="3"/>
  <c r="AQ216" i="3"/>
  <c r="AK216" i="3"/>
  <c r="Q216" i="3"/>
  <c r="AM216" i="3"/>
  <c r="T216" i="3"/>
  <c r="R216" i="3"/>
  <c r="AD216" i="3"/>
  <c r="P216" i="3"/>
  <c r="O216" i="3"/>
  <c r="M216" i="3"/>
  <c r="AE216" i="3"/>
  <c r="V216" i="3"/>
  <c r="AF216" i="3"/>
  <c r="U216" i="3"/>
  <c r="D216" i="3"/>
  <c r="F216" i="3"/>
  <c r="C216" i="3"/>
  <c r="G216" i="3"/>
  <c r="H216" i="3" s="1"/>
  <c r="S216" i="3"/>
  <c r="X215" i="3"/>
  <c r="BC213" i="3" l="1"/>
  <c r="BG213" i="3" s="1"/>
  <c r="BH213" i="3" s="1"/>
  <c r="BI213" i="3" s="1"/>
  <c r="BG212" i="3"/>
  <c r="BH212" i="3" s="1"/>
  <c r="BI212" i="3" s="1"/>
  <c r="AN216" i="3"/>
  <c r="AY214" i="3"/>
  <c r="AV214" i="3"/>
  <c r="AT215" i="3"/>
  <c r="AU215" i="3"/>
  <c r="AW215" i="3"/>
  <c r="AH216" i="3"/>
  <c r="BB213" i="3"/>
  <c r="BF213" i="3"/>
  <c r="BJ212" i="3" s="1"/>
  <c r="X216" i="3"/>
  <c r="Y216" i="3"/>
  <c r="Z216" i="3" s="1"/>
  <c r="BN216" i="3"/>
  <c r="AR217" i="3"/>
  <c r="B217" i="3"/>
  <c r="AQ217" i="3"/>
  <c r="A218" i="3"/>
  <c r="D217" i="3"/>
  <c r="AM217" i="3"/>
  <c r="AK217" i="3"/>
  <c r="T217" i="3"/>
  <c r="P217" i="3"/>
  <c r="Q217" i="3"/>
  <c r="AD217" i="3"/>
  <c r="O217" i="3"/>
  <c r="M217" i="3"/>
  <c r="AE217" i="3"/>
  <c r="AF217" i="3"/>
  <c r="V217" i="3"/>
  <c r="U217" i="3"/>
  <c r="R217" i="3"/>
  <c r="C217" i="3"/>
  <c r="G217" i="3"/>
  <c r="H217" i="3" s="1"/>
  <c r="F217" i="3"/>
  <c r="S217" i="3"/>
  <c r="BM216" i="3"/>
  <c r="AO216" i="3"/>
  <c r="BA214" i="3"/>
  <c r="AX215" i="3"/>
  <c r="AG216" i="3"/>
  <c r="BD213" i="3" l="1"/>
  <c r="BM217" i="3"/>
  <c r="BK212" i="3"/>
  <c r="BC214" i="3"/>
  <c r="BG214" i="3" s="1"/>
  <c r="BH214" i="3" s="1"/>
  <c r="BI214" i="3" s="1"/>
  <c r="AW216" i="3"/>
  <c r="BN217" i="3"/>
  <c r="AV215" i="3"/>
  <c r="BA215" i="3"/>
  <c r="BQ215" i="3" s="1"/>
  <c r="AN217" i="3"/>
  <c r="AG217" i="3"/>
  <c r="X217" i="3"/>
  <c r="BQ214" i="3"/>
  <c r="BB214" i="3"/>
  <c r="BF214" i="3"/>
  <c r="BJ213" i="3" s="1"/>
  <c r="BK213" i="3" s="1"/>
  <c r="Y217" i="3"/>
  <c r="Z217" i="3" s="1"/>
  <c r="AY215" i="3"/>
  <c r="AU216" i="3"/>
  <c r="AT216" i="3"/>
  <c r="AX216" i="3"/>
  <c r="AH217" i="3"/>
  <c r="AO217" i="3"/>
  <c r="AR218" i="3"/>
  <c r="B218" i="3"/>
  <c r="AQ218" i="3"/>
  <c r="A219" i="3"/>
  <c r="D218" i="3"/>
  <c r="C218" i="3"/>
  <c r="AM218" i="3"/>
  <c r="T218" i="3"/>
  <c r="AK218" i="3"/>
  <c r="R218" i="3"/>
  <c r="S218" i="3"/>
  <c r="Q218" i="3"/>
  <c r="P218" i="3"/>
  <c r="AD218" i="3"/>
  <c r="O218" i="3"/>
  <c r="M218" i="3"/>
  <c r="AF218" i="3"/>
  <c r="AE218" i="3"/>
  <c r="U218" i="3"/>
  <c r="V218" i="3"/>
  <c r="G218" i="3"/>
  <c r="H218" i="3" s="1"/>
  <c r="F218" i="3"/>
  <c r="BM218" i="3" s="1"/>
  <c r="BN218" i="3" l="1"/>
  <c r="BF215" i="3"/>
  <c r="BJ214" i="3" s="1"/>
  <c r="BK214" i="3" s="1"/>
  <c r="AO218" i="3"/>
  <c r="AT217" i="3"/>
  <c r="BD214" i="3"/>
  <c r="AY216" i="3"/>
  <c r="AW217" i="3"/>
  <c r="BC215" i="3"/>
  <c r="BD215" i="3" s="1"/>
  <c r="AU217" i="3"/>
  <c r="BB215" i="3"/>
  <c r="AG218" i="3"/>
  <c r="AX217" i="3"/>
  <c r="Y218" i="3"/>
  <c r="Z218" i="3" s="1"/>
  <c r="AH218" i="3"/>
  <c r="AN218" i="3"/>
  <c r="AQ219" i="3"/>
  <c r="B219" i="3"/>
  <c r="A220" i="3"/>
  <c r="AR219" i="3"/>
  <c r="AK219" i="3"/>
  <c r="AM219" i="3"/>
  <c r="R219" i="3"/>
  <c r="AD219" i="3"/>
  <c r="P219" i="3"/>
  <c r="S219" i="3"/>
  <c r="O219" i="3"/>
  <c r="M219" i="3"/>
  <c r="AE219" i="3"/>
  <c r="AF219" i="3"/>
  <c r="V219" i="3"/>
  <c r="U219" i="3"/>
  <c r="Q219" i="3"/>
  <c r="D219" i="3"/>
  <c r="F219" i="3"/>
  <c r="C219" i="3"/>
  <c r="G219" i="3"/>
  <c r="H219" i="3" s="1"/>
  <c r="T219" i="3"/>
  <c r="BA216" i="3"/>
  <c r="AV216" i="3"/>
  <c r="X218" i="3"/>
  <c r="BC216" i="3" l="1"/>
  <c r="BD216" i="3" s="1"/>
  <c r="AV217" i="3"/>
  <c r="AY217" i="3"/>
  <c r="BN219" i="3"/>
  <c r="BM219" i="3"/>
  <c r="BG215" i="3"/>
  <c r="BH215" i="3" s="1"/>
  <c r="BI215" i="3" s="1"/>
  <c r="BA217" i="3"/>
  <c r="BQ217" i="3" s="1"/>
  <c r="AO219" i="3"/>
  <c r="AX218" i="3"/>
  <c r="AG219" i="3"/>
  <c r="A221" i="3"/>
  <c r="B220" i="3"/>
  <c r="AR220" i="3"/>
  <c r="AQ220" i="3"/>
  <c r="AK220" i="3"/>
  <c r="AM220" i="3"/>
  <c r="D220" i="3"/>
  <c r="S220" i="3"/>
  <c r="T220" i="3"/>
  <c r="Q220" i="3"/>
  <c r="AD220" i="3"/>
  <c r="O220" i="3"/>
  <c r="P220" i="3"/>
  <c r="AE220" i="3"/>
  <c r="M220" i="3"/>
  <c r="V220" i="3"/>
  <c r="U220" i="3"/>
  <c r="AF220" i="3"/>
  <c r="R220" i="3"/>
  <c r="F220" i="3"/>
  <c r="C220" i="3"/>
  <c r="G220" i="3"/>
  <c r="H220" i="3" s="1"/>
  <c r="Y219" i="3"/>
  <c r="Z219" i="3" s="1"/>
  <c r="AU218" i="3"/>
  <c r="X219" i="3"/>
  <c r="AH219" i="3"/>
  <c r="AN219" i="3"/>
  <c r="AT218" i="3"/>
  <c r="AW218" i="3"/>
  <c r="BQ216" i="3"/>
  <c r="BF216" i="3"/>
  <c r="BJ215" i="3" s="1"/>
  <c r="BB216" i="3"/>
  <c r="BK215" i="3" l="1"/>
  <c r="BC217" i="3"/>
  <c r="BG217" i="3" s="1"/>
  <c r="BH217" i="3" s="1"/>
  <c r="BI217" i="3" s="1"/>
  <c r="AU219" i="3"/>
  <c r="BB217" i="3"/>
  <c r="BG216" i="3"/>
  <c r="BH216" i="3" s="1"/>
  <c r="BI216" i="3" s="1"/>
  <c r="BN220" i="3"/>
  <c r="BF217" i="3"/>
  <c r="BJ216" i="3" s="1"/>
  <c r="BK216" i="3" s="1"/>
  <c r="BM220" i="3"/>
  <c r="AN220" i="3"/>
  <c r="AT219" i="3"/>
  <c r="AH220" i="3"/>
  <c r="AY218" i="3"/>
  <c r="Y220" i="3"/>
  <c r="Z220" i="3" s="1"/>
  <c r="AR221" i="3"/>
  <c r="B221" i="3"/>
  <c r="AQ221" i="3"/>
  <c r="A222" i="3"/>
  <c r="AM221" i="3"/>
  <c r="D221" i="3"/>
  <c r="AK221" i="3"/>
  <c r="Q221" i="3"/>
  <c r="R221" i="3"/>
  <c r="AD221" i="3"/>
  <c r="P221" i="3"/>
  <c r="M221" i="3"/>
  <c r="O221" i="3"/>
  <c r="V221" i="3"/>
  <c r="AF221" i="3"/>
  <c r="AE221" i="3"/>
  <c r="U221" i="3"/>
  <c r="C221" i="3"/>
  <c r="G221" i="3"/>
  <c r="H221" i="3" s="1"/>
  <c r="F221" i="3"/>
  <c r="S221" i="3"/>
  <c r="T221" i="3"/>
  <c r="AX219" i="3"/>
  <c r="AW219" i="3"/>
  <c r="X220" i="3"/>
  <c r="AO220" i="3"/>
  <c r="AV218" i="3"/>
  <c r="BA218" i="3"/>
  <c r="AG220" i="3"/>
  <c r="AO221" i="3" l="1"/>
  <c r="BM221" i="3"/>
  <c r="AV219" i="3"/>
  <c r="BD217" i="3"/>
  <c r="BC218" i="3"/>
  <c r="BG218" i="3" s="1"/>
  <c r="BH218" i="3" s="1"/>
  <c r="BI218" i="3" s="1"/>
  <c r="BN221" i="3"/>
  <c r="AX220" i="3"/>
  <c r="AU220" i="3"/>
  <c r="X221" i="3"/>
  <c r="AY219" i="3"/>
  <c r="AN221" i="3"/>
  <c r="BF218" i="3"/>
  <c r="BJ217" i="3" s="1"/>
  <c r="BK217" i="3" s="1"/>
  <c r="BQ218" i="3"/>
  <c r="BB218" i="3"/>
  <c r="AR222" i="3"/>
  <c r="B222" i="3"/>
  <c r="AQ222" i="3"/>
  <c r="A223" i="3"/>
  <c r="C222" i="3"/>
  <c r="D222" i="3"/>
  <c r="R222" i="3"/>
  <c r="AK222" i="3"/>
  <c r="AM222" i="3"/>
  <c r="Q222" i="3"/>
  <c r="S222" i="3"/>
  <c r="P222" i="3"/>
  <c r="AD222" i="3"/>
  <c r="O222" i="3"/>
  <c r="M222" i="3"/>
  <c r="AE222" i="3"/>
  <c r="AF222" i="3"/>
  <c r="U222" i="3"/>
  <c r="V222" i="3"/>
  <c r="F222" i="3"/>
  <c r="G222" i="3"/>
  <c r="H222" i="3" s="1"/>
  <c r="T222" i="3"/>
  <c r="AW220" i="3"/>
  <c r="AT220" i="3"/>
  <c r="BA219" i="3"/>
  <c r="Y221" i="3"/>
  <c r="Z221" i="3" s="1"/>
  <c r="AG221" i="3"/>
  <c r="AH221" i="3"/>
  <c r="BD218" i="3" l="1"/>
  <c r="BC219" i="3"/>
  <c r="BD219" i="3" s="1"/>
  <c r="AY220" i="3"/>
  <c r="BM222" i="3"/>
  <c r="AX221" i="3"/>
  <c r="AG222" i="3"/>
  <c r="AO222" i="3"/>
  <c r="Y222" i="3"/>
  <c r="Z222" i="3" s="1"/>
  <c r="AV220" i="3"/>
  <c r="BA220" i="3"/>
  <c r="BQ219" i="3"/>
  <c r="BF219" i="3"/>
  <c r="BJ218" i="3" s="1"/>
  <c r="BK218" i="3" s="1"/>
  <c r="BB219" i="3"/>
  <c r="AW221" i="3"/>
  <c r="BN222" i="3"/>
  <c r="AH222" i="3"/>
  <c r="AN222" i="3"/>
  <c r="X222" i="3"/>
  <c r="AT221" i="3"/>
  <c r="AQ223" i="3"/>
  <c r="B223" i="3"/>
  <c r="A224" i="3"/>
  <c r="AR223" i="3"/>
  <c r="AM223" i="3"/>
  <c r="Q223" i="3"/>
  <c r="AK223" i="3"/>
  <c r="AD223" i="3"/>
  <c r="O223" i="3"/>
  <c r="M223" i="3"/>
  <c r="U223" i="3"/>
  <c r="V223" i="3"/>
  <c r="P223" i="3"/>
  <c r="AF223" i="3"/>
  <c r="AE223" i="3"/>
  <c r="R223" i="3"/>
  <c r="F223" i="3"/>
  <c r="C223" i="3"/>
  <c r="D223" i="3"/>
  <c r="G223" i="3"/>
  <c r="H223" i="3" s="1"/>
  <c r="S223" i="3"/>
  <c r="T223" i="3"/>
  <c r="AU221" i="3"/>
  <c r="AY221" i="3" l="1"/>
  <c r="BG219" i="3"/>
  <c r="BH219" i="3" s="1"/>
  <c r="BI219" i="3" s="1"/>
  <c r="BC220" i="3"/>
  <c r="BG220" i="3" s="1"/>
  <c r="BH220" i="3" s="1"/>
  <c r="BI220" i="3" s="1"/>
  <c r="AO223" i="3"/>
  <c r="BM223" i="3"/>
  <c r="AW222" i="3"/>
  <c r="AG223" i="3"/>
  <c r="AT222" i="3"/>
  <c r="AX222" i="3"/>
  <c r="X223" i="3"/>
  <c r="AV221" i="3"/>
  <c r="BA221" i="3"/>
  <c r="Y223" i="3"/>
  <c r="Z223" i="3" s="1"/>
  <c r="BN223" i="3"/>
  <c r="AH223" i="3"/>
  <c r="AU222" i="3"/>
  <c r="A225" i="3"/>
  <c r="B224" i="3"/>
  <c r="AR224" i="3"/>
  <c r="AQ224" i="3"/>
  <c r="C224" i="3"/>
  <c r="D224" i="3"/>
  <c r="AM224" i="3"/>
  <c r="AK224" i="3"/>
  <c r="S224" i="3"/>
  <c r="R224" i="3"/>
  <c r="AD224" i="3"/>
  <c r="Q224" i="3"/>
  <c r="P224" i="3"/>
  <c r="O224" i="3"/>
  <c r="AF224" i="3"/>
  <c r="U224" i="3"/>
  <c r="V224" i="3"/>
  <c r="M224" i="3"/>
  <c r="AE224" i="3"/>
  <c r="F224" i="3"/>
  <c r="G224" i="3"/>
  <c r="H224" i="3" s="1"/>
  <c r="T224" i="3"/>
  <c r="BB220" i="3"/>
  <c r="BQ220" i="3"/>
  <c r="BF220" i="3"/>
  <c r="AN223" i="3"/>
  <c r="BD220" i="3" l="1"/>
  <c r="BC221" i="3"/>
  <c r="BD221" i="3" s="1"/>
  <c r="AU223" i="3"/>
  <c r="AV222" i="3"/>
  <c r="AG224" i="3"/>
  <c r="BM224" i="3"/>
  <c r="BN224" i="3"/>
  <c r="AY222" i="3"/>
  <c r="AW223" i="3"/>
  <c r="AN224" i="3"/>
  <c r="AT223" i="3"/>
  <c r="BJ219" i="3"/>
  <c r="BK219" i="3" s="1"/>
  <c r="Y224" i="3"/>
  <c r="Z224" i="3" s="1"/>
  <c r="AO224" i="3"/>
  <c r="AX223" i="3"/>
  <c r="BA222" i="3"/>
  <c r="AR225" i="3"/>
  <c r="B225" i="3"/>
  <c r="AQ225" i="3"/>
  <c r="A226" i="3"/>
  <c r="D225" i="3"/>
  <c r="AK225" i="3"/>
  <c r="AM225" i="3"/>
  <c r="Q225" i="3"/>
  <c r="R225" i="3"/>
  <c r="AD225" i="3"/>
  <c r="T225" i="3"/>
  <c r="P225" i="3"/>
  <c r="O225" i="3"/>
  <c r="V225" i="3"/>
  <c r="M225" i="3"/>
  <c r="AF225" i="3"/>
  <c r="AE225" i="3"/>
  <c r="U225" i="3"/>
  <c r="F225" i="3"/>
  <c r="G225" i="3"/>
  <c r="H225" i="3" s="1"/>
  <c r="C225" i="3"/>
  <c r="S225" i="3"/>
  <c r="BB221" i="3"/>
  <c r="BQ221" i="3"/>
  <c r="BF221" i="3"/>
  <c r="BJ220" i="3" s="1"/>
  <c r="BK220" i="3" s="1"/>
  <c r="AH224" i="3"/>
  <c r="X224" i="3"/>
  <c r="AV223" i="3" l="1"/>
  <c r="BG221" i="3"/>
  <c r="BH221" i="3" s="1"/>
  <c r="BI221" i="3" s="1"/>
  <c r="BC222" i="3"/>
  <c r="BD222" i="3" s="1"/>
  <c r="AX224" i="3"/>
  <c r="BN225" i="3"/>
  <c r="BM225" i="3"/>
  <c r="AN225" i="3"/>
  <c r="AY223" i="3"/>
  <c r="AG225" i="3"/>
  <c r="BA223" i="3"/>
  <c r="BQ223" i="3" s="1"/>
  <c r="AR226" i="3"/>
  <c r="B226" i="3"/>
  <c r="AQ226" i="3"/>
  <c r="A227" i="3"/>
  <c r="S226" i="3"/>
  <c r="R226" i="3"/>
  <c r="AK226" i="3"/>
  <c r="AM226" i="3"/>
  <c r="Q226" i="3"/>
  <c r="AD226" i="3"/>
  <c r="P226" i="3"/>
  <c r="O226" i="3"/>
  <c r="M226" i="3"/>
  <c r="AF226" i="3"/>
  <c r="V226" i="3"/>
  <c r="U226" i="3"/>
  <c r="AE226" i="3"/>
  <c r="C226" i="3"/>
  <c r="D226" i="3"/>
  <c r="F226" i="3"/>
  <c r="G226" i="3"/>
  <c r="H226" i="3" s="1"/>
  <c r="T226" i="3"/>
  <c r="BF222" i="3"/>
  <c r="BJ221" i="3" s="1"/>
  <c r="BK221" i="3" s="1"/>
  <c r="BB222" i="3"/>
  <c r="BQ222" i="3"/>
  <c r="AT224" i="3"/>
  <c r="AW224" i="3"/>
  <c r="X225" i="3"/>
  <c r="AH225" i="3"/>
  <c r="AO225" i="3"/>
  <c r="AU224" i="3"/>
  <c r="Y225" i="3"/>
  <c r="Z225" i="3" s="1"/>
  <c r="BC223" i="3" l="1"/>
  <c r="BG223" i="3" s="1"/>
  <c r="BH223" i="3" s="1"/>
  <c r="BI223" i="3" s="1"/>
  <c r="BN226" i="3"/>
  <c r="BG222" i="3"/>
  <c r="BH222" i="3" s="1"/>
  <c r="BI222" i="3" s="1"/>
  <c r="AY224" i="3"/>
  <c r="BM226" i="3"/>
  <c r="AO226" i="3"/>
  <c r="BB223" i="3"/>
  <c r="BF223" i="3"/>
  <c r="BJ222" i="3" s="1"/>
  <c r="BK222" i="3" s="1"/>
  <c r="AX225" i="3"/>
  <c r="AU225" i="3"/>
  <c r="AV224" i="3"/>
  <c r="AG226" i="3"/>
  <c r="AQ227" i="3"/>
  <c r="B227" i="3"/>
  <c r="A228" i="3"/>
  <c r="AR227" i="3"/>
  <c r="D227" i="3"/>
  <c r="C227" i="3"/>
  <c r="AM227" i="3"/>
  <c r="AK227" i="3"/>
  <c r="T227" i="3"/>
  <c r="S227" i="3"/>
  <c r="R227" i="3"/>
  <c r="Q227" i="3"/>
  <c r="AD227" i="3"/>
  <c r="P227" i="3"/>
  <c r="O227" i="3"/>
  <c r="AE227" i="3"/>
  <c r="M227" i="3"/>
  <c r="V227" i="3"/>
  <c r="U227" i="3"/>
  <c r="AF227" i="3"/>
  <c r="G227" i="3"/>
  <c r="H227" i="3" s="1"/>
  <c r="F227" i="3"/>
  <c r="BM227" i="3" s="1"/>
  <c r="AT225" i="3"/>
  <c r="AW225" i="3"/>
  <c r="BA224" i="3"/>
  <c r="Y226" i="3"/>
  <c r="Z226" i="3" s="1"/>
  <c r="X226" i="3"/>
  <c r="AH226" i="3"/>
  <c r="AN226" i="3"/>
  <c r="BD223" i="3" l="1"/>
  <c r="BN227" i="3"/>
  <c r="BC224" i="3"/>
  <c r="BD224" i="3" s="1"/>
  <c r="AX226" i="3"/>
  <c r="AO227" i="3"/>
  <c r="AY225" i="3"/>
  <c r="AV225" i="3"/>
  <c r="AG227" i="3"/>
  <c r="AT226" i="3"/>
  <c r="BQ224" i="3"/>
  <c r="BF224" i="3"/>
  <c r="BJ223" i="3" s="1"/>
  <c r="BK223" i="3" s="1"/>
  <c r="BB224" i="3"/>
  <c r="Y227" i="3"/>
  <c r="Z227" i="3" s="1"/>
  <c r="A229" i="3"/>
  <c r="B228" i="3"/>
  <c r="AR228" i="3"/>
  <c r="AQ228" i="3"/>
  <c r="AK228" i="3"/>
  <c r="T228" i="3"/>
  <c r="AM228" i="3"/>
  <c r="R228" i="3"/>
  <c r="Q228" i="3"/>
  <c r="AD228" i="3"/>
  <c r="P228" i="3"/>
  <c r="O228" i="3"/>
  <c r="M228" i="3"/>
  <c r="AF228" i="3"/>
  <c r="V228" i="3"/>
  <c r="AE228" i="3"/>
  <c r="U228" i="3"/>
  <c r="D228" i="3"/>
  <c r="C228" i="3"/>
  <c r="G228" i="3"/>
  <c r="H228" i="3" s="1"/>
  <c r="F228" i="3"/>
  <c r="S228" i="3"/>
  <c r="AW226" i="3"/>
  <c r="BA225" i="3"/>
  <c r="AH227" i="3"/>
  <c r="AN227" i="3"/>
  <c r="AU226" i="3"/>
  <c r="X227" i="3"/>
  <c r="BM228" i="3" l="1"/>
  <c r="BN228" i="3"/>
  <c r="AN228" i="3"/>
  <c r="AY226" i="3"/>
  <c r="BG224" i="3"/>
  <c r="BH224" i="3" s="1"/>
  <c r="BI224" i="3" s="1"/>
  <c r="AG228" i="3"/>
  <c r="BC225" i="3"/>
  <c r="BD225" i="3" s="1"/>
  <c r="AV226" i="3"/>
  <c r="AX227" i="3"/>
  <c r="AT227" i="3"/>
  <c r="AW227" i="3"/>
  <c r="BB225" i="3"/>
  <c r="BF225" i="3"/>
  <c r="BJ224" i="3" s="1"/>
  <c r="BK224" i="3" s="1"/>
  <c r="BQ225" i="3"/>
  <c r="Y228" i="3"/>
  <c r="Z228" i="3" s="1"/>
  <c r="AU227" i="3"/>
  <c r="AO228" i="3"/>
  <c r="X228" i="3"/>
  <c r="AH228" i="3"/>
  <c r="BA226" i="3"/>
  <c r="AR229" i="3"/>
  <c r="B229" i="3"/>
  <c r="AQ229" i="3"/>
  <c r="A230" i="3"/>
  <c r="C229" i="3"/>
  <c r="AM229" i="3"/>
  <c r="AK229" i="3"/>
  <c r="S229" i="3"/>
  <c r="R229" i="3"/>
  <c r="Q229" i="3"/>
  <c r="AD229" i="3"/>
  <c r="P229" i="3"/>
  <c r="O229" i="3"/>
  <c r="AE229" i="3"/>
  <c r="AF229" i="3"/>
  <c r="M229" i="3"/>
  <c r="V229" i="3"/>
  <c r="U229" i="3"/>
  <c r="D229" i="3"/>
  <c r="F229" i="3"/>
  <c r="G229" i="3"/>
  <c r="H229" i="3" s="1"/>
  <c r="T229" i="3"/>
  <c r="BN229" i="3" l="1"/>
  <c r="BC226" i="3"/>
  <c r="BG226" i="3" s="1"/>
  <c r="BH226" i="3" s="1"/>
  <c r="BI226" i="3" s="1"/>
  <c r="AY227" i="3"/>
  <c r="AT228" i="3"/>
  <c r="AU228" i="3"/>
  <c r="AO229" i="3"/>
  <c r="BG225" i="3"/>
  <c r="BH225" i="3" s="1"/>
  <c r="BI225" i="3" s="1"/>
  <c r="AV227" i="3"/>
  <c r="BA227" i="3"/>
  <c r="BB227" i="3" s="1"/>
  <c r="AW228" i="3"/>
  <c r="AR230" i="3"/>
  <c r="B230" i="3"/>
  <c r="AQ230" i="3"/>
  <c r="A231" i="3"/>
  <c r="AK230" i="3"/>
  <c r="S230" i="3"/>
  <c r="C230" i="3"/>
  <c r="AM230" i="3"/>
  <c r="T230" i="3"/>
  <c r="Q230" i="3"/>
  <c r="AD230" i="3"/>
  <c r="O230" i="3"/>
  <c r="R230" i="3"/>
  <c r="P230" i="3"/>
  <c r="AF230" i="3"/>
  <c r="M230" i="3"/>
  <c r="V230" i="3"/>
  <c r="AE230" i="3"/>
  <c r="U230" i="3"/>
  <c r="F230" i="3"/>
  <c r="D230" i="3"/>
  <c r="G230" i="3"/>
  <c r="H230" i="3" s="1"/>
  <c r="BF226" i="3"/>
  <c r="BJ225" i="3" s="1"/>
  <c r="BK225" i="3" s="1"/>
  <c r="BQ226" i="3"/>
  <c r="BB226" i="3"/>
  <c r="Y229" i="3"/>
  <c r="Z229" i="3" s="1"/>
  <c r="BM229" i="3"/>
  <c r="AG229" i="3"/>
  <c r="AN229" i="3"/>
  <c r="AX228" i="3"/>
  <c r="AH229" i="3"/>
  <c r="X229" i="3"/>
  <c r="BD226" i="3" l="1"/>
  <c r="BC227" i="3"/>
  <c r="BD227" i="3" s="1"/>
  <c r="BQ227" i="3"/>
  <c r="AV228" i="3"/>
  <c r="BA228" i="3"/>
  <c r="BF228" i="3" s="1"/>
  <c r="BF227" i="3"/>
  <c r="BJ226" i="3" s="1"/>
  <c r="BK226" i="3" s="1"/>
  <c r="AO230" i="3"/>
  <c r="AX229" i="3"/>
  <c r="AW229" i="3"/>
  <c r="AH230" i="3"/>
  <c r="X230" i="3"/>
  <c r="AY228" i="3"/>
  <c r="Y230" i="3"/>
  <c r="Z230" i="3" s="1"/>
  <c r="AQ231" i="3"/>
  <c r="B231" i="3"/>
  <c r="A232" i="3"/>
  <c r="AR231" i="3"/>
  <c r="C231" i="3"/>
  <c r="AK231" i="3"/>
  <c r="S231" i="3"/>
  <c r="AM231" i="3"/>
  <c r="R231" i="3"/>
  <c r="Q231" i="3"/>
  <c r="P231" i="3"/>
  <c r="AD231" i="3"/>
  <c r="AE231" i="3"/>
  <c r="M231" i="3"/>
  <c r="O231" i="3"/>
  <c r="AF231" i="3"/>
  <c r="U231" i="3"/>
  <c r="V231" i="3"/>
  <c r="G231" i="3"/>
  <c r="H231" i="3" s="1"/>
  <c r="F231" i="3"/>
  <c r="D231" i="3"/>
  <c r="T231" i="3"/>
  <c r="AT229" i="3"/>
  <c r="AU229" i="3"/>
  <c r="BN230" i="3"/>
  <c r="BM230" i="3"/>
  <c r="AG230" i="3"/>
  <c r="AN230" i="3"/>
  <c r="BG227" i="3" l="1"/>
  <c r="BH227" i="3" s="1"/>
  <c r="BI227" i="3" s="1"/>
  <c r="BC228" i="3"/>
  <c r="BG228" i="3" s="1"/>
  <c r="BH228" i="3" s="1"/>
  <c r="BI228" i="3" s="1"/>
  <c r="AN231" i="3"/>
  <c r="AY229" i="3"/>
  <c r="BB228" i="3"/>
  <c r="BQ228" i="3"/>
  <c r="BM231" i="3"/>
  <c r="AO231" i="3"/>
  <c r="AH231" i="3"/>
  <c r="AT230" i="3"/>
  <c r="Y231" i="3"/>
  <c r="Z231" i="3" s="1"/>
  <c r="AV229" i="3"/>
  <c r="BA229" i="3"/>
  <c r="A233" i="3"/>
  <c r="B232" i="3"/>
  <c r="AR232" i="3"/>
  <c r="AQ232" i="3"/>
  <c r="C232" i="3"/>
  <c r="AK232" i="3"/>
  <c r="AM232" i="3"/>
  <c r="R232" i="3"/>
  <c r="D232" i="3"/>
  <c r="S232" i="3"/>
  <c r="P232" i="3"/>
  <c r="AD232" i="3"/>
  <c r="AE232" i="3"/>
  <c r="M232" i="3"/>
  <c r="O232" i="3"/>
  <c r="AF232" i="3"/>
  <c r="V232" i="3"/>
  <c r="U232" i="3"/>
  <c r="G232" i="3"/>
  <c r="H232" i="3" s="1"/>
  <c r="Q232" i="3"/>
  <c r="F232" i="3"/>
  <c r="BM232" i="3" s="1"/>
  <c r="T232" i="3"/>
  <c r="BJ227" i="3"/>
  <c r="BK227" i="3" s="1"/>
  <c r="AW230" i="3"/>
  <c r="BN231" i="3"/>
  <c r="AG231" i="3"/>
  <c r="X231" i="3"/>
  <c r="AU230" i="3"/>
  <c r="AX230" i="3"/>
  <c r="BN232" i="3" l="1"/>
  <c r="BD228" i="3"/>
  <c r="BC229" i="3"/>
  <c r="BG229" i="3" s="1"/>
  <c r="BH229" i="3" s="1"/>
  <c r="BI229" i="3" s="1"/>
  <c r="AW231" i="3"/>
  <c r="AV230" i="3"/>
  <c r="AO232" i="3"/>
  <c r="AT231" i="3"/>
  <c r="AU231" i="3"/>
  <c r="AH232" i="3"/>
  <c r="AY230" i="3"/>
  <c r="Y232" i="3"/>
  <c r="Z232" i="3" s="1"/>
  <c r="AR233" i="3"/>
  <c r="B233" i="3"/>
  <c r="AQ233" i="3"/>
  <c r="A234" i="3"/>
  <c r="D233" i="3"/>
  <c r="R233" i="3"/>
  <c r="AM233" i="3"/>
  <c r="AK233" i="3"/>
  <c r="AD233" i="3"/>
  <c r="P233" i="3"/>
  <c r="V233" i="3"/>
  <c r="O233" i="3"/>
  <c r="AE233" i="3"/>
  <c r="M233" i="3"/>
  <c r="AF233" i="3"/>
  <c r="U233" i="3"/>
  <c r="F233" i="3"/>
  <c r="Q233" i="3"/>
  <c r="C233" i="3"/>
  <c r="G233" i="3"/>
  <c r="H233" i="3" s="1"/>
  <c r="S233" i="3"/>
  <c r="T233" i="3"/>
  <c r="AX231" i="3"/>
  <c r="AG232" i="3"/>
  <c r="AN232" i="3"/>
  <c r="X232" i="3"/>
  <c r="BA230" i="3"/>
  <c r="BF229" i="3"/>
  <c r="BJ228" i="3" s="1"/>
  <c r="BK228" i="3" s="1"/>
  <c r="BQ229" i="3"/>
  <c r="BB229" i="3"/>
  <c r="BD229" i="3" l="1"/>
  <c r="AT232" i="3"/>
  <c r="BC230" i="3"/>
  <c r="BD230" i="3" s="1"/>
  <c r="AV231" i="3"/>
  <c r="BN233" i="3"/>
  <c r="BA231" i="3"/>
  <c r="BF231" i="3" s="1"/>
  <c r="AU232" i="3"/>
  <c r="AN233" i="3"/>
  <c r="AX232" i="3"/>
  <c r="X233" i="3"/>
  <c r="Y233" i="3"/>
  <c r="Z233" i="3" s="1"/>
  <c r="AY231" i="3"/>
  <c r="AW232" i="3"/>
  <c r="BM233" i="3"/>
  <c r="AG233" i="3"/>
  <c r="AH233" i="3"/>
  <c r="BF230" i="3"/>
  <c r="BJ229" i="3" s="1"/>
  <c r="BK229" i="3" s="1"/>
  <c r="BB230" i="3"/>
  <c r="BQ230" i="3"/>
  <c r="AR234" i="3"/>
  <c r="B234" i="3"/>
  <c r="AQ234" i="3"/>
  <c r="A235" i="3"/>
  <c r="AM234" i="3"/>
  <c r="R234" i="3"/>
  <c r="AK234" i="3"/>
  <c r="AD234" i="3"/>
  <c r="P234" i="3"/>
  <c r="AE234" i="3"/>
  <c r="AF234" i="3"/>
  <c r="V234" i="3"/>
  <c r="O234" i="3"/>
  <c r="M234" i="3"/>
  <c r="U234" i="3"/>
  <c r="D234" i="3"/>
  <c r="F234" i="3"/>
  <c r="Q234" i="3"/>
  <c r="C234" i="3"/>
  <c r="G234" i="3"/>
  <c r="H234" i="3" s="1"/>
  <c r="T234" i="3"/>
  <c r="S234" i="3"/>
  <c r="AO233" i="3"/>
  <c r="BN234" i="3" l="1"/>
  <c r="AV232" i="3"/>
  <c r="AO234" i="3"/>
  <c r="BG230" i="3"/>
  <c r="BH230" i="3" s="1"/>
  <c r="BI230" i="3" s="1"/>
  <c r="BC231" i="3"/>
  <c r="BD231" i="3" s="1"/>
  <c r="BM234" i="3"/>
  <c r="BB231" i="3"/>
  <c r="BQ231" i="3"/>
  <c r="AU233" i="3"/>
  <c r="AY232" i="3"/>
  <c r="BA232" i="3"/>
  <c r="BQ232" i="3" s="1"/>
  <c r="AT233" i="3"/>
  <c r="Y234" i="3"/>
  <c r="Z234" i="3" s="1"/>
  <c r="AQ235" i="3"/>
  <c r="B235" i="3"/>
  <c r="A236" i="3"/>
  <c r="AR235" i="3"/>
  <c r="D235" i="3"/>
  <c r="AM235" i="3"/>
  <c r="R235" i="3"/>
  <c r="C235" i="3"/>
  <c r="AK235" i="3"/>
  <c r="Q235" i="3"/>
  <c r="AD235" i="3"/>
  <c r="AE235" i="3"/>
  <c r="U235" i="3"/>
  <c r="O235" i="3"/>
  <c r="M235" i="3"/>
  <c r="AF235" i="3"/>
  <c r="V235" i="3"/>
  <c r="F235" i="3"/>
  <c r="G235" i="3"/>
  <c r="H235" i="3" s="1"/>
  <c r="T235" i="3"/>
  <c r="S235" i="3"/>
  <c r="P235" i="3"/>
  <c r="X234" i="3"/>
  <c r="AG234" i="3"/>
  <c r="AH234" i="3"/>
  <c r="AX233" i="3"/>
  <c r="BJ230" i="3"/>
  <c r="BK230" i="3" s="1"/>
  <c r="AN234" i="3"/>
  <c r="AW233" i="3"/>
  <c r="BC232" i="3" l="1"/>
  <c r="BG232" i="3" s="1"/>
  <c r="BH232" i="3" s="1"/>
  <c r="BI232" i="3" s="1"/>
  <c r="BN235" i="3"/>
  <c r="BM235" i="3"/>
  <c r="BB232" i="3"/>
  <c r="BG231" i="3"/>
  <c r="BH231" i="3" s="1"/>
  <c r="BI231" i="3" s="1"/>
  <c r="AN235" i="3"/>
  <c r="AV233" i="3"/>
  <c r="BF232" i="3"/>
  <c r="BJ231" i="3" s="1"/>
  <c r="AY233" i="3"/>
  <c r="AT234" i="3"/>
  <c r="AU234" i="3"/>
  <c r="Y235" i="3"/>
  <c r="Z235" i="3" s="1"/>
  <c r="A237" i="3"/>
  <c r="B236" i="3"/>
  <c r="AR236" i="3"/>
  <c r="AQ236" i="3"/>
  <c r="AM236" i="3"/>
  <c r="R236" i="3"/>
  <c r="AK236" i="3"/>
  <c r="Q236" i="3"/>
  <c r="AD236" i="3"/>
  <c r="O236" i="3"/>
  <c r="U236" i="3"/>
  <c r="P236" i="3"/>
  <c r="M236" i="3"/>
  <c r="AE236" i="3"/>
  <c r="AF236" i="3"/>
  <c r="V236" i="3"/>
  <c r="C236" i="3"/>
  <c r="G236" i="3"/>
  <c r="H236" i="3" s="1"/>
  <c r="D236" i="3"/>
  <c r="F236" i="3"/>
  <c r="S236" i="3"/>
  <c r="T236" i="3"/>
  <c r="BA233" i="3"/>
  <c r="AW234" i="3"/>
  <c r="X235" i="3"/>
  <c r="AH235" i="3"/>
  <c r="AO235" i="3"/>
  <c r="AX234" i="3"/>
  <c r="AG235" i="3"/>
  <c r="BD232" i="3" l="1"/>
  <c r="BK231" i="3"/>
  <c r="AO236" i="3"/>
  <c r="BC233" i="3"/>
  <c r="BG233" i="3" s="1"/>
  <c r="BH233" i="3" s="1"/>
  <c r="BI233" i="3" s="1"/>
  <c r="Y236" i="3"/>
  <c r="Z236" i="3" s="1"/>
  <c r="BM236" i="3"/>
  <c r="BN236" i="3"/>
  <c r="AV234" i="3"/>
  <c r="AW235" i="3"/>
  <c r="AU235" i="3"/>
  <c r="AT235" i="3"/>
  <c r="BA234" i="3"/>
  <c r="BB234" i="3" s="1"/>
  <c r="BF233" i="3"/>
  <c r="BJ232" i="3" s="1"/>
  <c r="BK232" i="3" s="1"/>
  <c r="BB233" i="3"/>
  <c r="BQ233" i="3"/>
  <c r="AR237" i="3"/>
  <c r="B237" i="3"/>
  <c r="AQ237" i="3"/>
  <c r="A238" i="3"/>
  <c r="C237" i="3"/>
  <c r="AK237" i="3"/>
  <c r="S237" i="3"/>
  <c r="T237" i="3"/>
  <c r="AM237" i="3"/>
  <c r="Q237" i="3"/>
  <c r="AD237" i="3"/>
  <c r="P237" i="3"/>
  <c r="R237" i="3"/>
  <c r="AE237" i="3"/>
  <c r="AF237" i="3"/>
  <c r="U237" i="3"/>
  <c r="O237" i="3"/>
  <c r="M237" i="3"/>
  <c r="V237" i="3"/>
  <c r="D237" i="3"/>
  <c r="G237" i="3"/>
  <c r="H237" i="3" s="1"/>
  <c r="F237" i="3"/>
  <c r="X236" i="3"/>
  <c r="AH236" i="3"/>
  <c r="AN236" i="3"/>
  <c r="AX235" i="3"/>
  <c r="AY234" i="3"/>
  <c r="AG236" i="3"/>
  <c r="BC234" i="3" l="1"/>
  <c r="BG234" i="3" s="1"/>
  <c r="BH234" i="3" s="1"/>
  <c r="BI234" i="3" s="1"/>
  <c r="BD233" i="3"/>
  <c r="BM237" i="3"/>
  <c r="AV235" i="3"/>
  <c r="AG237" i="3"/>
  <c r="AO237" i="3"/>
  <c r="BA235" i="3"/>
  <c r="BQ235" i="3" s="1"/>
  <c r="AU236" i="3"/>
  <c r="BQ234" i="3"/>
  <c r="BF234" i="3"/>
  <c r="BJ233" i="3" s="1"/>
  <c r="BK233" i="3" s="1"/>
  <c r="Y237" i="3"/>
  <c r="Z237" i="3" s="1"/>
  <c r="AX236" i="3"/>
  <c r="BN237" i="3"/>
  <c r="AH237" i="3"/>
  <c r="AN237" i="3"/>
  <c r="X237" i="3"/>
  <c r="AY235" i="3"/>
  <c r="AT236" i="3"/>
  <c r="AW236" i="3"/>
  <c r="AR238" i="3"/>
  <c r="B238" i="3"/>
  <c r="AQ238" i="3"/>
  <c r="A239" i="3"/>
  <c r="C238" i="3"/>
  <c r="D238" i="3"/>
  <c r="T238" i="3"/>
  <c r="AK238" i="3"/>
  <c r="AM238" i="3"/>
  <c r="R238" i="3"/>
  <c r="S238" i="3"/>
  <c r="AD238" i="3"/>
  <c r="P238" i="3"/>
  <c r="O238" i="3"/>
  <c r="M238" i="3"/>
  <c r="V238" i="3"/>
  <c r="AE238" i="3"/>
  <c r="AF238" i="3"/>
  <c r="U238" i="3"/>
  <c r="Q238" i="3"/>
  <c r="G238" i="3"/>
  <c r="H238" i="3" s="1"/>
  <c r="F238" i="3"/>
  <c r="BD234" i="3" l="1"/>
  <c r="BB235" i="3"/>
  <c r="AU237" i="3"/>
  <c r="BC235" i="3"/>
  <c r="BD235" i="3" s="1"/>
  <c r="BN238" i="3"/>
  <c r="AT237" i="3"/>
  <c r="AN238" i="3"/>
  <c r="BF235" i="3"/>
  <c r="BJ234" i="3" s="1"/>
  <c r="BK234" i="3" s="1"/>
  <c r="AY236" i="3"/>
  <c r="AG238" i="3"/>
  <c r="AW237" i="3"/>
  <c r="Y238" i="3"/>
  <c r="Z238" i="3" s="1"/>
  <c r="AQ239" i="3"/>
  <c r="B239" i="3"/>
  <c r="A240" i="3"/>
  <c r="AR239" i="3"/>
  <c r="AM239" i="3"/>
  <c r="AK239" i="3"/>
  <c r="R239" i="3"/>
  <c r="T239" i="3"/>
  <c r="Q239" i="3"/>
  <c r="AD239" i="3"/>
  <c r="P239" i="3"/>
  <c r="M239" i="3"/>
  <c r="O239" i="3"/>
  <c r="AE239" i="3"/>
  <c r="AF239" i="3"/>
  <c r="U239" i="3"/>
  <c r="V239" i="3"/>
  <c r="G239" i="3"/>
  <c r="H239" i="3" s="1"/>
  <c r="D239" i="3"/>
  <c r="C239" i="3"/>
  <c r="F239" i="3"/>
  <c r="S239" i="3"/>
  <c r="X238" i="3"/>
  <c r="BM238" i="3"/>
  <c r="AH238" i="3"/>
  <c r="AO238" i="3"/>
  <c r="AX237" i="3"/>
  <c r="BA236" i="3"/>
  <c r="AV236" i="3"/>
  <c r="BG235" i="3" l="1"/>
  <c r="BH235" i="3" s="1"/>
  <c r="BI235" i="3" s="1"/>
  <c r="BC236" i="3"/>
  <c r="BG236" i="3" s="1"/>
  <c r="BH236" i="3" s="1"/>
  <c r="BI236" i="3" s="1"/>
  <c r="AY237" i="3"/>
  <c r="AV237" i="3"/>
  <c r="BM239" i="3"/>
  <c r="AN239" i="3"/>
  <c r="AX238" i="3"/>
  <c r="Y239" i="3"/>
  <c r="Z239" i="3" s="1"/>
  <c r="BB236" i="3"/>
  <c r="BF236" i="3"/>
  <c r="BJ235" i="3" s="1"/>
  <c r="BQ236" i="3"/>
  <c r="AU238" i="3"/>
  <c r="AW238" i="3"/>
  <c r="BA237" i="3"/>
  <c r="AT238" i="3"/>
  <c r="X239" i="3"/>
  <c r="BN239" i="3"/>
  <c r="AG239" i="3"/>
  <c r="AH239" i="3"/>
  <c r="AO239" i="3"/>
  <c r="A241" i="3"/>
  <c r="B240" i="3"/>
  <c r="AR240" i="3"/>
  <c r="AQ240" i="3"/>
  <c r="D240" i="3"/>
  <c r="AM240" i="3"/>
  <c r="AK240" i="3"/>
  <c r="S240" i="3"/>
  <c r="Q240" i="3"/>
  <c r="T240" i="3"/>
  <c r="O240" i="3"/>
  <c r="P240" i="3"/>
  <c r="R240" i="3"/>
  <c r="AD240" i="3"/>
  <c r="M240" i="3"/>
  <c r="AE240" i="3"/>
  <c r="AF240" i="3"/>
  <c r="V240" i="3"/>
  <c r="U240" i="3"/>
  <c r="C240" i="3"/>
  <c r="F240" i="3"/>
  <c r="G240" i="3"/>
  <c r="H240" i="3" s="1"/>
  <c r="BK235" i="3" l="1"/>
  <c r="BD236" i="3"/>
  <c r="AY238" i="3"/>
  <c r="BC237" i="3"/>
  <c r="BD237" i="3" s="1"/>
  <c r="BN240" i="3"/>
  <c r="AG240" i="3"/>
  <c r="AN240" i="3"/>
  <c r="AX239" i="3"/>
  <c r="X240" i="3"/>
  <c r="Y240" i="3"/>
  <c r="Z240" i="3" s="1"/>
  <c r="AR241" i="3"/>
  <c r="B241" i="3"/>
  <c r="AQ241" i="3"/>
  <c r="A242" i="3"/>
  <c r="AK241" i="3"/>
  <c r="R241" i="3"/>
  <c r="C241" i="3"/>
  <c r="AM241" i="3"/>
  <c r="Q241" i="3"/>
  <c r="AD241" i="3"/>
  <c r="O241" i="3"/>
  <c r="M241" i="3"/>
  <c r="U241" i="3"/>
  <c r="P241" i="3"/>
  <c r="AF241" i="3"/>
  <c r="AE241" i="3"/>
  <c r="V241" i="3"/>
  <c r="D241" i="3"/>
  <c r="G241" i="3"/>
  <c r="H241" i="3" s="1"/>
  <c r="F241" i="3"/>
  <c r="S241" i="3"/>
  <c r="T241" i="3"/>
  <c r="AU239" i="3"/>
  <c r="AW239" i="3"/>
  <c r="BA238" i="3"/>
  <c r="AV238" i="3"/>
  <c r="AH240" i="3"/>
  <c r="AT239" i="3"/>
  <c r="BM240" i="3"/>
  <c r="AO240" i="3"/>
  <c r="BB237" i="3"/>
  <c r="BQ237" i="3"/>
  <c r="BF237" i="3"/>
  <c r="BJ236" i="3" s="1"/>
  <c r="BK236" i="3" s="1"/>
  <c r="AY239" i="3" l="1"/>
  <c r="BG237" i="3"/>
  <c r="BH237" i="3" s="1"/>
  <c r="BI237" i="3" s="1"/>
  <c r="BC238" i="3"/>
  <c r="BD238" i="3" s="1"/>
  <c r="AN241" i="3"/>
  <c r="BM241" i="3"/>
  <c r="AU240" i="3"/>
  <c r="AG241" i="3"/>
  <c r="AW240" i="3"/>
  <c r="AT240" i="3"/>
  <c r="Y241" i="3"/>
  <c r="Z241" i="3" s="1"/>
  <c r="BA239" i="3"/>
  <c r="AV239" i="3"/>
  <c r="BB238" i="3"/>
  <c r="BQ238" i="3"/>
  <c r="BF238" i="3"/>
  <c r="BJ237" i="3" s="1"/>
  <c r="AX240" i="3"/>
  <c r="X241" i="3"/>
  <c r="BN241" i="3"/>
  <c r="AO241" i="3"/>
  <c r="AR242" i="3"/>
  <c r="B242" i="3"/>
  <c r="AQ242" i="3"/>
  <c r="A243" i="3"/>
  <c r="C242" i="3"/>
  <c r="D242" i="3"/>
  <c r="AM242" i="3"/>
  <c r="T242" i="3"/>
  <c r="S242" i="3"/>
  <c r="Q242" i="3"/>
  <c r="AK242" i="3"/>
  <c r="AD242" i="3"/>
  <c r="P242" i="3"/>
  <c r="AE242" i="3"/>
  <c r="O242" i="3"/>
  <c r="M242" i="3"/>
  <c r="AF242" i="3"/>
  <c r="U242" i="3"/>
  <c r="V242" i="3"/>
  <c r="G242" i="3"/>
  <c r="H242" i="3" s="1"/>
  <c r="F242" i="3"/>
  <c r="BM242" i="3" s="1"/>
  <c r="R242" i="3"/>
  <c r="AH241" i="3"/>
  <c r="BN242" i="3" l="1"/>
  <c r="AY240" i="3"/>
  <c r="BC239" i="3"/>
  <c r="BG239" i="3" s="1"/>
  <c r="BH239" i="3" s="1"/>
  <c r="BI239" i="3" s="1"/>
  <c r="BK237" i="3"/>
  <c r="AO242" i="3"/>
  <c r="BG238" i="3"/>
  <c r="BH238" i="3" s="1"/>
  <c r="BI238" i="3" s="1"/>
  <c r="AX241" i="3"/>
  <c r="AV240" i="3"/>
  <c r="AG242" i="3"/>
  <c r="AW241" i="3"/>
  <c r="BA240" i="3"/>
  <c r="BQ240" i="3" s="1"/>
  <c r="BB239" i="3"/>
  <c r="BF239" i="3"/>
  <c r="BJ238" i="3" s="1"/>
  <c r="BQ239" i="3"/>
  <c r="AN242" i="3"/>
  <c r="X242" i="3"/>
  <c r="AU241" i="3"/>
  <c r="Y242" i="3"/>
  <c r="Z242" i="3" s="1"/>
  <c r="AQ243" i="3"/>
  <c r="B243" i="3"/>
  <c r="A244" i="3"/>
  <c r="AR243" i="3"/>
  <c r="D243" i="3"/>
  <c r="AM243" i="3"/>
  <c r="AK243" i="3"/>
  <c r="S243" i="3"/>
  <c r="Q243" i="3"/>
  <c r="R243" i="3"/>
  <c r="AD243" i="3"/>
  <c r="P243" i="3"/>
  <c r="O243" i="3"/>
  <c r="U243" i="3"/>
  <c r="M243" i="3"/>
  <c r="AE243" i="3"/>
  <c r="AF243" i="3"/>
  <c r="V243" i="3"/>
  <c r="C243" i="3"/>
  <c r="G243" i="3"/>
  <c r="H243" i="3" s="1"/>
  <c r="F243" i="3"/>
  <c r="T243" i="3"/>
  <c r="AH242" i="3"/>
  <c r="AT241" i="3"/>
  <c r="BM243" i="3" l="1"/>
  <c r="BD239" i="3"/>
  <c r="BC240" i="3"/>
  <c r="BG240" i="3" s="1"/>
  <c r="BH240" i="3" s="1"/>
  <c r="BI240" i="3" s="1"/>
  <c r="BK238" i="3"/>
  <c r="AY241" i="3"/>
  <c r="AV241" i="3"/>
  <c r="BB240" i="3"/>
  <c r="BN243" i="3"/>
  <c r="Y243" i="3"/>
  <c r="Z243" i="3" s="1"/>
  <c r="BF240" i="3"/>
  <c r="BJ239" i="3" s="1"/>
  <c r="BK239" i="3" s="1"/>
  <c r="AO243" i="3"/>
  <c r="AX242" i="3"/>
  <c r="AH243" i="3"/>
  <c r="AG243" i="3"/>
  <c r="AN243" i="3"/>
  <c r="BA241" i="3"/>
  <c r="AU242" i="3"/>
  <c r="A245" i="3"/>
  <c r="B244" i="3"/>
  <c r="AR244" i="3"/>
  <c r="AQ244" i="3"/>
  <c r="D244" i="3"/>
  <c r="R244" i="3"/>
  <c r="AM244" i="3"/>
  <c r="AK244" i="3"/>
  <c r="Q244" i="3"/>
  <c r="S244" i="3"/>
  <c r="P244" i="3"/>
  <c r="AD244" i="3"/>
  <c r="AE244" i="3"/>
  <c r="M244" i="3"/>
  <c r="O244" i="3"/>
  <c r="AF244" i="3"/>
  <c r="V244" i="3"/>
  <c r="U244" i="3"/>
  <c r="C244" i="3"/>
  <c r="F244" i="3"/>
  <c r="G244" i="3"/>
  <c r="H244" i="3" s="1"/>
  <c r="BN244" i="3" s="1"/>
  <c r="T244" i="3"/>
  <c r="X243" i="3"/>
  <c r="AT242" i="3"/>
  <c r="AW242" i="3"/>
  <c r="AY242" i="3" l="1"/>
  <c r="BD240" i="3"/>
  <c r="BC241" i="3"/>
  <c r="BD241" i="3" s="1"/>
  <c r="AG244" i="3"/>
  <c r="AN244" i="3"/>
  <c r="AX243" i="3"/>
  <c r="AT243" i="3"/>
  <c r="X244" i="3"/>
  <c r="AU243" i="3"/>
  <c r="AW243" i="3"/>
  <c r="BA242" i="3"/>
  <c r="Y244" i="3"/>
  <c r="Z244" i="3" s="1"/>
  <c r="BM244" i="3"/>
  <c r="AH244" i="3"/>
  <c r="AO244" i="3"/>
  <c r="AV242" i="3"/>
  <c r="AR245" i="3"/>
  <c r="B245" i="3"/>
  <c r="AQ245" i="3"/>
  <c r="A246" i="3"/>
  <c r="C245" i="3"/>
  <c r="AK245" i="3"/>
  <c r="D245" i="3"/>
  <c r="AM245" i="3"/>
  <c r="T245" i="3"/>
  <c r="Q245" i="3"/>
  <c r="R245" i="3"/>
  <c r="AD245" i="3"/>
  <c r="P245" i="3"/>
  <c r="O245" i="3"/>
  <c r="AE245" i="3"/>
  <c r="M245" i="3"/>
  <c r="U245" i="3"/>
  <c r="AF245" i="3"/>
  <c r="V245" i="3"/>
  <c r="G245" i="3"/>
  <c r="H245" i="3" s="1"/>
  <c r="F245" i="3"/>
  <c r="S245" i="3"/>
  <c r="BF241" i="3"/>
  <c r="BJ240" i="3" s="1"/>
  <c r="BK240" i="3" s="1"/>
  <c r="BB241" i="3"/>
  <c r="BQ241" i="3"/>
  <c r="BM245" i="3" l="1"/>
  <c r="BC242" i="3"/>
  <c r="BG242" i="3" s="1"/>
  <c r="BH242" i="3" s="1"/>
  <c r="BI242" i="3" s="1"/>
  <c r="AN245" i="3"/>
  <c r="BG241" i="3"/>
  <c r="BH241" i="3" s="1"/>
  <c r="BI241" i="3" s="1"/>
  <c r="AY243" i="3"/>
  <c r="AV243" i="3"/>
  <c r="BN245" i="3"/>
  <c r="AX244" i="3"/>
  <c r="AG245" i="3"/>
  <c r="AU244" i="3"/>
  <c r="AT244" i="3"/>
  <c r="AR246" i="3"/>
  <c r="B246" i="3"/>
  <c r="AQ246" i="3"/>
  <c r="A247" i="3"/>
  <c r="C246" i="3"/>
  <c r="AK246" i="3"/>
  <c r="AM246" i="3"/>
  <c r="S246" i="3"/>
  <c r="R246" i="3"/>
  <c r="AD246" i="3"/>
  <c r="Q246" i="3"/>
  <c r="O246" i="3"/>
  <c r="AE246" i="3"/>
  <c r="M246" i="3"/>
  <c r="AF246" i="3"/>
  <c r="P246" i="3"/>
  <c r="V246" i="3"/>
  <c r="U246" i="3"/>
  <c r="D246" i="3"/>
  <c r="F246" i="3"/>
  <c r="G246" i="3"/>
  <c r="H246" i="3" s="1"/>
  <c r="T246" i="3"/>
  <c r="BQ242" i="3"/>
  <c r="BB242" i="3"/>
  <c r="BF242" i="3"/>
  <c r="BJ241" i="3" s="1"/>
  <c r="BK241" i="3" s="1"/>
  <c r="X245" i="3"/>
  <c r="AH245" i="3"/>
  <c r="AO245" i="3"/>
  <c r="AW244" i="3"/>
  <c r="Y245" i="3"/>
  <c r="Z245" i="3" s="1"/>
  <c r="BA243" i="3"/>
  <c r="BD242" i="3" l="1"/>
  <c r="BN246" i="3"/>
  <c r="AU245" i="3"/>
  <c r="BC243" i="3"/>
  <c r="BD243" i="3" s="1"/>
  <c r="BM246" i="3"/>
  <c r="AY244" i="3"/>
  <c r="AV244" i="3"/>
  <c r="AW245" i="3"/>
  <c r="AT245" i="3"/>
  <c r="AO246" i="3"/>
  <c r="Y246" i="3"/>
  <c r="Z246" i="3" s="1"/>
  <c r="BF243" i="3"/>
  <c r="BQ243" i="3"/>
  <c r="BB243" i="3"/>
  <c r="AX245" i="3"/>
  <c r="AH246" i="3"/>
  <c r="AG246" i="3"/>
  <c r="AN246" i="3"/>
  <c r="X246" i="3"/>
  <c r="BA244" i="3"/>
  <c r="AQ247" i="3"/>
  <c r="B247" i="3"/>
  <c r="A248" i="3"/>
  <c r="AR247" i="3"/>
  <c r="AK247" i="3"/>
  <c r="AM247" i="3"/>
  <c r="T247" i="3"/>
  <c r="S247" i="3"/>
  <c r="R247" i="3"/>
  <c r="AD247" i="3"/>
  <c r="P247" i="3"/>
  <c r="O247" i="3"/>
  <c r="M247" i="3"/>
  <c r="AF247" i="3"/>
  <c r="AE247" i="3"/>
  <c r="V247" i="3"/>
  <c r="U247" i="3"/>
  <c r="Q247" i="3"/>
  <c r="G247" i="3"/>
  <c r="H247" i="3" s="1"/>
  <c r="D247" i="3"/>
  <c r="C247" i="3"/>
  <c r="F247" i="3"/>
  <c r="AV245" i="3" l="1"/>
  <c r="BG243" i="3"/>
  <c r="BH243" i="3" s="1"/>
  <c r="BI243" i="3" s="1"/>
  <c r="BC244" i="3"/>
  <c r="BG244" i="3" s="1"/>
  <c r="BH244" i="3" s="1"/>
  <c r="BI244" i="3" s="1"/>
  <c r="BM247" i="3"/>
  <c r="BA245" i="3"/>
  <c r="BQ245" i="3" s="1"/>
  <c r="AU246" i="3"/>
  <c r="AT246" i="3"/>
  <c r="AN247" i="3"/>
  <c r="AY245" i="3"/>
  <c r="BF244" i="3"/>
  <c r="BJ243" i="3" s="1"/>
  <c r="BK243" i="3" s="1"/>
  <c r="BQ244" i="3"/>
  <c r="BB244" i="3"/>
  <c r="A249" i="3"/>
  <c r="B248" i="3"/>
  <c r="AR248" i="3"/>
  <c r="AQ248" i="3"/>
  <c r="D248" i="3"/>
  <c r="AK248" i="3"/>
  <c r="T248" i="3"/>
  <c r="Q248" i="3"/>
  <c r="AM248" i="3"/>
  <c r="S248" i="3"/>
  <c r="R248" i="3"/>
  <c r="AD248" i="3"/>
  <c r="P248" i="3"/>
  <c r="O248" i="3"/>
  <c r="AF248" i="3"/>
  <c r="AE248" i="3"/>
  <c r="U248" i="3"/>
  <c r="V248" i="3"/>
  <c r="M248" i="3"/>
  <c r="C248" i="3"/>
  <c r="G248" i="3"/>
  <c r="H248" i="3" s="1"/>
  <c r="F248" i="3"/>
  <c r="BJ242" i="3"/>
  <c r="BK242" i="3" s="1"/>
  <c r="X247" i="3"/>
  <c r="BN247" i="3"/>
  <c r="AG247" i="3"/>
  <c r="AO247" i="3"/>
  <c r="AW246" i="3"/>
  <c r="Y247" i="3"/>
  <c r="Z247" i="3" s="1"/>
  <c r="AH247" i="3"/>
  <c r="AX246" i="3"/>
  <c r="BN248" i="3" l="1"/>
  <c r="BC245" i="3"/>
  <c r="BG245" i="3" s="1"/>
  <c r="BH245" i="3" s="1"/>
  <c r="BI245" i="3" s="1"/>
  <c r="BM248" i="3"/>
  <c r="BD244" i="3"/>
  <c r="AT247" i="3"/>
  <c r="BF245" i="3"/>
  <c r="BJ244" i="3" s="1"/>
  <c r="BK244" i="3" s="1"/>
  <c r="AV246" i="3"/>
  <c r="AO248" i="3"/>
  <c r="BB245" i="3"/>
  <c r="AY246" i="3"/>
  <c r="AH248" i="3"/>
  <c r="AG248" i="3"/>
  <c r="Y248" i="3"/>
  <c r="Z248" i="3" s="1"/>
  <c r="AR249" i="3"/>
  <c r="B249" i="3"/>
  <c r="AQ249" i="3"/>
  <c r="A250" i="3"/>
  <c r="C249" i="3"/>
  <c r="AK249" i="3"/>
  <c r="AM249" i="3"/>
  <c r="T249" i="3"/>
  <c r="Q249" i="3"/>
  <c r="P249" i="3"/>
  <c r="AD249" i="3"/>
  <c r="O249" i="3"/>
  <c r="U249" i="3"/>
  <c r="AE249" i="3"/>
  <c r="AF249" i="3"/>
  <c r="M249" i="3"/>
  <c r="V249" i="3"/>
  <c r="D249" i="3"/>
  <c r="R249" i="3"/>
  <c r="F249" i="3"/>
  <c r="G249" i="3"/>
  <c r="H249" i="3" s="1"/>
  <c r="S249" i="3"/>
  <c r="AX247" i="3"/>
  <c r="AU247" i="3"/>
  <c r="AW247" i="3"/>
  <c r="AN248" i="3"/>
  <c r="X248" i="3"/>
  <c r="BA246" i="3"/>
  <c r="BD245" i="3" l="1"/>
  <c r="BC246" i="3"/>
  <c r="BD246" i="3" s="1"/>
  <c r="AV247" i="3"/>
  <c r="AY247" i="3"/>
  <c r="BM249" i="3"/>
  <c r="AG249" i="3"/>
  <c r="AT248" i="3"/>
  <c r="AO249" i="3"/>
  <c r="AU248" i="3"/>
  <c r="BA247" i="3"/>
  <c r="BB247" i="3" s="1"/>
  <c r="Y249" i="3"/>
  <c r="Z249" i="3" s="1"/>
  <c r="BF246" i="3"/>
  <c r="BJ245" i="3" s="1"/>
  <c r="BK245" i="3" s="1"/>
  <c r="BB246" i="3"/>
  <c r="BQ246" i="3"/>
  <c r="BN249" i="3"/>
  <c r="AH249" i="3"/>
  <c r="AN249" i="3"/>
  <c r="AX248" i="3"/>
  <c r="AR250" i="3"/>
  <c r="B250" i="3"/>
  <c r="AQ250" i="3"/>
  <c r="A251" i="3"/>
  <c r="AM250" i="3"/>
  <c r="Q250" i="3"/>
  <c r="AK250" i="3"/>
  <c r="AD250" i="3"/>
  <c r="P250" i="3"/>
  <c r="T250" i="3"/>
  <c r="S250" i="3"/>
  <c r="R250" i="3"/>
  <c r="M250" i="3"/>
  <c r="AE250" i="3"/>
  <c r="U250" i="3"/>
  <c r="O250" i="3"/>
  <c r="AF250" i="3"/>
  <c r="V250" i="3"/>
  <c r="D250" i="3"/>
  <c r="C250" i="3"/>
  <c r="G250" i="3"/>
  <c r="H250" i="3" s="1"/>
  <c r="F250" i="3"/>
  <c r="X249" i="3"/>
  <c r="AW248" i="3"/>
  <c r="BM250" i="3" l="1"/>
  <c r="BN250" i="3"/>
  <c r="BG246" i="3"/>
  <c r="BH246" i="3" s="1"/>
  <c r="BI246" i="3" s="1"/>
  <c r="AV248" i="3"/>
  <c r="AO250" i="3"/>
  <c r="BC247" i="3"/>
  <c r="BD247" i="3" s="1"/>
  <c r="AU249" i="3"/>
  <c r="AG250" i="3"/>
  <c r="AX249" i="3"/>
  <c r="BQ247" i="3"/>
  <c r="AW249" i="3"/>
  <c r="BF247" i="3"/>
  <c r="BJ246" i="3" s="1"/>
  <c r="BK246" i="3" s="1"/>
  <c r="AQ251" i="3"/>
  <c r="B251" i="3"/>
  <c r="A252" i="3"/>
  <c r="AR251" i="3"/>
  <c r="D251" i="3"/>
  <c r="AK251" i="3"/>
  <c r="S251" i="3"/>
  <c r="AM251" i="3"/>
  <c r="R251" i="3"/>
  <c r="Q251" i="3"/>
  <c r="AD251" i="3"/>
  <c r="P251" i="3"/>
  <c r="O251" i="3"/>
  <c r="AF251" i="3"/>
  <c r="V251" i="3"/>
  <c r="U251" i="3"/>
  <c r="M251" i="3"/>
  <c r="AE251" i="3"/>
  <c r="F251" i="3"/>
  <c r="C251" i="3"/>
  <c r="G251" i="3"/>
  <c r="H251" i="3" s="1"/>
  <c r="BN251" i="3" s="1"/>
  <c r="T251" i="3"/>
  <c r="Y250" i="3"/>
  <c r="Z250" i="3" s="1"/>
  <c r="X250" i="3"/>
  <c r="AH250" i="3"/>
  <c r="AY248" i="3"/>
  <c r="AN250" i="3"/>
  <c r="AT249" i="3"/>
  <c r="BA248" i="3"/>
  <c r="BC248" i="3" l="1"/>
  <c r="BG248" i="3" s="1"/>
  <c r="BH248" i="3" s="1"/>
  <c r="BI248" i="3" s="1"/>
  <c r="AN251" i="3"/>
  <c r="AY249" i="3"/>
  <c r="BG247" i="3"/>
  <c r="BH247" i="3" s="1"/>
  <c r="BI247" i="3" s="1"/>
  <c r="AU250" i="3"/>
  <c r="AW250" i="3"/>
  <c r="AT250" i="3"/>
  <c r="AG251" i="3"/>
  <c r="Y251" i="3"/>
  <c r="Z251" i="3" s="1"/>
  <c r="X251" i="3"/>
  <c r="BQ248" i="3"/>
  <c r="BF248" i="3"/>
  <c r="BJ247" i="3" s="1"/>
  <c r="BK247" i="3" s="1"/>
  <c r="BB248" i="3"/>
  <c r="AV249" i="3"/>
  <c r="BA249" i="3"/>
  <c r="A253" i="3"/>
  <c r="B252" i="3"/>
  <c r="AR252" i="3"/>
  <c r="AQ252" i="3"/>
  <c r="AK252" i="3"/>
  <c r="T252" i="3"/>
  <c r="C252" i="3"/>
  <c r="AM252" i="3"/>
  <c r="AD252" i="3"/>
  <c r="Q252" i="3"/>
  <c r="P252" i="3"/>
  <c r="M252" i="3"/>
  <c r="AE252" i="3"/>
  <c r="V252" i="3"/>
  <c r="U252" i="3"/>
  <c r="O252" i="3"/>
  <c r="AF252" i="3"/>
  <c r="D252" i="3"/>
  <c r="R252" i="3"/>
  <c r="G252" i="3"/>
  <c r="H252" i="3" s="1"/>
  <c r="F252" i="3"/>
  <c r="S252" i="3"/>
  <c r="AX250" i="3"/>
  <c r="BM251" i="3"/>
  <c r="AH251" i="3"/>
  <c r="AO251" i="3"/>
  <c r="BM252" i="3" l="1"/>
  <c r="BN252" i="3"/>
  <c r="BD248" i="3"/>
  <c r="AV250" i="3"/>
  <c r="AY250" i="3"/>
  <c r="BC249" i="3"/>
  <c r="BD249" i="3" s="1"/>
  <c r="AX251" i="3"/>
  <c r="AO252" i="3"/>
  <c r="AT251" i="3"/>
  <c r="AU251" i="3"/>
  <c r="Y252" i="3"/>
  <c r="Z252" i="3" s="1"/>
  <c r="BF249" i="3"/>
  <c r="BJ248" i="3" s="1"/>
  <c r="BK248" i="3" s="1"/>
  <c r="BQ249" i="3"/>
  <c r="BB249" i="3"/>
  <c r="AW251" i="3"/>
  <c r="BA250" i="3"/>
  <c r="X252" i="3"/>
  <c r="AN252" i="3"/>
  <c r="AR253" i="3"/>
  <c r="B253" i="3"/>
  <c r="AQ253" i="3"/>
  <c r="A254" i="3"/>
  <c r="C253" i="3"/>
  <c r="AM253" i="3"/>
  <c r="S253" i="3"/>
  <c r="AK253" i="3"/>
  <c r="R253" i="3"/>
  <c r="AD253" i="3"/>
  <c r="Q253" i="3"/>
  <c r="P253" i="3"/>
  <c r="O253" i="3"/>
  <c r="V253" i="3"/>
  <c r="AF253" i="3"/>
  <c r="M253" i="3"/>
  <c r="AE253" i="3"/>
  <c r="U253" i="3"/>
  <c r="D253" i="3"/>
  <c r="G253" i="3"/>
  <c r="H253" i="3" s="1"/>
  <c r="F253" i="3"/>
  <c r="BM253" i="3" s="1"/>
  <c r="T253" i="3"/>
  <c r="AG252" i="3"/>
  <c r="AH252" i="3"/>
  <c r="AY251" i="3" l="1"/>
  <c r="BC250" i="3"/>
  <c r="BD250" i="3" s="1"/>
  <c r="BG249" i="3"/>
  <c r="BH249" i="3" s="1"/>
  <c r="BI249" i="3" s="1"/>
  <c r="AV251" i="3"/>
  <c r="AO253" i="3"/>
  <c r="AG253" i="3"/>
  <c r="AW252" i="3"/>
  <c r="BA251" i="3"/>
  <c r="BB251" i="3" s="1"/>
  <c r="AR254" i="3"/>
  <c r="B254" i="3"/>
  <c r="AQ254" i="3"/>
  <c r="A255" i="3"/>
  <c r="C254" i="3"/>
  <c r="AM254" i="3"/>
  <c r="R254" i="3"/>
  <c r="D254" i="3"/>
  <c r="AK254" i="3"/>
  <c r="Q254" i="3"/>
  <c r="P254" i="3"/>
  <c r="AD254" i="3"/>
  <c r="M254" i="3"/>
  <c r="U254" i="3"/>
  <c r="O254" i="3"/>
  <c r="AE254" i="3"/>
  <c r="AF254" i="3"/>
  <c r="V254" i="3"/>
  <c r="G254" i="3"/>
  <c r="H254" i="3" s="1"/>
  <c r="F254" i="3"/>
  <c r="T254" i="3"/>
  <c r="S254" i="3"/>
  <c r="AT252" i="3"/>
  <c r="X253" i="3"/>
  <c r="AX252" i="3"/>
  <c r="Y253" i="3"/>
  <c r="Z253" i="3" s="1"/>
  <c r="BN253" i="3"/>
  <c r="AH253" i="3"/>
  <c r="AN253" i="3"/>
  <c r="AU252" i="3"/>
  <c r="BF250" i="3"/>
  <c r="BJ249" i="3" s="1"/>
  <c r="BK249" i="3" s="1"/>
  <c r="BB250" i="3"/>
  <c r="BQ250" i="3"/>
  <c r="BC251" i="3" l="1"/>
  <c r="BD251" i="3" s="1"/>
  <c r="BG250" i="3"/>
  <c r="BH250" i="3" s="1"/>
  <c r="BI250" i="3" s="1"/>
  <c r="AU253" i="3"/>
  <c r="BM254" i="3"/>
  <c r="AT253" i="3"/>
  <c r="BQ251" i="3"/>
  <c r="AW253" i="3"/>
  <c r="AG254" i="3"/>
  <c r="AN254" i="3"/>
  <c r="BF251" i="3"/>
  <c r="BJ250" i="3" s="1"/>
  <c r="BK250" i="3" s="1"/>
  <c r="BA252" i="3"/>
  <c r="BQ252" i="3" s="1"/>
  <c r="AY252" i="3"/>
  <c r="AX253" i="3"/>
  <c r="AV252" i="3"/>
  <c r="Y254" i="3"/>
  <c r="Z254" i="3" s="1"/>
  <c r="BN254" i="3"/>
  <c r="AO254" i="3"/>
  <c r="AQ255" i="3"/>
  <c r="B255" i="3"/>
  <c r="A256" i="3"/>
  <c r="AR255" i="3"/>
  <c r="AM255" i="3"/>
  <c r="Q255" i="3"/>
  <c r="AK255" i="3"/>
  <c r="S255" i="3"/>
  <c r="AD255" i="3"/>
  <c r="O255" i="3"/>
  <c r="AE255" i="3"/>
  <c r="M255" i="3"/>
  <c r="P255" i="3"/>
  <c r="AF255" i="3"/>
  <c r="V255" i="3"/>
  <c r="U255" i="3"/>
  <c r="G255" i="3"/>
  <c r="H255" i="3" s="1"/>
  <c r="R255" i="3"/>
  <c r="D255" i="3"/>
  <c r="C255" i="3"/>
  <c r="F255" i="3"/>
  <c r="T255" i="3"/>
  <c r="X254" i="3"/>
  <c r="AH254" i="3"/>
  <c r="BG251" i="3" l="1"/>
  <c r="BH251" i="3" s="1"/>
  <c r="BI251" i="3" s="1"/>
  <c r="AV253" i="3"/>
  <c r="AO255" i="3"/>
  <c r="BA253" i="3"/>
  <c r="BF253" i="3" s="1"/>
  <c r="BM255" i="3"/>
  <c r="BN255" i="3"/>
  <c r="BF252" i="3"/>
  <c r="BJ251" i="3" s="1"/>
  <c r="BK251" i="3" s="1"/>
  <c r="AG255" i="3"/>
  <c r="AW254" i="3"/>
  <c r="BB252" i="3"/>
  <c r="AX254" i="3"/>
  <c r="AY253" i="3"/>
  <c r="Y255" i="3"/>
  <c r="Z255" i="3" s="1"/>
  <c r="X255" i="3"/>
  <c r="AT254" i="3"/>
  <c r="A257" i="3"/>
  <c r="B256" i="3"/>
  <c r="AR256" i="3"/>
  <c r="AQ256" i="3"/>
  <c r="C256" i="3"/>
  <c r="AK256" i="3"/>
  <c r="S256" i="3"/>
  <c r="AM256" i="3"/>
  <c r="R256" i="3"/>
  <c r="AD256" i="3"/>
  <c r="Q256" i="3"/>
  <c r="P256" i="3"/>
  <c r="O256" i="3"/>
  <c r="M256" i="3"/>
  <c r="AF256" i="3"/>
  <c r="V256" i="3"/>
  <c r="AE256" i="3"/>
  <c r="U256" i="3"/>
  <c r="G256" i="3"/>
  <c r="H256" i="3" s="1"/>
  <c r="D256" i="3"/>
  <c r="F256" i="3"/>
  <c r="T256" i="3"/>
  <c r="AH255" i="3"/>
  <c r="AN255" i="3"/>
  <c r="AU254" i="3"/>
  <c r="BC252" i="3"/>
  <c r="BM256" i="3" l="1"/>
  <c r="BC253" i="3"/>
  <c r="BG253" i="3" s="1"/>
  <c r="BH253" i="3" s="1"/>
  <c r="BI253" i="3" s="1"/>
  <c r="AN256" i="3"/>
  <c r="AU255" i="3"/>
  <c r="BN256" i="3"/>
  <c r="BB253" i="3"/>
  <c r="BQ253" i="3"/>
  <c r="AY254" i="3"/>
  <c r="BJ252" i="3"/>
  <c r="BK252" i="3" s="1"/>
  <c r="AW255" i="3"/>
  <c r="AG256" i="3"/>
  <c r="BD252" i="3"/>
  <c r="BG252" i="3"/>
  <c r="BH252" i="3" s="1"/>
  <c r="BI252" i="3" s="1"/>
  <c r="AX255" i="3"/>
  <c r="Y256" i="3"/>
  <c r="Z256" i="3" s="1"/>
  <c r="AH256" i="3"/>
  <c r="AO256" i="3"/>
  <c r="AT255" i="3"/>
  <c r="AR257" i="3"/>
  <c r="B257" i="3"/>
  <c r="AQ257" i="3"/>
  <c r="A258" i="3"/>
  <c r="AM257" i="3"/>
  <c r="AK257" i="3"/>
  <c r="T257" i="3"/>
  <c r="S257" i="3"/>
  <c r="Q257" i="3"/>
  <c r="R257" i="3"/>
  <c r="AD257" i="3"/>
  <c r="P257" i="3"/>
  <c r="AE257" i="3"/>
  <c r="M257" i="3"/>
  <c r="AF257" i="3"/>
  <c r="V257" i="3"/>
  <c r="U257" i="3"/>
  <c r="O257" i="3"/>
  <c r="D257" i="3"/>
  <c r="F257" i="3"/>
  <c r="C257" i="3"/>
  <c r="G257" i="3"/>
  <c r="H257" i="3" s="1"/>
  <c r="BA254" i="3"/>
  <c r="AV254" i="3"/>
  <c r="X256" i="3"/>
  <c r="BD253" i="3" l="1"/>
  <c r="BC254" i="3"/>
  <c r="BD254" i="3" s="1"/>
  <c r="AV255" i="3"/>
  <c r="AY255" i="3"/>
  <c r="AU256" i="3"/>
  <c r="AG257" i="3"/>
  <c r="AT256" i="3"/>
  <c r="AW256" i="3"/>
  <c r="AN257" i="3"/>
  <c r="AX256" i="3"/>
  <c r="BA255" i="3"/>
  <c r="BQ255" i="3" s="1"/>
  <c r="Y257" i="3"/>
  <c r="Z257" i="3" s="1"/>
  <c r="X257" i="3"/>
  <c r="BM257" i="3"/>
  <c r="AR258" i="3"/>
  <c r="B258" i="3"/>
  <c r="AQ258" i="3"/>
  <c r="A259" i="3"/>
  <c r="D258" i="3"/>
  <c r="C258" i="3"/>
  <c r="AK258" i="3"/>
  <c r="AM258" i="3"/>
  <c r="R258" i="3"/>
  <c r="Q258" i="3"/>
  <c r="AD258" i="3"/>
  <c r="P258" i="3"/>
  <c r="O258" i="3"/>
  <c r="AF258" i="3"/>
  <c r="AE258" i="3"/>
  <c r="M258" i="3"/>
  <c r="V258" i="3"/>
  <c r="U258" i="3"/>
  <c r="F258" i="3"/>
  <c r="G258" i="3"/>
  <c r="H258" i="3" s="1"/>
  <c r="S258" i="3"/>
  <c r="T258" i="3"/>
  <c r="AH257" i="3"/>
  <c r="BN257" i="3"/>
  <c r="AO257" i="3"/>
  <c r="BQ254" i="3"/>
  <c r="BB254" i="3"/>
  <c r="BF254" i="3"/>
  <c r="BJ253" i="3" s="1"/>
  <c r="BK253" i="3" s="1"/>
  <c r="BG254" i="3" l="1"/>
  <c r="BH254" i="3" s="1"/>
  <c r="BI254" i="3" s="1"/>
  <c r="BC255" i="3"/>
  <c r="BD255" i="3" s="1"/>
  <c r="AV256" i="3"/>
  <c r="AN258" i="3"/>
  <c r="BN258" i="3"/>
  <c r="AY256" i="3"/>
  <c r="AT257" i="3"/>
  <c r="AU257" i="3"/>
  <c r="BA256" i="3"/>
  <c r="BF256" i="3" s="1"/>
  <c r="AW257" i="3"/>
  <c r="BF255" i="3"/>
  <c r="BJ254" i="3" s="1"/>
  <c r="BK254" i="3" s="1"/>
  <c r="BB255" i="3"/>
  <c r="Y258" i="3"/>
  <c r="Z258" i="3" s="1"/>
  <c r="AX257" i="3"/>
  <c r="X258" i="3"/>
  <c r="BM258" i="3"/>
  <c r="AG258" i="3"/>
  <c r="AH258" i="3"/>
  <c r="AO258" i="3"/>
  <c r="AQ259" i="3"/>
  <c r="B259" i="3"/>
  <c r="A260" i="3"/>
  <c r="AR259" i="3"/>
  <c r="C259" i="3"/>
  <c r="D259" i="3"/>
  <c r="AM259" i="3"/>
  <c r="AK259" i="3"/>
  <c r="T259" i="3"/>
  <c r="Q259" i="3"/>
  <c r="R259" i="3"/>
  <c r="AD259" i="3"/>
  <c r="P259" i="3"/>
  <c r="O259" i="3"/>
  <c r="M259" i="3"/>
  <c r="AE259" i="3"/>
  <c r="V259" i="3"/>
  <c r="AF259" i="3"/>
  <c r="U259" i="3"/>
  <c r="G259" i="3"/>
  <c r="H259" i="3" s="1"/>
  <c r="F259" i="3"/>
  <c r="BM259" i="3" s="1"/>
  <c r="S259" i="3"/>
  <c r="BN259" i="3" l="1"/>
  <c r="BC256" i="3"/>
  <c r="BG256" i="3" s="1"/>
  <c r="BH256" i="3" s="1"/>
  <c r="BI256" i="3" s="1"/>
  <c r="BG255" i="3"/>
  <c r="BH255" i="3" s="1"/>
  <c r="BI255" i="3" s="1"/>
  <c r="AV257" i="3"/>
  <c r="AG259" i="3"/>
  <c r="AT258" i="3"/>
  <c r="BQ256" i="3"/>
  <c r="BB256" i="3"/>
  <c r="BA257" i="3"/>
  <c r="BF257" i="3" s="1"/>
  <c r="BJ256" i="3" s="1"/>
  <c r="BK256" i="3" s="1"/>
  <c r="AX258" i="3"/>
  <c r="BJ255" i="3"/>
  <c r="BK255" i="3" s="1"/>
  <c r="X259" i="3"/>
  <c r="AN259" i="3"/>
  <c r="AO259" i="3"/>
  <c r="Y259" i="3"/>
  <c r="Z259" i="3" s="1"/>
  <c r="A261" i="3"/>
  <c r="B260" i="3"/>
  <c r="AR260" i="3"/>
  <c r="AQ260" i="3"/>
  <c r="C260" i="3"/>
  <c r="AM260" i="3"/>
  <c r="Q260" i="3"/>
  <c r="AK260" i="3"/>
  <c r="T260" i="3"/>
  <c r="R260" i="3"/>
  <c r="AD260" i="3"/>
  <c r="P260" i="3"/>
  <c r="O260" i="3"/>
  <c r="M260" i="3"/>
  <c r="V260" i="3"/>
  <c r="AE260" i="3"/>
  <c r="AF260" i="3"/>
  <c r="U260" i="3"/>
  <c r="G260" i="3"/>
  <c r="H260" i="3" s="1"/>
  <c r="D260" i="3"/>
  <c r="F260" i="3"/>
  <c r="BM260" i="3" s="1"/>
  <c r="S260" i="3"/>
  <c r="AH259" i="3"/>
  <c r="AY257" i="3"/>
  <c r="AU258" i="3"/>
  <c r="AW258" i="3"/>
  <c r="BD256" i="3" l="1"/>
  <c r="BC257" i="3"/>
  <c r="BD257" i="3" s="1"/>
  <c r="AU259" i="3"/>
  <c r="BB257" i="3"/>
  <c r="BN260" i="3"/>
  <c r="BQ257" i="3"/>
  <c r="AV258" i="3"/>
  <c r="AY258" i="3"/>
  <c r="AW259" i="3"/>
  <c r="AT259" i="3"/>
  <c r="BA258" i="3"/>
  <c r="BQ258" i="3" s="1"/>
  <c r="Y260" i="3"/>
  <c r="Z260" i="3" s="1"/>
  <c r="AN260" i="3"/>
  <c r="AO260" i="3"/>
  <c r="AH260" i="3"/>
  <c r="AX259" i="3"/>
  <c r="X260" i="3"/>
  <c r="AG260" i="3"/>
  <c r="AR261" i="3"/>
  <c r="B261" i="3"/>
  <c r="AQ261" i="3"/>
  <c r="A262" i="3"/>
  <c r="AK261" i="3"/>
  <c r="AM261" i="3"/>
  <c r="R261" i="3"/>
  <c r="S261" i="3"/>
  <c r="AD261" i="3"/>
  <c r="P261" i="3"/>
  <c r="O261" i="3"/>
  <c r="AE261" i="3"/>
  <c r="AF261" i="3"/>
  <c r="U261" i="3"/>
  <c r="V261" i="3"/>
  <c r="M261" i="3"/>
  <c r="Q261" i="3"/>
  <c r="C261" i="3"/>
  <c r="F261" i="3"/>
  <c r="D261" i="3"/>
  <c r="G261" i="3"/>
  <c r="H261" i="3" s="1"/>
  <c r="T261" i="3"/>
  <c r="BG257" i="3" l="1"/>
  <c r="BH257" i="3" s="1"/>
  <c r="BI257" i="3" s="1"/>
  <c r="AV259" i="3"/>
  <c r="BN261" i="3"/>
  <c r="BM261" i="3"/>
  <c r="BC258" i="3"/>
  <c r="BG258" i="3" s="1"/>
  <c r="BH258" i="3" s="1"/>
  <c r="BI258" i="3" s="1"/>
  <c r="BA259" i="3"/>
  <c r="BF259" i="3" s="1"/>
  <c r="BB258" i="3"/>
  <c r="AO261" i="3"/>
  <c r="BF258" i="3"/>
  <c r="BJ257" i="3" s="1"/>
  <c r="BK257" i="3" s="1"/>
  <c r="AU260" i="3"/>
  <c r="AY259" i="3"/>
  <c r="AX260" i="3"/>
  <c r="AW260" i="3"/>
  <c r="AR262" i="3"/>
  <c r="B262" i="3"/>
  <c r="AQ262" i="3"/>
  <c r="A263" i="3"/>
  <c r="C262" i="3"/>
  <c r="D262" i="3"/>
  <c r="AM262" i="3"/>
  <c r="T262" i="3"/>
  <c r="Q262" i="3"/>
  <c r="AK262" i="3"/>
  <c r="R262" i="3"/>
  <c r="AD262" i="3"/>
  <c r="P262" i="3"/>
  <c r="AE262" i="3"/>
  <c r="V262" i="3"/>
  <c r="U262" i="3"/>
  <c r="O262" i="3"/>
  <c r="AF262" i="3"/>
  <c r="M262" i="3"/>
  <c r="G262" i="3"/>
  <c r="H262" i="3" s="1"/>
  <c r="F262" i="3"/>
  <c r="S262" i="3"/>
  <c r="AH261" i="3"/>
  <c r="AT260" i="3"/>
  <c r="Y261" i="3"/>
  <c r="Z261" i="3" s="1"/>
  <c r="X261" i="3"/>
  <c r="AG261" i="3"/>
  <c r="AN261" i="3"/>
  <c r="BM262" i="3" l="1"/>
  <c r="BN262" i="3"/>
  <c r="BD258" i="3"/>
  <c r="BB259" i="3"/>
  <c r="BC259" i="3"/>
  <c r="BD259" i="3" s="1"/>
  <c r="AN262" i="3"/>
  <c r="BJ258" i="3"/>
  <c r="BK258" i="3" s="1"/>
  <c r="BQ259" i="3"/>
  <c r="AW261" i="3"/>
  <c r="Y262" i="3"/>
  <c r="Z262" i="3" s="1"/>
  <c r="AQ263" i="3"/>
  <c r="B263" i="3"/>
  <c r="A264" i="3"/>
  <c r="AR263" i="3"/>
  <c r="C263" i="3"/>
  <c r="AK263" i="3"/>
  <c r="AM263" i="3"/>
  <c r="Q263" i="3"/>
  <c r="R263" i="3"/>
  <c r="AD263" i="3"/>
  <c r="P263" i="3"/>
  <c r="O263" i="3"/>
  <c r="AE263" i="3"/>
  <c r="AF263" i="3"/>
  <c r="U263" i="3"/>
  <c r="M263" i="3"/>
  <c r="V263" i="3"/>
  <c r="F263" i="3"/>
  <c r="D263" i="3"/>
  <c r="G263" i="3"/>
  <c r="H263" i="3" s="1"/>
  <c r="T263" i="3"/>
  <c r="S263" i="3"/>
  <c r="AX261" i="3"/>
  <c r="AU261" i="3"/>
  <c r="AT261" i="3"/>
  <c r="X262" i="3"/>
  <c r="AG262" i="3"/>
  <c r="AH262" i="3"/>
  <c r="AO262" i="3"/>
  <c r="AY260" i="3"/>
  <c r="AV260" i="3"/>
  <c r="BA260" i="3"/>
  <c r="AY261" i="3" l="1"/>
  <c r="BG259" i="3"/>
  <c r="BH259" i="3" s="1"/>
  <c r="BI259" i="3" s="1"/>
  <c r="BN263" i="3"/>
  <c r="BM263" i="3"/>
  <c r="AT262" i="3"/>
  <c r="AO263" i="3"/>
  <c r="X263" i="3"/>
  <c r="BC260" i="3"/>
  <c r="BD260" i="3" s="1"/>
  <c r="BB260" i="3"/>
  <c r="BF260" i="3"/>
  <c r="BJ259" i="3" s="1"/>
  <c r="BK259" i="3" s="1"/>
  <c r="BQ260" i="3"/>
  <c r="A265" i="3"/>
  <c r="B264" i="3"/>
  <c r="AR264" i="3"/>
  <c r="AQ264" i="3"/>
  <c r="D264" i="3"/>
  <c r="AK264" i="3"/>
  <c r="AM264" i="3"/>
  <c r="R264" i="3"/>
  <c r="P264" i="3"/>
  <c r="S264" i="3"/>
  <c r="AD264" i="3"/>
  <c r="O264" i="3"/>
  <c r="M264" i="3"/>
  <c r="AE264" i="3"/>
  <c r="AF264" i="3"/>
  <c r="V264" i="3"/>
  <c r="U264" i="3"/>
  <c r="Q264" i="3"/>
  <c r="C264" i="3"/>
  <c r="F264" i="3"/>
  <c r="G264" i="3"/>
  <c r="H264" i="3" s="1"/>
  <c r="T264" i="3"/>
  <c r="AX262" i="3"/>
  <c r="Y263" i="3"/>
  <c r="Z263" i="3" s="1"/>
  <c r="AG263" i="3"/>
  <c r="AN263" i="3"/>
  <c r="AV261" i="3"/>
  <c r="BA261" i="3"/>
  <c r="AW262" i="3"/>
  <c r="AU262" i="3"/>
  <c r="AH263" i="3"/>
  <c r="BN264" i="3" l="1"/>
  <c r="AV262" i="3"/>
  <c r="AT263" i="3"/>
  <c r="BC261" i="3"/>
  <c r="BD261" i="3" s="1"/>
  <c r="AN264" i="3"/>
  <c r="AY262" i="3"/>
  <c r="BG260" i="3"/>
  <c r="BH260" i="3" s="1"/>
  <c r="BI260" i="3" s="1"/>
  <c r="AW263" i="3"/>
  <c r="X264" i="3"/>
  <c r="BF261" i="3"/>
  <c r="BB261" i="3"/>
  <c r="BQ261" i="3"/>
  <c r="AH264" i="3"/>
  <c r="AX263" i="3"/>
  <c r="Y264" i="3"/>
  <c r="Z264" i="3" s="1"/>
  <c r="BM264" i="3"/>
  <c r="AG264" i="3"/>
  <c r="AO264" i="3"/>
  <c r="BA262" i="3"/>
  <c r="AR265" i="3"/>
  <c r="B265" i="3"/>
  <c r="AQ265" i="3"/>
  <c r="A266" i="3"/>
  <c r="AK265" i="3"/>
  <c r="S265" i="3"/>
  <c r="AM265" i="3"/>
  <c r="R265" i="3"/>
  <c r="Q265" i="3"/>
  <c r="AD265" i="3"/>
  <c r="P265" i="3"/>
  <c r="M265" i="3"/>
  <c r="AE265" i="3"/>
  <c r="V265" i="3"/>
  <c r="O265" i="3"/>
  <c r="AF265" i="3"/>
  <c r="U265" i="3"/>
  <c r="C265" i="3"/>
  <c r="D265" i="3"/>
  <c r="G265" i="3"/>
  <c r="H265" i="3" s="1"/>
  <c r="F265" i="3"/>
  <c r="T265" i="3"/>
  <c r="AU263" i="3"/>
  <c r="BC262" i="3" l="1"/>
  <c r="BG262" i="3" s="1"/>
  <c r="BH262" i="3" s="1"/>
  <c r="BI262" i="3" s="1"/>
  <c r="AV263" i="3"/>
  <c r="AU264" i="3"/>
  <c r="BG261" i="3"/>
  <c r="BH261" i="3" s="1"/>
  <c r="BI261" i="3" s="1"/>
  <c r="AY263" i="3"/>
  <c r="AN265" i="3"/>
  <c r="BN265" i="3"/>
  <c r="AT264" i="3"/>
  <c r="X265" i="3"/>
  <c r="BJ260" i="3"/>
  <c r="BK260" i="3" s="1"/>
  <c r="BM265" i="3"/>
  <c r="AG265" i="3"/>
  <c r="AO265" i="3"/>
  <c r="BA263" i="3"/>
  <c r="AW264" i="3"/>
  <c r="AX264" i="3"/>
  <c r="AR266" i="3"/>
  <c r="B266" i="3"/>
  <c r="AQ266" i="3"/>
  <c r="A267" i="3"/>
  <c r="C266" i="3"/>
  <c r="D266" i="3"/>
  <c r="S266" i="3"/>
  <c r="Q266" i="3"/>
  <c r="R266" i="3"/>
  <c r="AM266" i="3"/>
  <c r="AK266" i="3"/>
  <c r="AD266" i="3"/>
  <c r="P266" i="3"/>
  <c r="O266" i="3"/>
  <c r="M266" i="3"/>
  <c r="AF266" i="3"/>
  <c r="U266" i="3"/>
  <c r="V266" i="3"/>
  <c r="AE266" i="3"/>
  <c r="G266" i="3"/>
  <c r="H266" i="3" s="1"/>
  <c r="F266" i="3"/>
  <c r="BM266" i="3" s="1"/>
  <c r="T266" i="3"/>
  <c r="BF262" i="3"/>
  <c r="BJ261" i="3" s="1"/>
  <c r="BK261" i="3" s="1"/>
  <c r="BB262" i="3"/>
  <c r="BQ262" i="3"/>
  <c r="Y265" i="3"/>
  <c r="Z265" i="3" s="1"/>
  <c r="AH265" i="3"/>
  <c r="BD262" i="3" l="1"/>
  <c r="BN266" i="3"/>
  <c r="BC263" i="3"/>
  <c r="BD263" i="3" s="1"/>
  <c r="AV264" i="3"/>
  <c r="AO266" i="3"/>
  <c r="AN266" i="3"/>
  <c r="Y266" i="3"/>
  <c r="Z266" i="3" s="1"/>
  <c r="AX265" i="3"/>
  <c r="AG266" i="3"/>
  <c r="AT265" i="3"/>
  <c r="AW265" i="3"/>
  <c r="X266" i="3"/>
  <c r="AY264" i="3"/>
  <c r="AU265" i="3"/>
  <c r="AQ267" i="3"/>
  <c r="B267" i="3"/>
  <c r="A268" i="3"/>
  <c r="AR267" i="3"/>
  <c r="AK267" i="3"/>
  <c r="Q267" i="3"/>
  <c r="R267" i="3"/>
  <c r="D267" i="3"/>
  <c r="AM267" i="3"/>
  <c r="C267" i="3"/>
  <c r="T267" i="3"/>
  <c r="AD267" i="3"/>
  <c r="O267" i="3"/>
  <c r="M267" i="3"/>
  <c r="AE267" i="3"/>
  <c r="AF267" i="3"/>
  <c r="U267" i="3"/>
  <c r="V267" i="3"/>
  <c r="G267" i="3"/>
  <c r="H267" i="3" s="1"/>
  <c r="F267" i="3"/>
  <c r="P267" i="3"/>
  <c r="S267" i="3"/>
  <c r="BF263" i="3"/>
  <c r="BJ262" i="3" s="1"/>
  <c r="BK262" i="3" s="1"/>
  <c r="BQ263" i="3"/>
  <c r="BB263" i="3"/>
  <c r="AH266" i="3"/>
  <c r="BA264" i="3"/>
  <c r="BM267" i="3" l="1"/>
  <c r="BG263" i="3"/>
  <c r="BH263" i="3" s="1"/>
  <c r="BI263" i="3" s="1"/>
  <c r="AN267" i="3"/>
  <c r="BC264" i="3"/>
  <c r="BD264" i="3" s="1"/>
  <c r="BN267" i="3"/>
  <c r="Y267" i="3"/>
  <c r="Z267" i="3" s="1"/>
  <c r="AY265" i="3"/>
  <c r="AX266" i="3"/>
  <c r="X267" i="3"/>
  <c r="BQ264" i="3"/>
  <c r="BB264" i="3"/>
  <c r="BF264" i="3"/>
  <c r="BJ263" i="3" s="1"/>
  <c r="BK263" i="3" s="1"/>
  <c r="A269" i="3"/>
  <c r="B268" i="3"/>
  <c r="AR268" i="3"/>
  <c r="AQ268" i="3"/>
  <c r="D268" i="3"/>
  <c r="AK268" i="3"/>
  <c r="AM268" i="3"/>
  <c r="R268" i="3"/>
  <c r="S268" i="3"/>
  <c r="Q268" i="3"/>
  <c r="AD268" i="3"/>
  <c r="O268" i="3"/>
  <c r="P268" i="3"/>
  <c r="AF268" i="3"/>
  <c r="AE268" i="3"/>
  <c r="U268" i="3"/>
  <c r="M268" i="3"/>
  <c r="V268" i="3"/>
  <c r="G268" i="3"/>
  <c r="H268" i="3" s="1"/>
  <c r="C268" i="3"/>
  <c r="F268" i="3"/>
  <c r="T268" i="3"/>
  <c r="AV265" i="3"/>
  <c r="BA265" i="3"/>
  <c r="AG267" i="3"/>
  <c r="AO267" i="3"/>
  <c r="AU266" i="3"/>
  <c r="AW266" i="3"/>
  <c r="AH267" i="3"/>
  <c r="AT266" i="3"/>
  <c r="AY266" i="3" l="1"/>
  <c r="BN268" i="3"/>
  <c r="AT267" i="3"/>
  <c r="BG264" i="3"/>
  <c r="BH264" i="3" s="1"/>
  <c r="BI264" i="3" s="1"/>
  <c r="BC265" i="3"/>
  <c r="BG265" i="3" s="1"/>
  <c r="BH265" i="3" s="1"/>
  <c r="BI265" i="3" s="1"/>
  <c r="AG268" i="3"/>
  <c r="BM268" i="3"/>
  <c r="AN268" i="3"/>
  <c r="AW267" i="3"/>
  <c r="AV266" i="3"/>
  <c r="BA266" i="3"/>
  <c r="BF265" i="3"/>
  <c r="BJ264" i="3" s="1"/>
  <c r="BK264" i="3" s="1"/>
  <c r="BQ265" i="3"/>
  <c r="BB265" i="3"/>
  <c r="AX267" i="3"/>
  <c r="Y268" i="3"/>
  <c r="Z268" i="3" s="1"/>
  <c r="X268" i="3"/>
  <c r="AO268" i="3"/>
  <c r="AR269" i="3"/>
  <c r="B269" i="3"/>
  <c r="AQ269" i="3"/>
  <c r="A270" i="3"/>
  <c r="D269" i="3"/>
  <c r="AM269" i="3"/>
  <c r="S269" i="3"/>
  <c r="AK269" i="3"/>
  <c r="Q269" i="3"/>
  <c r="R269" i="3"/>
  <c r="AD269" i="3"/>
  <c r="P269" i="3"/>
  <c r="T269" i="3"/>
  <c r="AE269" i="3"/>
  <c r="O269" i="3"/>
  <c r="M269" i="3"/>
  <c r="U269" i="3"/>
  <c r="AF269" i="3"/>
  <c r="V269" i="3"/>
  <c r="C269" i="3"/>
  <c r="F269" i="3"/>
  <c r="G269" i="3"/>
  <c r="H269" i="3" s="1"/>
  <c r="AU267" i="3"/>
  <c r="AH268" i="3"/>
  <c r="BC266" i="3" l="1"/>
  <c r="BG266" i="3" s="1"/>
  <c r="BH266" i="3" s="1"/>
  <c r="BI266" i="3" s="1"/>
  <c r="BD265" i="3"/>
  <c r="AY267" i="3"/>
  <c r="AX268" i="3"/>
  <c r="BM269" i="3"/>
  <c r="BN269" i="3"/>
  <c r="AT268" i="3"/>
  <c r="BA267" i="3"/>
  <c r="BF267" i="3" s="1"/>
  <c r="Y269" i="3"/>
  <c r="Z269" i="3" s="1"/>
  <c r="AW268" i="3"/>
  <c r="AH269" i="3"/>
  <c r="AN269" i="3"/>
  <c r="AO269" i="3"/>
  <c r="AR270" i="3"/>
  <c r="B270" i="3"/>
  <c r="AQ270" i="3"/>
  <c r="A271" i="3"/>
  <c r="AK270" i="3"/>
  <c r="AM270" i="3"/>
  <c r="C270" i="3"/>
  <c r="T270" i="3"/>
  <c r="R270" i="3"/>
  <c r="S270" i="3"/>
  <c r="Q270" i="3"/>
  <c r="AD270" i="3"/>
  <c r="P270" i="3"/>
  <c r="O270" i="3"/>
  <c r="V270" i="3"/>
  <c r="M270" i="3"/>
  <c r="AF270" i="3"/>
  <c r="AE270" i="3"/>
  <c r="U270" i="3"/>
  <c r="D270" i="3"/>
  <c r="G270" i="3"/>
  <c r="H270" i="3" s="1"/>
  <c r="F270" i="3"/>
  <c r="BB266" i="3"/>
  <c r="BQ266" i="3"/>
  <c r="BF266" i="3"/>
  <c r="BJ265" i="3" s="1"/>
  <c r="BK265" i="3" s="1"/>
  <c r="X269" i="3"/>
  <c r="AG269" i="3"/>
  <c r="AU268" i="3"/>
  <c r="AV267" i="3"/>
  <c r="BD266" i="3" l="1"/>
  <c r="AY268" i="3"/>
  <c r="BC267" i="3"/>
  <c r="BG267" i="3" s="1"/>
  <c r="BH267" i="3" s="1"/>
  <c r="BI267" i="3" s="1"/>
  <c r="BB267" i="3"/>
  <c r="BN270" i="3"/>
  <c r="AV268" i="3"/>
  <c r="AO270" i="3"/>
  <c r="BQ267" i="3"/>
  <c r="AW269" i="3"/>
  <c r="BJ266" i="3"/>
  <c r="BK266" i="3" s="1"/>
  <c r="BA268" i="3"/>
  <c r="AU269" i="3"/>
  <c r="Y270" i="3"/>
  <c r="Z270" i="3" s="1"/>
  <c r="AQ271" i="3"/>
  <c r="B271" i="3"/>
  <c r="A272" i="3"/>
  <c r="AR271" i="3"/>
  <c r="AK271" i="3"/>
  <c r="AM271" i="3"/>
  <c r="T271" i="3"/>
  <c r="R271" i="3"/>
  <c r="Q271" i="3"/>
  <c r="O271" i="3"/>
  <c r="AD271" i="3"/>
  <c r="P271" i="3"/>
  <c r="AE271" i="3"/>
  <c r="AF271" i="3"/>
  <c r="M271" i="3"/>
  <c r="U271" i="3"/>
  <c r="V271" i="3"/>
  <c r="G271" i="3"/>
  <c r="H271" i="3" s="1"/>
  <c r="C271" i="3"/>
  <c r="D271" i="3"/>
  <c r="F271" i="3"/>
  <c r="S271" i="3"/>
  <c r="AT269" i="3"/>
  <c r="AX269" i="3"/>
  <c r="X270" i="3"/>
  <c r="BM270" i="3"/>
  <c r="AG270" i="3"/>
  <c r="AH270" i="3"/>
  <c r="AN270" i="3"/>
  <c r="BC268" i="3" l="1"/>
  <c r="BD268" i="3" s="1"/>
  <c r="BM271" i="3"/>
  <c r="BD267" i="3"/>
  <c r="AG271" i="3"/>
  <c r="AY269" i="3"/>
  <c r="AN271" i="3"/>
  <c r="AW270" i="3"/>
  <c r="AO271" i="3"/>
  <c r="AU270" i="3"/>
  <c r="BA269" i="3"/>
  <c r="AV269" i="3"/>
  <c r="A273" i="3"/>
  <c r="B272" i="3"/>
  <c r="AR272" i="3"/>
  <c r="AQ272" i="3"/>
  <c r="C272" i="3"/>
  <c r="AM272" i="3"/>
  <c r="T272" i="3"/>
  <c r="AK272" i="3"/>
  <c r="Q272" i="3"/>
  <c r="R272" i="3"/>
  <c r="P272" i="3"/>
  <c r="AD272" i="3"/>
  <c r="M272" i="3"/>
  <c r="AE272" i="3"/>
  <c r="O272" i="3"/>
  <c r="AF272" i="3"/>
  <c r="U272" i="3"/>
  <c r="V272" i="3"/>
  <c r="G272" i="3"/>
  <c r="H272" i="3" s="1"/>
  <c r="F272" i="3"/>
  <c r="D272" i="3"/>
  <c r="S272" i="3"/>
  <c r="BF268" i="3"/>
  <c r="BJ267" i="3" s="1"/>
  <c r="BK267" i="3" s="1"/>
  <c r="BQ268" i="3"/>
  <c r="BB268" i="3"/>
  <c r="AH271" i="3"/>
  <c r="Y271" i="3"/>
  <c r="Z271" i="3" s="1"/>
  <c r="AT270" i="3"/>
  <c r="AX270" i="3"/>
  <c r="X271" i="3"/>
  <c r="BN271" i="3"/>
  <c r="BG268" i="3" l="1"/>
  <c r="BH268" i="3" s="1"/>
  <c r="BI268" i="3" s="1"/>
  <c r="AO272" i="3"/>
  <c r="BM272" i="3"/>
  <c r="BC269" i="3"/>
  <c r="BG269" i="3" s="1"/>
  <c r="BH269" i="3" s="1"/>
  <c r="BI269" i="3" s="1"/>
  <c r="AY270" i="3"/>
  <c r="AX271" i="3"/>
  <c r="AT271" i="3"/>
  <c r="AU271" i="3"/>
  <c r="AW271" i="3"/>
  <c r="X272" i="3"/>
  <c r="AV270" i="3"/>
  <c r="BA270" i="3"/>
  <c r="Y272" i="3"/>
  <c r="Z272" i="3" s="1"/>
  <c r="AR273" i="3"/>
  <c r="B273" i="3"/>
  <c r="AQ273" i="3"/>
  <c r="A274" i="3"/>
  <c r="R273" i="3"/>
  <c r="AM273" i="3"/>
  <c r="AK273" i="3"/>
  <c r="S273" i="3"/>
  <c r="Q273" i="3"/>
  <c r="AD273" i="3"/>
  <c r="P273" i="3"/>
  <c r="AF273" i="3"/>
  <c r="U273" i="3"/>
  <c r="O273" i="3"/>
  <c r="AE273" i="3"/>
  <c r="M273" i="3"/>
  <c r="V273" i="3"/>
  <c r="D273" i="3"/>
  <c r="F273" i="3"/>
  <c r="C273" i="3"/>
  <c r="G273" i="3"/>
  <c r="H273" i="3" s="1"/>
  <c r="T273" i="3"/>
  <c r="BF269" i="3"/>
  <c r="BJ268" i="3" s="1"/>
  <c r="BK268" i="3" s="1"/>
  <c r="BB269" i="3"/>
  <c r="BQ269" i="3"/>
  <c r="BN272" i="3"/>
  <c r="AG272" i="3"/>
  <c r="AH272" i="3"/>
  <c r="AN272" i="3"/>
  <c r="BD269" i="3" l="1"/>
  <c r="BC270" i="3"/>
  <c r="BD270" i="3" s="1"/>
  <c r="BN273" i="3"/>
  <c r="BM273" i="3"/>
  <c r="AU272" i="3"/>
  <c r="AV271" i="3"/>
  <c r="AY271" i="3"/>
  <c r="AO273" i="3"/>
  <c r="BA271" i="3"/>
  <c r="BB271" i="3" s="1"/>
  <c r="AG273" i="3"/>
  <c r="AR274" i="3"/>
  <c r="B274" i="3"/>
  <c r="AQ274" i="3"/>
  <c r="A275" i="3"/>
  <c r="C274" i="3"/>
  <c r="AK274" i="3"/>
  <c r="S274" i="3"/>
  <c r="AM274" i="3"/>
  <c r="T274" i="3"/>
  <c r="Q274" i="3"/>
  <c r="AD274" i="3"/>
  <c r="P274" i="3"/>
  <c r="O274" i="3"/>
  <c r="M274" i="3"/>
  <c r="AF274" i="3"/>
  <c r="AE274" i="3"/>
  <c r="V274" i="3"/>
  <c r="U274" i="3"/>
  <c r="R274" i="3"/>
  <c r="D274" i="3"/>
  <c r="G274" i="3"/>
  <c r="H274" i="3" s="1"/>
  <c r="F274" i="3"/>
  <c r="BQ270" i="3"/>
  <c r="BF270" i="3"/>
  <c r="BJ269" i="3" s="1"/>
  <c r="BK269" i="3" s="1"/>
  <c r="BB270" i="3"/>
  <c r="AT272" i="3"/>
  <c r="AX272" i="3"/>
  <c r="Y273" i="3"/>
  <c r="Z273" i="3" s="1"/>
  <c r="X273" i="3"/>
  <c r="AH273" i="3"/>
  <c r="AN273" i="3"/>
  <c r="AW272" i="3"/>
  <c r="BG270" i="3" l="1"/>
  <c r="BH270" i="3" s="1"/>
  <c r="BI270" i="3" s="1"/>
  <c r="AN274" i="3"/>
  <c r="BM274" i="3"/>
  <c r="BC271" i="3"/>
  <c r="BG271" i="3" s="1"/>
  <c r="BH271" i="3" s="1"/>
  <c r="BI271" i="3" s="1"/>
  <c r="AW273" i="3"/>
  <c r="BQ271" i="3"/>
  <c r="BF271" i="3"/>
  <c r="BJ270" i="3" s="1"/>
  <c r="BK270" i="3" s="1"/>
  <c r="AX273" i="3"/>
  <c r="AG274" i="3"/>
  <c r="BA272" i="3"/>
  <c r="AV272" i="3"/>
  <c r="Y274" i="3"/>
  <c r="Z274" i="3" s="1"/>
  <c r="AU273" i="3"/>
  <c r="AY272" i="3"/>
  <c r="AT273" i="3"/>
  <c r="BN274" i="3"/>
  <c r="AH274" i="3"/>
  <c r="X274" i="3"/>
  <c r="AQ275" i="3"/>
  <c r="B275" i="3"/>
  <c r="A276" i="3"/>
  <c r="AR275" i="3"/>
  <c r="AM275" i="3"/>
  <c r="AK275" i="3"/>
  <c r="R275" i="3"/>
  <c r="AD275" i="3"/>
  <c r="P275" i="3"/>
  <c r="O275" i="3"/>
  <c r="M275" i="3"/>
  <c r="AE275" i="3"/>
  <c r="AF275" i="3"/>
  <c r="V275" i="3"/>
  <c r="U275" i="3"/>
  <c r="D275" i="3"/>
  <c r="G275" i="3"/>
  <c r="H275" i="3" s="1"/>
  <c r="F275" i="3"/>
  <c r="Q275" i="3"/>
  <c r="C275" i="3"/>
  <c r="S275" i="3"/>
  <c r="T275" i="3"/>
  <c r="AO274" i="3"/>
  <c r="AT274" i="3" l="1"/>
  <c r="AU274" i="3"/>
  <c r="AW274" i="3"/>
  <c r="BN275" i="3"/>
  <c r="AN275" i="3"/>
  <c r="BD271" i="3"/>
  <c r="AY273" i="3"/>
  <c r="X275" i="3"/>
  <c r="Y275" i="3"/>
  <c r="Z275" i="3" s="1"/>
  <c r="BF272" i="3"/>
  <c r="BJ271" i="3" s="1"/>
  <c r="BK271" i="3" s="1"/>
  <c r="BQ272" i="3"/>
  <c r="BB272" i="3"/>
  <c r="BM275" i="3"/>
  <c r="AG275" i="3"/>
  <c r="AH275" i="3"/>
  <c r="AO275" i="3"/>
  <c r="A277" i="3"/>
  <c r="B276" i="3"/>
  <c r="AR276" i="3"/>
  <c r="AQ276" i="3"/>
  <c r="AK276" i="3"/>
  <c r="S276" i="3"/>
  <c r="R276" i="3"/>
  <c r="C276" i="3"/>
  <c r="AM276" i="3"/>
  <c r="P276" i="3"/>
  <c r="Q276" i="3"/>
  <c r="AD276" i="3"/>
  <c r="M276" i="3"/>
  <c r="O276" i="3"/>
  <c r="AE276" i="3"/>
  <c r="U276" i="3"/>
  <c r="AF276" i="3"/>
  <c r="V276" i="3"/>
  <c r="D276" i="3"/>
  <c r="G276" i="3"/>
  <c r="H276" i="3" s="1"/>
  <c r="F276" i="3"/>
  <c r="T276" i="3"/>
  <c r="AV273" i="3"/>
  <c r="BA273" i="3"/>
  <c r="AX274" i="3"/>
  <c r="BC272" i="3"/>
  <c r="AN276" i="3" l="1"/>
  <c r="AV274" i="3"/>
  <c r="BA274" i="3"/>
  <c r="BF274" i="3" s="1"/>
  <c r="BC273" i="3"/>
  <c r="BG273" i="3" s="1"/>
  <c r="BH273" i="3" s="1"/>
  <c r="BI273" i="3" s="1"/>
  <c r="BN276" i="3"/>
  <c r="AT275" i="3"/>
  <c r="AH276" i="3"/>
  <c r="AX275" i="3"/>
  <c r="AU275" i="3"/>
  <c r="BB273" i="3"/>
  <c r="BF273" i="3"/>
  <c r="BJ272" i="3" s="1"/>
  <c r="BK272" i="3" s="1"/>
  <c r="BQ273" i="3"/>
  <c r="BD272" i="3"/>
  <c r="BG272" i="3"/>
  <c r="BH272" i="3" s="1"/>
  <c r="BI272" i="3" s="1"/>
  <c r="AR277" i="3"/>
  <c r="B277" i="3"/>
  <c r="AQ277" i="3"/>
  <c r="A278" i="3"/>
  <c r="D277" i="3"/>
  <c r="T277" i="3"/>
  <c r="AM277" i="3"/>
  <c r="AK277" i="3"/>
  <c r="S277" i="3"/>
  <c r="R277" i="3"/>
  <c r="Q277" i="3"/>
  <c r="P277" i="3"/>
  <c r="AD277" i="3"/>
  <c r="O277" i="3"/>
  <c r="M277" i="3"/>
  <c r="AF277" i="3"/>
  <c r="U277" i="3"/>
  <c r="AE277" i="3"/>
  <c r="V277" i="3"/>
  <c r="G277" i="3"/>
  <c r="H277" i="3" s="1"/>
  <c r="F277" i="3"/>
  <c r="C277" i="3"/>
  <c r="Y276" i="3"/>
  <c r="Z276" i="3" s="1"/>
  <c r="X276" i="3"/>
  <c r="BM276" i="3"/>
  <c r="AG276" i="3"/>
  <c r="AO276" i="3"/>
  <c r="AW275" i="3"/>
  <c r="AY274" i="3"/>
  <c r="BC274" i="3" l="1"/>
  <c r="BD274" i="3" s="1"/>
  <c r="BD273" i="3"/>
  <c r="BQ274" i="3"/>
  <c r="BB274" i="3"/>
  <c r="BN277" i="3"/>
  <c r="AU276" i="3"/>
  <c r="AV275" i="3"/>
  <c r="AY275" i="3"/>
  <c r="AW276" i="3"/>
  <c r="AO277" i="3"/>
  <c r="X277" i="3"/>
  <c r="AG277" i="3"/>
  <c r="BA275" i="3"/>
  <c r="BB275" i="3" s="1"/>
  <c r="Y277" i="3"/>
  <c r="Z277" i="3" s="1"/>
  <c r="BJ273" i="3"/>
  <c r="BK273" i="3" s="1"/>
  <c r="AT276" i="3"/>
  <c r="AX276" i="3"/>
  <c r="BM277" i="3"/>
  <c r="AH277" i="3"/>
  <c r="AN277" i="3"/>
  <c r="AR278" i="3"/>
  <c r="B278" i="3"/>
  <c r="AQ278" i="3"/>
  <c r="A279" i="3"/>
  <c r="D278" i="3"/>
  <c r="C278" i="3"/>
  <c r="AK278" i="3"/>
  <c r="S278" i="3"/>
  <c r="Q278" i="3"/>
  <c r="AM278" i="3"/>
  <c r="R278" i="3"/>
  <c r="AD278" i="3"/>
  <c r="AE278" i="3"/>
  <c r="P278" i="3"/>
  <c r="M278" i="3"/>
  <c r="AF278" i="3"/>
  <c r="O278" i="3"/>
  <c r="V278" i="3"/>
  <c r="U278" i="3"/>
  <c r="G278" i="3"/>
  <c r="H278" i="3" s="1"/>
  <c r="F278" i="3"/>
  <c r="T278" i="3"/>
  <c r="BG274" i="3" l="1"/>
  <c r="BH274" i="3" s="1"/>
  <c r="BI274" i="3" s="1"/>
  <c r="AU277" i="3"/>
  <c r="BM278" i="3"/>
  <c r="BC275" i="3"/>
  <c r="BG275" i="3" s="1"/>
  <c r="BH275" i="3" s="1"/>
  <c r="BI275" i="3" s="1"/>
  <c r="AY276" i="3"/>
  <c r="AO278" i="3"/>
  <c r="AT277" i="3"/>
  <c r="AW277" i="3"/>
  <c r="AG278" i="3"/>
  <c r="BF275" i="3"/>
  <c r="BJ274" i="3" s="1"/>
  <c r="BK274" i="3" s="1"/>
  <c r="BQ275" i="3"/>
  <c r="AV276" i="3"/>
  <c r="BA276" i="3"/>
  <c r="AQ279" i="3"/>
  <c r="B279" i="3"/>
  <c r="A280" i="3"/>
  <c r="AR279" i="3"/>
  <c r="AK279" i="3"/>
  <c r="Q279" i="3"/>
  <c r="AM279" i="3"/>
  <c r="T279" i="3"/>
  <c r="AD279" i="3"/>
  <c r="R279" i="3"/>
  <c r="P279" i="3"/>
  <c r="O279" i="3"/>
  <c r="M279" i="3"/>
  <c r="AE279" i="3"/>
  <c r="AF279" i="3"/>
  <c r="V279" i="3"/>
  <c r="U279" i="3"/>
  <c r="D279" i="3"/>
  <c r="F279" i="3"/>
  <c r="C279" i="3"/>
  <c r="G279" i="3"/>
  <c r="H279" i="3" s="1"/>
  <c r="S279" i="3"/>
  <c r="Y278" i="3"/>
  <c r="Z278" i="3" s="1"/>
  <c r="BN278" i="3"/>
  <c r="AH278" i="3"/>
  <c r="AN278" i="3"/>
  <c r="X278" i="3"/>
  <c r="AX277" i="3"/>
  <c r="AN279" i="3" l="1"/>
  <c r="AU278" i="3"/>
  <c r="AV277" i="3"/>
  <c r="BM279" i="3"/>
  <c r="AY277" i="3"/>
  <c r="BD275" i="3"/>
  <c r="BC276" i="3"/>
  <c r="BD276" i="3" s="1"/>
  <c r="AH279" i="3"/>
  <c r="AT278" i="3"/>
  <c r="AW278" i="3"/>
  <c r="Y279" i="3"/>
  <c r="Z279" i="3" s="1"/>
  <c r="BN279" i="3"/>
  <c r="A281" i="3"/>
  <c r="B280" i="3"/>
  <c r="AR280" i="3"/>
  <c r="AQ280" i="3"/>
  <c r="D280" i="3"/>
  <c r="AM280" i="3"/>
  <c r="AK280" i="3"/>
  <c r="S280" i="3"/>
  <c r="Q280" i="3"/>
  <c r="C280" i="3"/>
  <c r="T280" i="3"/>
  <c r="AD280" i="3"/>
  <c r="R280" i="3"/>
  <c r="P280" i="3"/>
  <c r="AE280" i="3"/>
  <c r="M280" i="3"/>
  <c r="V280" i="3"/>
  <c r="O280" i="3"/>
  <c r="AF280" i="3"/>
  <c r="U280" i="3"/>
  <c r="G280" i="3"/>
  <c r="H280" i="3" s="1"/>
  <c r="BN280" i="3" s="1"/>
  <c r="F280" i="3"/>
  <c r="BF276" i="3"/>
  <c r="BJ275" i="3" s="1"/>
  <c r="BK275" i="3" s="1"/>
  <c r="BB276" i="3"/>
  <c r="BQ276" i="3"/>
  <c r="AO279" i="3"/>
  <c r="AX278" i="3"/>
  <c r="BA277" i="3"/>
  <c r="X279" i="3"/>
  <c r="AG279" i="3"/>
  <c r="BM280" i="3" l="1"/>
  <c r="AW279" i="3"/>
  <c r="BC277" i="3"/>
  <c r="BG277" i="3" s="1"/>
  <c r="BH277" i="3" s="1"/>
  <c r="BI277" i="3" s="1"/>
  <c r="AV278" i="3"/>
  <c r="BG276" i="3"/>
  <c r="BH276" i="3" s="1"/>
  <c r="BI276" i="3" s="1"/>
  <c r="AY278" i="3"/>
  <c r="AO280" i="3"/>
  <c r="BB277" i="3"/>
  <c r="BQ277" i="3"/>
  <c r="BF277" i="3"/>
  <c r="BJ276" i="3" s="1"/>
  <c r="BK276" i="3" s="1"/>
  <c r="AG280" i="3"/>
  <c r="AT279" i="3"/>
  <c r="AH280" i="3"/>
  <c r="X280" i="3"/>
  <c r="AN280" i="3"/>
  <c r="BA278" i="3"/>
  <c r="AU279" i="3"/>
  <c r="Y280" i="3"/>
  <c r="Z280" i="3" s="1"/>
  <c r="AR281" i="3"/>
  <c r="B281" i="3"/>
  <c r="AQ281" i="3"/>
  <c r="A282" i="3"/>
  <c r="S281" i="3"/>
  <c r="T281" i="3"/>
  <c r="AK281" i="3"/>
  <c r="AM281" i="3"/>
  <c r="Q281" i="3"/>
  <c r="P281" i="3"/>
  <c r="AD281" i="3"/>
  <c r="AE281" i="3"/>
  <c r="U281" i="3"/>
  <c r="O281" i="3"/>
  <c r="AF281" i="3"/>
  <c r="M281" i="3"/>
  <c r="V281" i="3"/>
  <c r="R281" i="3"/>
  <c r="D281" i="3"/>
  <c r="F281" i="3"/>
  <c r="C281" i="3"/>
  <c r="G281" i="3"/>
  <c r="H281" i="3" s="1"/>
  <c r="AX279" i="3"/>
  <c r="AY279" i="3" l="1"/>
  <c r="AT280" i="3"/>
  <c r="BD277" i="3"/>
  <c r="BC278" i="3"/>
  <c r="BD278" i="3" s="1"/>
  <c r="AU280" i="3"/>
  <c r="BM281" i="3"/>
  <c r="AG281" i="3"/>
  <c r="AN281" i="3"/>
  <c r="Y281" i="3"/>
  <c r="Z281" i="3" s="1"/>
  <c r="BN281" i="3"/>
  <c r="BB278" i="3"/>
  <c r="BF278" i="3"/>
  <c r="BJ277" i="3" s="1"/>
  <c r="BK277" i="3" s="1"/>
  <c r="BQ278" i="3"/>
  <c r="X281" i="3"/>
  <c r="AH281" i="3"/>
  <c r="AO281" i="3"/>
  <c r="AX280" i="3"/>
  <c r="AW280" i="3"/>
  <c r="AR282" i="3"/>
  <c r="B282" i="3"/>
  <c r="AQ282" i="3"/>
  <c r="A283" i="3"/>
  <c r="C282" i="3"/>
  <c r="T282" i="3"/>
  <c r="AM282" i="3"/>
  <c r="AK282" i="3"/>
  <c r="S282" i="3"/>
  <c r="R282" i="3"/>
  <c r="Q282" i="3"/>
  <c r="P282" i="3"/>
  <c r="AD282" i="3"/>
  <c r="O282" i="3"/>
  <c r="AF282" i="3"/>
  <c r="M282" i="3"/>
  <c r="AE282" i="3"/>
  <c r="U282" i="3"/>
  <c r="V282" i="3"/>
  <c r="F282" i="3"/>
  <c r="D282" i="3"/>
  <c r="G282" i="3"/>
  <c r="H282" i="3" s="1"/>
  <c r="BA279" i="3"/>
  <c r="AV279" i="3"/>
  <c r="BC279" i="3" l="1"/>
  <c r="BG279" i="3" s="1"/>
  <c r="BH279" i="3" s="1"/>
  <c r="BI279" i="3" s="1"/>
  <c r="AV280" i="3"/>
  <c r="BG278" i="3"/>
  <c r="BH278" i="3" s="1"/>
  <c r="BI278" i="3" s="1"/>
  <c r="AU281" i="3"/>
  <c r="AN282" i="3"/>
  <c r="AG282" i="3"/>
  <c r="AX281" i="3"/>
  <c r="AY280" i="3"/>
  <c r="AQ283" i="3"/>
  <c r="B283" i="3"/>
  <c r="A284" i="3"/>
  <c r="AR283" i="3"/>
  <c r="C283" i="3"/>
  <c r="AK283" i="3"/>
  <c r="AM283" i="3"/>
  <c r="AD283" i="3"/>
  <c r="P283" i="3"/>
  <c r="R283" i="3"/>
  <c r="Q283" i="3"/>
  <c r="O283" i="3"/>
  <c r="AE283" i="3"/>
  <c r="AF283" i="3"/>
  <c r="M283" i="3"/>
  <c r="V283" i="3"/>
  <c r="U283" i="3"/>
  <c r="D283" i="3"/>
  <c r="G283" i="3"/>
  <c r="H283" i="3" s="1"/>
  <c r="F283" i="3"/>
  <c r="T283" i="3"/>
  <c r="S283" i="3"/>
  <c r="AH282" i="3"/>
  <c r="BN282" i="3"/>
  <c r="BM282" i="3"/>
  <c r="AO282" i="3"/>
  <c r="AT281" i="3"/>
  <c r="AW281" i="3"/>
  <c r="BQ279" i="3"/>
  <c r="BB279" i="3"/>
  <c r="BF279" i="3"/>
  <c r="BJ278" i="3" s="1"/>
  <c r="BK278" i="3" s="1"/>
  <c r="Y282" i="3"/>
  <c r="Z282" i="3" s="1"/>
  <c r="X282" i="3"/>
  <c r="BA280" i="3"/>
  <c r="BD279" i="3" l="1"/>
  <c r="BC280" i="3"/>
  <c r="BG280" i="3" s="1"/>
  <c r="BH280" i="3" s="1"/>
  <c r="BI280" i="3" s="1"/>
  <c r="BN283" i="3"/>
  <c r="AO283" i="3"/>
  <c r="BM283" i="3"/>
  <c r="AT282" i="3"/>
  <c r="AY281" i="3"/>
  <c r="AW282" i="3"/>
  <c r="Y283" i="3"/>
  <c r="Z283" i="3" s="1"/>
  <c r="AN283" i="3"/>
  <c r="X283" i="3"/>
  <c r="AH283" i="3"/>
  <c r="BQ280" i="3"/>
  <c r="BF280" i="3"/>
  <c r="BJ279" i="3" s="1"/>
  <c r="BK279" i="3" s="1"/>
  <c r="BB280" i="3"/>
  <c r="AV281" i="3"/>
  <c r="BA281" i="3"/>
  <c r="A285" i="3"/>
  <c r="B284" i="3"/>
  <c r="AR284" i="3"/>
  <c r="AQ284" i="3"/>
  <c r="C284" i="3"/>
  <c r="AM284" i="3"/>
  <c r="AK284" i="3"/>
  <c r="S284" i="3"/>
  <c r="AD284" i="3"/>
  <c r="T284" i="3"/>
  <c r="Q284" i="3"/>
  <c r="P284" i="3"/>
  <c r="M284" i="3"/>
  <c r="O284" i="3"/>
  <c r="AE284" i="3"/>
  <c r="V284" i="3"/>
  <c r="AF284" i="3"/>
  <c r="U284" i="3"/>
  <c r="R284" i="3"/>
  <c r="F284" i="3"/>
  <c r="G284" i="3"/>
  <c r="H284" i="3" s="1"/>
  <c r="D284" i="3"/>
  <c r="AU282" i="3"/>
  <c r="AG283" i="3"/>
  <c r="AX282" i="3"/>
  <c r="BD280" i="3" l="1"/>
  <c r="BM284" i="3"/>
  <c r="BC281" i="3"/>
  <c r="BD281" i="3" s="1"/>
  <c r="AY282" i="3"/>
  <c r="AN284" i="3"/>
  <c r="AU283" i="3"/>
  <c r="AX283" i="3"/>
  <c r="BA282" i="3"/>
  <c r="BF282" i="3" s="1"/>
  <c r="Y284" i="3"/>
  <c r="Z284" i="3" s="1"/>
  <c r="AT283" i="3"/>
  <c r="AW283" i="3"/>
  <c r="AR285" i="3"/>
  <c r="B285" i="3"/>
  <c r="AQ285" i="3"/>
  <c r="A286" i="3"/>
  <c r="C285" i="3"/>
  <c r="AK285" i="3"/>
  <c r="AM285" i="3"/>
  <c r="R285" i="3"/>
  <c r="AD285" i="3"/>
  <c r="P285" i="3"/>
  <c r="O285" i="3"/>
  <c r="AE285" i="3"/>
  <c r="M285" i="3"/>
  <c r="AF285" i="3"/>
  <c r="U285" i="3"/>
  <c r="V285" i="3"/>
  <c r="Q285" i="3"/>
  <c r="D285" i="3"/>
  <c r="G285" i="3"/>
  <c r="H285" i="3" s="1"/>
  <c r="F285" i="3"/>
  <c r="T285" i="3"/>
  <c r="S285" i="3"/>
  <c r="BN284" i="3"/>
  <c r="AG284" i="3"/>
  <c r="AH284" i="3"/>
  <c r="AO284" i="3"/>
  <c r="X284" i="3"/>
  <c r="AV282" i="3"/>
  <c r="BQ281" i="3"/>
  <c r="BF281" i="3"/>
  <c r="BJ280" i="3" s="1"/>
  <c r="BK280" i="3" s="1"/>
  <c r="BB281" i="3"/>
  <c r="AV283" i="3" l="1"/>
  <c r="BC282" i="3"/>
  <c r="BD282" i="3" s="1"/>
  <c r="AY283" i="3"/>
  <c r="BN285" i="3"/>
  <c r="BG281" i="3"/>
  <c r="BH281" i="3" s="1"/>
  <c r="BI281" i="3" s="1"/>
  <c r="AT284" i="3"/>
  <c r="AH285" i="3"/>
  <c r="BB282" i="3"/>
  <c r="BA283" i="3"/>
  <c r="BB283" i="3" s="1"/>
  <c r="BQ282" i="3"/>
  <c r="AN285" i="3"/>
  <c r="AO285" i="3"/>
  <c r="AR286" i="3"/>
  <c r="B286" i="3"/>
  <c r="AQ286" i="3"/>
  <c r="A287" i="3"/>
  <c r="AM286" i="3"/>
  <c r="AK286" i="3"/>
  <c r="R286" i="3"/>
  <c r="S286" i="3"/>
  <c r="Q286" i="3"/>
  <c r="P286" i="3"/>
  <c r="AD286" i="3"/>
  <c r="O286" i="3"/>
  <c r="AE286" i="3"/>
  <c r="U286" i="3"/>
  <c r="M286" i="3"/>
  <c r="AF286" i="3"/>
  <c r="V286" i="3"/>
  <c r="C286" i="3"/>
  <c r="F286" i="3"/>
  <c r="D286" i="3"/>
  <c r="G286" i="3"/>
  <c r="H286" i="3" s="1"/>
  <c r="T286" i="3"/>
  <c r="AW284" i="3"/>
  <c r="Y285" i="3"/>
  <c r="Z285" i="3" s="1"/>
  <c r="AU284" i="3"/>
  <c r="AX284" i="3"/>
  <c r="X285" i="3"/>
  <c r="BM285" i="3"/>
  <c r="AG285" i="3"/>
  <c r="BJ281" i="3"/>
  <c r="BK281" i="3" s="1"/>
  <c r="BC283" i="3" l="1"/>
  <c r="BD283" i="3" s="1"/>
  <c r="BG282" i="3"/>
  <c r="BH282" i="3" s="1"/>
  <c r="BI282" i="3" s="1"/>
  <c r="BF283" i="3"/>
  <c r="BJ282" i="3" s="1"/>
  <c r="BK282" i="3" s="1"/>
  <c r="AW285" i="3"/>
  <c r="AO286" i="3"/>
  <c r="AT285" i="3"/>
  <c r="AU285" i="3"/>
  <c r="BA284" i="3"/>
  <c r="BQ284" i="3" s="1"/>
  <c r="BQ283" i="3"/>
  <c r="Y286" i="3"/>
  <c r="Z286" i="3" s="1"/>
  <c r="X286" i="3"/>
  <c r="AX285" i="3"/>
  <c r="AY284" i="3"/>
  <c r="BN286" i="3"/>
  <c r="BM286" i="3"/>
  <c r="AG286" i="3"/>
  <c r="AH286" i="3"/>
  <c r="AN286" i="3"/>
  <c r="AV284" i="3"/>
  <c r="AQ287" i="3"/>
  <c r="B287" i="3"/>
  <c r="A288" i="3"/>
  <c r="AR287" i="3"/>
  <c r="D287" i="3"/>
  <c r="AK287" i="3"/>
  <c r="AM287" i="3"/>
  <c r="S287" i="3"/>
  <c r="Q287" i="3"/>
  <c r="AD287" i="3"/>
  <c r="O287" i="3"/>
  <c r="M287" i="3"/>
  <c r="AE287" i="3"/>
  <c r="V287" i="3"/>
  <c r="U287" i="3"/>
  <c r="P287" i="3"/>
  <c r="AF287" i="3"/>
  <c r="R287" i="3"/>
  <c r="G287" i="3"/>
  <c r="H287" i="3" s="1"/>
  <c r="C287" i="3"/>
  <c r="F287" i="3"/>
  <c r="T287" i="3"/>
  <c r="BG283" i="3" l="1"/>
  <c r="BH283" i="3" s="1"/>
  <c r="BI283" i="3" s="1"/>
  <c r="BN287" i="3"/>
  <c r="BB284" i="3"/>
  <c r="BM287" i="3"/>
  <c r="AU286" i="3"/>
  <c r="AV285" i="3"/>
  <c r="BF284" i="3"/>
  <c r="BJ283" i="3" s="1"/>
  <c r="BK283" i="3" s="1"/>
  <c r="AY285" i="3"/>
  <c r="AN287" i="3"/>
  <c r="A289" i="3"/>
  <c r="B288" i="3"/>
  <c r="AR288" i="3"/>
  <c r="AQ288" i="3"/>
  <c r="AM288" i="3"/>
  <c r="AK288" i="3"/>
  <c r="R288" i="3"/>
  <c r="AD288" i="3"/>
  <c r="Q288" i="3"/>
  <c r="P288" i="3"/>
  <c r="O288" i="3"/>
  <c r="AF288" i="3"/>
  <c r="V288" i="3"/>
  <c r="U288" i="3"/>
  <c r="AE288" i="3"/>
  <c r="M288" i="3"/>
  <c r="D288" i="3"/>
  <c r="C288" i="3"/>
  <c r="G288" i="3"/>
  <c r="H288" i="3" s="1"/>
  <c r="F288" i="3"/>
  <c r="T288" i="3"/>
  <c r="S288" i="3"/>
  <c r="AT286" i="3"/>
  <c r="AX286" i="3"/>
  <c r="AG287" i="3"/>
  <c r="BC284" i="3"/>
  <c r="Y287" i="3"/>
  <c r="Z287" i="3" s="1"/>
  <c r="X287" i="3"/>
  <c r="AH287" i="3"/>
  <c r="AO287" i="3"/>
  <c r="AW286" i="3"/>
  <c r="BA285" i="3"/>
  <c r="BN288" i="3" l="1"/>
  <c r="BM288" i="3"/>
  <c r="AV286" i="3"/>
  <c r="BC285" i="3"/>
  <c r="BD285" i="3" s="1"/>
  <c r="AT287" i="3"/>
  <c r="AO288" i="3"/>
  <c r="AX287" i="3"/>
  <c r="BA286" i="3"/>
  <c r="BB286" i="3" s="1"/>
  <c r="X288" i="3"/>
  <c r="AH288" i="3"/>
  <c r="BF285" i="3"/>
  <c r="BJ284" i="3" s="1"/>
  <c r="BK284" i="3" s="1"/>
  <c r="BB285" i="3"/>
  <c r="BQ285" i="3"/>
  <c r="BD284" i="3"/>
  <c r="BG284" i="3"/>
  <c r="BH284" i="3" s="1"/>
  <c r="BI284" i="3" s="1"/>
  <c r="AR289" i="3"/>
  <c r="B289" i="3"/>
  <c r="AQ289" i="3"/>
  <c r="A290" i="3"/>
  <c r="D289" i="3"/>
  <c r="AM289" i="3"/>
  <c r="AK289" i="3"/>
  <c r="T289" i="3"/>
  <c r="R289" i="3"/>
  <c r="Q289" i="3"/>
  <c r="AD289" i="3"/>
  <c r="P289" i="3"/>
  <c r="O289" i="3"/>
  <c r="M289" i="3"/>
  <c r="AF289" i="3"/>
  <c r="V289" i="3"/>
  <c r="U289" i="3"/>
  <c r="AE289" i="3"/>
  <c r="C289" i="3"/>
  <c r="G289" i="3"/>
  <c r="H289" i="3" s="1"/>
  <c r="F289" i="3"/>
  <c r="S289" i="3"/>
  <c r="AY286" i="3"/>
  <c r="AU287" i="3"/>
  <c r="AW287" i="3"/>
  <c r="Y288" i="3"/>
  <c r="Z288" i="3" s="1"/>
  <c r="AG288" i="3"/>
  <c r="AN288" i="3"/>
  <c r="BM289" i="3" l="1"/>
  <c r="AY287" i="3"/>
  <c r="BQ286" i="3"/>
  <c r="AV287" i="3"/>
  <c r="BG285" i="3"/>
  <c r="BH285" i="3" s="1"/>
  <c r="BI285" i="3" s="1"/>
  <c r="BN289" i="3"/>
  <c r="BC286" i="3"/>
  <c r="BD286" i="3" s="1"/>
  <c r="AO289" i="3"/>
  <c r="BF286" i="3"/>
  <c r="BJ285" i="3" s="1"/>
  <c r="BK285" i="3" s="1"/>
  <c r="AW288" i="3"/>
  <c r="Y289" i="3"/>
  <c r="Z289" i="3" s="1"/>
  <c r="AT288" i="3"/>
  <c r="AX288" i="3"/>
  <c r="AH289" i="3"/>
  <c r="BA287" i="3"/>
  <c r="AR290" i="3"/>
  <c r="B290" i="3"/>
  <c r="AQ290" i="3"/>
  <c r="A291" i="3"/>
  <c r="C290" i="3"/>
  <c r="AK290" i="3"/>
  <c r="AM290" i="3"/>
  <c r="S290" i="3"/>
  <c r="R290" i="3"/>
  <c r="D290" i="3"/>
  <c r="AD290" i="3"/>
  <c r="Q290" i="3"/>
  <c r="P290" i="3"/>
  <c r="O290" i="3"/>
  <c r="AE290" i="3"/>
  <c r="V290" i="3"/>
  <c r="AF290" i="3"/>
  <c r="M290" i="3"/>
  <c r="U290" i="3"/>
  <c r="F290" i="3"/>
  <c r="G290" i="3"/>
  <c r="H290" i="3" s="1"/>
  <c r="T290" i="3"/>
  <c r="AU288" i="3"/>
  <c r="X289" i="3"/>
  <c r="AG289" i="3"/>
  <c r="AN289" i="3"/>
  <c r="AT289" i="3" l="1"/>
  <c r="BC287" i="3"/>
  <c r="BD287" i="3" s="1"/>
  <c r="BM290" i="3"/>
  <c r="BG286" i="3"/>
  <c r="BH286" i="3" s="1"/>
  <c r="BI286" i="3" s="1"/>
  <c r="AN290" i="3"/>
  <c r="BN290" i="3"/>
  <c r="AY288" i="3"/>
  <c r="AV288" i="3"/>
  <c r="BA288" i="3"/>
  <c r="AG290" i="3"/>
  <c r="AH290" i="3"/>
  <c r="X290" i="3"/>
  <c r="AX289" i="3"/>
  <c r="AQ291" i="3"/>
  <c r="B291" i="3"/>
  <c r="A292" i="3"/>
  <c r="AR291" i="3"/>
  <c r="AK291" i="3"/>
  <c r="AM291" i="3"/>
  <c r="T291" i="3"/>
  <c r="R291" i="3"/>
  <c r="AD291" i="3"/>
  <c r="P291" i="3"/>
  <c r="O291" i="3"/>
  <c r="AE291" i="3"/>
  <c r="V291" i="3"/>
  <c r="M291" i="3"/>
  <c r="AF291" i="3"/>
  <c r="U291" i="3"/>
  <c r="D291" i="3"/>
  <c r="G291" i="3"/>
  <c r="H291" i="3" s="1"/>
  <c r="Q291" i="3"/>
  <c r="C291" i="3"/>
  <c r="F291" i="3"/>
  <c r="S291" i="3"/>
  <c r="BQ287" i="3"/>
  <c r="BF287" i="3"/>
  <c r="BJ286" i="3" s="1"/>
  <c r="BK286" i="3" s="1"/>
  <c r="BB287" i="3"/>
  <c r="AW289" i="3"/>
  <c r="Y290" i="3"/>
  <c r="Z290" i="3" s="1"/>
  <c r="AO290" i="3"/>
  <c r="AU289" i="3"/>
  <c r="AV289" i="3" l="1"/>
  <c r="BG287" i="3"/>
  <c r="BH287" i="3" s="1"/>
  <c r="BI287" i="3" s="1"/>
  <c r="AY289" i="3"/>
  <c r="BC288" i="3"/>
  <c r="BG288" i="3" s="1"/>
  <c r="BH288" i="3" s="1"/>
  <c r="BI288" i="3" s="1"/>
  <c r="AU290" i="3"/>
  <c r="BN291" i="3"/>
  <c r="AN291" i="3"/>
  <c r="AT290" i="3"/>
  <c r="AG291" i="3"/>
  <c r="X291" i="3"/>
  <c r="Y291" i="3"/>
  <c r="Z291" i="3" s="1"/>
  <c r="A293" i="3"/>
  <c r="B292" i="3"/>
  <c r="AR292" i="3"/>
  <c r="AQ292" i="3"/>
  <c r="AK292" i="3"/>
  <c r="T292" i="3"/>
  <c r="AM292" i="3"/>
  <c r="C292" i="3"/>
  <c r="S292" i="3"/>
  <c r="R292" i="3"/>
  <c r="Q292" i="3"/>
  <c r="AD292" i="3"/>
  <c r="P292" i="3"/>
  <c r="AE292" i="3"/>
  <c r="AF292" i="3"/>
  <c r="V292" i="3"/>
  <c r="O292" i="3"/>
  <c r="M292" i="3"/>
  <c r="U292" i="3"/>
  <c r="D292" i="3"/>
  <c r="F292" i="3"/>
  <c r="G292" i="3"/>
  <c r="H292" i="3" s="1"/>
  <c r="BF288" i="3"/>
  <c r="BJ287" i="3" s="1"/>
  <c r="BK287" i="3" s="1"/>
  <c r="BQ288" i="3"/>
  <c r="BB288" i="3"/>
  <c r="BM291" i="3"/>
  <c r="AH291" i="3"/>
  <c r="AO291" i="3"/>
  <c r="AW290" i="3"/>
  <c r="BA289" i="3"/>
  <c r="AX290" i="3"/>
  <c r="BC289" i="3" l="1"/>
  <c r="BD289" i="3" s="1"/>
  <c r="BD288" i="3"/>
  <c r="BN292" i="3"/>
  <c r="AN292" i="3"/>
  <c r="AV290" i="3"/>
  <c r="BM292" i="3"/>
  <c r="AU291" i="3"/>
  <c r="AT291" i="3"/>
  <c r="AW291" i="3"/>
  <c r="AH292" i="3"/>
  <c r="AR293" i="3"/>
  <c r="B293" i="3"/>
  <c r="AQ293" i="3"/>
  <c r="A294" i="3"/>
  <c r="R293" i="3"/>
  <c r="AM293" i="3"/>
  <c r="AK293" i="3"/>
  <c r="S293" i="3"/>
  <c r="Q293" i="3"/>
  <c r="AD293" i="3"/>
  <c r="P293" i="3"/>
  <c r="O293" i="3"/>
  <c r="AE293" i="3"/>
  <c r="AF293" i="3"/>
  <c r="U293" i="3"/>
  <c r="V293" i="3"/>
  <c r="M293" i="3"/>
  <c r="C293" i="3"/>
  <c r="G293" i="3"/>
  <c r="H293" i="3" s="1"/>
  <c r="D293" i="3"/>
  <c r="F293" i="3"/>
  <c r="T293" i="3"/>
  <c r="AY290" i="3"/>
  <c r="AO292" i="3"/>
  <c r="BF289" i="3"/>
  <c r="BJ288" i="3" s="1"/>
  <c r="BK288" i="3" s="1"/>
  <c r="BQ289" i="3"/>
  <c r="BB289" i="3"/>
  <c r="Y292" i="3"/>
  <c r="Z292" i="3" s="1"/>
  <c r="AX291" i="3"/>
  <c r="BA290" i="3"/>
  <c r="AG292" i="3"/>
  <c r="X292" i="3"/>
  <c r="BC290" i="3" l="1"/>
  <c r="BD290" i="3" s="1"/>
  <c r="BG289" i="3"/>
  <c r="BH289" i="3" s="1"/>
  <c r="BI289" i="3" s="1"/>
  <c r="BM293" i="3"/>
  <c r="BN293" i="3"/>
  <c r="AU292" i="3"/>
  <c r="AV291" i="3"/>
  <c r="BA291" i="3"/>
  <c r="BB291" i="3" s="1"/>
  <c r="AG293" i="3"/>
  <c r="BQ290" i="3"/>
  <c r="BF290" i="3"/>
  <c r="BJ289" i="3" s="1"/>
  <c r="BK289" i="3" s="1"/>
  <c r="BB290" i="3"/>
  <c r="AR294" i="3"/>
  <c r="B294" i="3"/>
  <c r="AQ294" i="3"/>
  <c r="A295" i="3"/>
  <c r="AM294" i="3"/>
  <c r="AK294" i="3"/>
  <c r="Q294" i="3"/>
  <c r="T294" i="3"/>
  <c r="AD294" i="3"/>
  <c r="R294" i="3"/>
  <c r="P294" i="3"/>
  <c r="AE294" i="3"/>
  <c r="O294" i="3"/>
  <c r="AF294" i="3"/>
  <c r="V294" i="3"/>
  <c r="U294" i="3"/>
  <c r="M294" i="3"/>
  <c r="F294" i="3"/>
  <c r="D294" i="3"/>
  <c r="C294" i="3"/>
  <c r="G294" i="3"/>
  <c r="H294" i="3" s="1"/>
  <c r="S294" i="3"/>
  <c r="AW292" i="3"/>
  <c r="AT292" i="3"/>
  <c r="AX292" i="3"/>
  <c r="Y293" i="3"/>
  <c r="Z293" i="3" s="1"/>
  <c r="X293" i="3"/>
  <c r="AH293" i="3"/>
  <c r="AY291" i="3"/>
  <c r="AN293" i="3"/>
  <c r="AO293" i="3"/>
  <c r="BG290" i="3" l="1"/>
  <c r="BH290" i="3" s="1"/>
  <c r="BI290" i="3" s="1"/>
  <c r="BN294" i="3"/>
  <c r="AU293" i="3"/>
  <c r="BQ291" i="3"/>
  <c r="BC291" i="3"/>
  <c r="BG291" i="3" s="1"/>
  <c r="BH291" i="3" s="1"/>
  <c r="BI291" i="3" s="1"/>
  <c r="BF291" i="3"/>
  <c r="BJ290" i="3" s="1"/>
  <c r="BK290" i="3" s="1"/>
  <c r="AW293" i="3"/>
  <c r="AN294" i="3"/>
  <c r="AV292" i="3"/>
  <c r="BA292" i="3"/>
  <c r="AQ295" i="3"/>
  <c r="B295" i="3"/>
  <c r="A296" i="3"/>
  <c r="AR295" i="3"/>
  <c r="S295" i="3"/>
  <c r="Q295" i="3"/>
  <c r="AK295" i="3"/>
  <c r="AM295" i="3"/>
  <c r="R295" i="3"/>
  <c r="P295" i="3"/>
  <c r="AD295" i="3"/>
  <c r="O295" i="3"/>
  <c r="M295" i="3"/>
  <c r="AE295" i="3"/>
  <c r="AF295" i="3"/>
  <c r="V295" i="3"/>
  <c r="U295" i="3"/>
  <c r="D295" i="3"/>
  <c r="C295" i="3"/>
  <c r="G295" i="3"/>
  <c r="H295" i="3" s="1"/>
  <c r="F295" i="3"/>
  <c r="T295" i="3"/>
  <c r="AX293" i="3"/>
  <c r="AY292" i="3"/>
  <c r="Y294" i="3"/>
  <c r="Z294" i="3" s="1"/>
  <c r="AT293" i="3"/>
  <c r="X294" i="3"/>
  <c r="BM294" i="3"/>
  <c r="AH294" i="3"/>
  <c r="AG294" i="3"/>
  <c r="AO294" i="3"/>
  <c r="AV293" i="3" l="1"/>
  <c r="BM295" i="3"/>
  <c r="BN295" i="3"/>
  <c r="BD291" i="3"/>
  <c r="AY293" i="3"/>
  <c r="BC292" i="3"/>
  <c r="BD292" i="3" s="1"/>
  <c r="AO295" i="3"/>
  <c r="A297" i="3"/>
  <c r="B296" i="3"/>
  <c r="AR296" i="3"/>
  <c r="AQ296" i="3"/>
  <c r="D296" i="3"/>
  <c r="AM296" i="3"/>
  <c r="R296" i="3"/>
  <c r="Q296" i="3"/>
  <c r="C296" i="3"/>
  <c r="AK296" i="3"/>
  <c r="S296" i="3"/>
  <c r="P296" i="3"/>
  <c r="AD296" i="3"/>
  <c r="AE296" i="3"/>
  <c r="M296" i="3"/>
  <c r="O296" i="3"/>
  <c r="AF296" i="3"/>
  <c r="V296" i="3"/>
  <c r="U296" i="3"/>
  <c r="G296" i="3"/>
  <c r="H296" i="3" s="1"/>
  <c r="F296" i="3"/>
  <c r="T296" i="3"/>
  <c r="AH295" i="3"/>
  <c r="AG295" i="3"/>
  <c r="BB292" i="3"/>
  <c r="BQ292" i="3"/>
  <c r="BF292" i="3"/>
  <c r="BJ291" i="3" s="1"/>
  <c r="BK291" i="3" s="1"/>
  <c r="AX294" i="3"/>
  <c r="AU294" i="3"/>
  <c r="X295" i="3"/>
  <c r="AW294" i="3"/>
  <c r="AT294" i="3"/>
  <c r="BA293" i="3"/>
  <c r="Y295" i="3"/>
  <c r="Z295" i="3" s="1"/>
  <c r="AN295" i="3"/>
  <c r="BM296" i="3" l="1"/>
  <c r="BC293" i="3"/>
  <c r="BD293" i="3" s="1"/>
  <c r="AO296" i="3"/>
  <c r="BN296" i="3"/>
  <c r="AU295" i="3"/>
  <c r="BG292" i="3"/>
  <c r="BH292" i="3" s="1"/>
  <c r="BI292" i="3" s="1"/>
  <c r="AY294" i="3"/>
  <c r="AT295" i="3"/>
  <c r="Y296" i="3"/>
  <c r="Z296" i="3" s="1"/>
  <c r="BB293" i="3"/>
  <c r="BQ293" i="3"/>
  <c r="BF293" i="3"/>
  <c r="BJ292" i="3" s="1"/>
  <c r="BK292" i="3" s="1"/>
  <c r="AV294" i="3"/>
  <c r="BA294" i="3"/>
  <c r="AR297" i="3"/>
  <c r="B297" i="3"/>
  <c r="AQ297" i="3"/>
  <c r="A298" i="3"/>
  <c r="AM297" i="3"/>
  <c r="AK297" i="3"/>
  <c r="S297" i="3"/>
  <c r="R297" i="3"/>
  <c r="AD297" i="3"/>
  <c r="P297" i="3"/>
  <c r="O297" i="3"/>
  <c r="M297" i="3"/>
  <c r="V297" i="3"/>
  <c r="AE297" i="3"/>
  <c r="AF297" i="3"/>
  <c r="U297" i="3"/>
  <c r="C297" i="3"/>
  <c r="G297" i="3"/>
  <c r="H297" i="3" s="1"/>
  <c r="Q297" i="3"/>
  <c r="D297" i="3"/>
  <c r="F297" i="3"/>
  <c r="T297" i="3"/>
  <c r="AX295" i="3"/>
  <c r="AH296" i="3"/>
  <c r="X296" i="3"/>
  <c r="AW295" i="3"/>
  <c r="AG296" i="3"/>
  <c r="AN296" i="3"/>
  <c r="BG293" i="3" l="1"/>
  <c r="BH293" i="3" s="1"/>
  <c r="BI293" i="3" s="1"/>
  <c r="BM297" i="3"/>
  <c r="BC294" i="3"/>
  <c r="BD294" i="3" s="1"/>
  <c r="AV295" i="3"/>
  <c r="AU296" i="3"/>
  <c r="AW296" i="3"/>
  <c r="AO297" i="3"/>
  <c r="AY295" i="3"/>
  <c r="Y297" i="3"/>
  <c r="Z297" i="3" s="1"/>
  <c r="AG297" i="3"/>
  <c r="AR298" i="3"/>
  <c r="B298" i="3"/>
  <c r="AQ298" i="3"/>
  <c r="A299" i="3"/>
  <c r="C298" i="3"/>
  <c r="R298" i="3"/>
  <c r="D298" i="3"/>
  <c r="AK298" i="3"/>
  <c r="AM298" i="3"/>
  <c r="Q298" i="3"/>
  <c r="AD298" i="3"/>
  <c r="P298" i="3"/>
  <c r="O298" i="3"/>
  <c r="M298" i="3"/>
  <c r="AE298" i="3"/>
  <c r="AF298" i="3"/>
  <c r="V298" i="3"/>
  <c r="U298" i="3"/>
  <c r="G298" i="3"/>
  <c r="H298" i="3" s="1"/>
  <c r="F298" i="3"/>
  <c r="S298" i="3"/>
  <c r="T298" i="3"/>
  <c r="BB294" i="3"/>
  <c r="BF294" i="3"/>
  <c r="BJ293" i="3" s="1"/>
  <c r="BK293" i="3" s="1"/>
  <c r="BQ294" i="3"/>
  <c r="AX296" i="3"/>
  <c r="BN297" i="3"/>
  <c r="AT296" i="3"/>
  <c r="X297" i="3"/>
  <c r="AH297" i="3"/>
  <c r="AN297" i="3"/>
  <c r="BA295" i="3"/>
  <c r="BN298" i="3" l="1"/>
  <c r="BG294" i="3"/>
  <c r="BH294" i="3" s="1"/>
  <c r="BI294" i="3" s="1"/>
  <c r="AV296" i="3"/>
  <c r="BC295" i="3"/>
  <c r="BD295" i="3" s="1"/>
  <c r="BM298" i="3"/>
  <c r="AO298" i="3"/>
  <c r="AT297" i="3"/>
  <c r="BA296" i="3"/>
  <c r="BF296" i="3" s="1"/>
  <c r="AU297" i="3"/>
  <c r="Y298" i="3"/>
  <c r="Z298" i="3" s="1"/>
  <c r="BF295" i="3"/>
  <c r="BJ294" i="3" s="1"/>
  <c r="BK294" i="3" s="1"/>
  <c r="BQ295" i="3"/>
  <c r="BB295" i="3"/>
  <c r="AX297" i="3"/>
  <c r="AW297" i="3"/>
  <c r="AY296" i="3"/>
  <c r="X298" i="3"/>
  <c r="AG298" i="3"/>
  <c r="AH298" i="3"/>
  <c r="AN298" i="3"/>
  <c r="AQ299" i="3"/>
  <c r="B299" i="3"/>
  <c r="A300" i="3"/>
  <c r="AR299" i="3"/>
  <c r="AM299" i="3"/>
  <c r="S299" i="3"/>
  <c r="R299" i="3"/>
  <c r="AK299" i="3"/>
  <c r="AD299" i="3"/>
  <c r="Q299" i="3"/>
  <c r="O299" i="3"/>
  <c r="M299" i="3"/>
  <c r="AE299" i="3"/>
  <c r="U299" i="3"/>
  <c r="AF299" i="3"/>
  <c r="V299" i="3"/>
  <c r="C299" i="3"/>
  <c r="D299" i="3"/>
  <c r="G299" i="3"/>
  <c r="H299" i="3" s="1"/>
  <c r="F299" i="3"/>
  <c r="T299" i="3"/>
  <c r="P299" i="3"/>
  <c r="BC296" i="3" l="1"/>
  <c r="BD296" i="3" s="1"/>
  <c r="AV297" i="3"/>
  <c r="BG295" i="3"/>
  <c r="BH295" i="3" s="1"/>
  <c r="BI295" i="3" s="1"/>
  <c r="BM299" i="3"/>
  <c r="AT298" i="3"/>
  <c r="BB296" i="3"/>
  <c r="BQ296" i="3"/>
  <c r="AO299" i="3"/>
  <c r="AX298" i="3"/>
  <c r="AY297" i="3"/>
  <c r="Y299" i="3"/>
  <c r="Z299" i="3" s="1"/>
  <c r="A301" i="3"/>
  <c r="B300" i="3"/>
  <c r="AR300" i="3"/>
  <c r="AQ300" i="3"/>
  <c r="C300" i="3"/>
  <c r="AK300" i="3"/>
  <c r="AM300" i="3"/>
  <c r="S300" i="3"/>
  <c r="R300" i="3"/>
  <c r="Q300" i="3"/>
  <c r="AD300" i="3"/>
  <c r="M300" i="3"/>
  <c r="AE300" i="3"/>
  <c r="AF300" i="3"/>
  <c r="P300" i="3"/>
  <c r="O300" i="3"/>
  <c r="V300" i="3"/>
  <c r="U300" i="3"/>
  <c r="F300" i="3"/>
  <c r="G300" i="3"/>
  <c r="H300" i="3" s="1"/>
  <c r="D300" i="3"/>
  <c r="T300" i="3"/>
  <c r="BN299" i="3"/>
  <c r="X299" i="3"/>
  <c r="AG299" i="3"/>
  <c r="AH299" i="3"/>
  <c r="AN299" i="3"/>
  <c r="AU298" i="3"/>
  <c r="AW298" i="3"/>
  <c r="BA297" i="3"/>
  <c r="BJ295" i="3"/>
  <c r="BK295" i="3" s="1"/>
  <c r="AV298" i="3" l="1"/>
  <c r="BM300" i="3"/>
  <c r="BG296" i="3"/>
  <c r="BH296" i="3" s="1"/>
  <c r="BI296" i="3" s="1"/>
  <c r="BC297" i="3"/>
  <c r="BG297" i="3" s="1"/>
  <c r="BH297" i="3" s="1"/>
  <c r="BI297" i="3" s="1"/>
  <c r="BN300" i="3"/>
  <c r="AX299" i="3"/>
  <c r="BB297" i="3"/>
  <c r="BQ297" i="3"/>
  <c r="BF297" i="3"/>
  <c r="BJ296" i="3" s="1"/>
  <c r="BK296" i="3" s="1"/>
  <c r="AT299" i="3"/>
  <c r="AW299" i="3"/>
  <c r="AR301" i="3"/>
  <c r="B301" i="3"/>
  <c r="AQ301" i="3"/>
  <c r="A302" i="3"/>
  <c r="C301" i="3"/>
  <c r="T301" i="3"/>
  <c r="AK301" i="3"/>
  <c r="AM301" i="3"/>
  <c r="S301" i="3"/>
  <c r="Q301" i="3"/>
  <c r="AD301" i="3"/>
  <c r="P301" i="3"/>
  <c r="R301" i="3"/>
  <c r="M301" i="3"/>
  <c r="O301" i="3"/>
  <c r="AF301" i="3"/>
  <c r="AE301" i="3"/>
  <c r="V301" i="3"/>
  <c r="U301" i="3"/>
  <c r="F301" i="3"/>
  <c r="D301" i="3"/>
  <c r="G301" i="3"/>
  <c r="H301" i="3" s="1"/>
  <c r="AG300" i="3"/>
  <c r="AH300" i="3"/>
  <c r="X300" i="3"/>
  <c r="BA298" i="3"/>
  <c r="AY298" i="3"/>
  <c r="AN300" i="3"/>
  <c r="AO300" i="3"/>
  <c r="AU299" i="3"/>
  <c r="Y300" i="3"/>
  <c r="Z300" i="3" s="1"/>
  <c r="BC298" i="3" l="1"/>
  <c r="BD298" i="3" s="1"/>
  <c r="BD297" i="3"/>
  <c r="BM301" i="3"/>
  <c r="AT300" i="3"/>
  <c r="AG301" i="3"/>
  <c r="AY299" i="3"/>
  <c r="AO301" i="3"/>
  <c r="AU300" i="3"/>
  <c r="AX300" i="3"/>
  <c r="AR302" i="3"/>
  <c r="B302" i="3"/>
  <c r="AQ302" i="3"/>
  <c r="A303" i="3"/>
  <c r="D302" i="3"/>
  <c r="AK302" i="3"/>
  <c r="T302" i="3"/>
  <c r="S302" i="3"/>
  <c r="Q302" i="3"/>
  <c r="AM302" i="3"/>
  <c r="R302" i="3"/>
  <c r="AD302" i="3"/>
  <c r="P302" i="3"/>
  <c r="O302" i="3"/>
  <c r="AE302" i="3"/>
  <c r="V302" i="3"/>
  <c r="U302" i="3"/>
  <c r="M302" i="3"/>
  <c r="AF302" i="3"/>
  <c r="G302" i="3"/>
  <c r="H302" i="3" s="1"/>
  <c r="F302" i="3"/>
  <c r="C302" i="3"/>
  <c r="BN301" i="3"/>
  <c r="AN301" i="3"/>
  <c r="BB298" i="3"/>
  <c r="BQ298" i="3"/>
  <c r="BF298" i="3"/>
  <c r="Y301" i="3"/>
  <c r="Z301" i="3" s="1"/>
  <c r="AV299" i="3"/>
  <c r="BA299" i="3"/>
  <c r="AW300" i="3"/>
  <c r="AH301" i="3"/>
  <c r="X301" i="3"/>
  <c r="BG298" i="3" l="1"/>
  <c r="BH298" i="3" s="1"/>
  <c r="BI298" i="3" s="1"/>
  <c r="AV300" i="3"/>
  <c r="AN302" i="3"/>
  <c r="AX301" i="3"/>
  <c r="BC299" i="3"/>
  <c r="BG299" i="3" s="1"/>
  <c r="BH299" i="3" s="1"/>
  <c r="BI299" i="3" s="1"/>
  <c r="BN302" i="3"/>
  <c r="AT301" i="3"/>
  <c r="AY300" i="3"/>
  <c r="BA300" i="3"/>
  <c r="BF300" i="3" s="1"/>
  <c r="X302" i="3"/>
  <c r="Y302" i="3"/>
  <c r="Z302" i="3" s="1"/>
  <c r="AU301" i="3"/>
  <c r="BM302" i="3"/>
  <c r="AG302" i="3"/>
  <c r="BF299" i="3"/>
  <c r="BJ298" i="3" s="1"/>
  <c r="BK298" i="3" s="1"/>
  <c r="BB299" i="3"/>
  <c r="BQ299" i="3"/>
  <c r="BJ297" i="3"/>
  <c r="BK297" i="3" s="1"/>
  <c r="AQ303" i="3"/>
  <c r="B303" i="3"/>
  <c r="A304" i="3"/>
  <c r="AR303" i="3"/>
  <c r="D303" i="3"/>
  <c r="AM303" i="3"/>
  <c r="S303" i="3"/>
  <c r="R303" i="3"/>
  <c r="AK303" i="3"/>
  <c r="T303" i="3"/>
  <c r="Q303" i="3"/>
  <c r="AD303" i="3"/>
  <c r="P303" i="3"/>
  <c r="O303" i="3"/>
  <c r="AF303" i="3"/>
  <c r="AE303" i="3"/>
  <c r="M303" i="3"/>
  <c r="U303" i="3"/>
  <c r="V303" i="3"/>
  <c r="C303" i="3"/>
  <c r="G303" i="3"/>
  <c r="H303" i="3" s="1"/>
  <c r="BN303" i="3" s="1"/>
  <c r="F303" i="3"/>
  <c r="AW301" i="3"/>
  <c r="AH302" i="3"/>
  <c r="AO302" i="3"/>
  <c r="BM303" i="3" l="1"/>
  <c r="AY301" i="3"/>
  <c r="BC300" i="3"/>
  <c r="BD300" i="3" s="1"/>
  <c r="BD299" i="3"/>
  <c r="AV301" i="3"/>
  <c r="BB300" i="3"/>
  <c r="AO303" i="3"/>
  <c r="BQ300" i="3"/>
  <c r="BJ299" i="3"/>
  <c r="BK299" i="3" s="1"/>
  <c r="Y303" i="3"/>
  <c r="Z303" i="3" s="1"/>
  <c r="A305" i="3"/>
  <c r="B304" i="3"/>
  <c r="AR304" i="3"/>
  <c r="AQ304" i="3"/>
  <c r="AK304" i="3"/>
  <c r="S304" i="3"/>
  <c r="AM304" i="3"/>
  <c r="T304" i="3"/>
  <c r="AD304" i="3"/>
  <c r="P304" i="3"/>
  <c r="R304" i="3"/>
  <c r="Q304" i="3"/>
  <c r="M304" i="3"/>
  <c r="O304" i="3"/>
  <c r="AF304" i="3"/>
  <c r="AE304" i="3"/>
  <c r="U304" i="3"/>
  <c r="V304" i="3"/>
  <c r="C304" i="3"/>
  <c r="F304" i="3"/>
  <c r="G304" i="3"/>
  <c r="H304" i="3" s="1"/>
  <c r="D304" i="3"/>
  <c r="AX302" i="3"/>
  <c r="X303" i="3"/>
  <c r="AG303" i="3"/>
  <c r="AH303" i="3"/>
  <c r="AN303" i="3"/>
  <c r="AU302" i="3"/>
  <c r="BA301" i="3"/>
  <c r="AT302" i="3"/>
  <c r="AW302" i="3"/>
  <c r="BG300" i="3" l="1"/>
  <c r="BH300" i="3" s="1"/>
  <c r="BI300" i="3" s="1"/>
  <c r="BC301" i="3"/>
  <c r="BD301" i="3" s="1"/>
  <c r="AN304" i="3"/>
  <c r="BM304" i="3"/>
  <c r="AX303" i="3"/>
  <c r="AG304" i="3"/>
  <c r="AU303" i="3"/>
  <c r="AT303" i="3"/>
  <c r="AV302" i="3"/>
  <c r="BA302" i="3"/>
  <c r="BF301" i="3"/>
  <c r="BJ300" i="3" s="1"/>
  <c r="BK300" i="3" s="1"/>
  <c r="BQ301" i="3"/>
  <c r="BB301" i="3"/>
  <c r="AR305" i="3"/>
  <c r="B305" i="3"/>
  <c r="AQ305" i="3"/>
  <c r="A306" i="3"/>
  <c r="AK305" i="3"/>
  <c r="R305" i="3"/>
  <c r="AM305" i="3"/>
  <c r="Q305" i="3"/>
  <c r="AD305" i="3"/>
  <c r="O305" i="3"/>
  <c r="M305" i="3"/>
  <c r="AF305" i="3"/>
  <c r="U305" i="3"/>
  <c r="P305" i="3"/>
  <c r="AE305" i="3"/>
  <c r="V305" i="3"/>
  <c r="D305" i="3"/>
  <c r="G305" i="3"/>
  <c r="H305" i="3" s="1"/>
  <c r="F305" i="3"/>
  <c r="C305" i="3"/>
  <c r="S305" i="3"/>
  <c r="T305" i="3"/>
  <c r="AW303" i="3"/>
  <c r="AY302" i="3"/>
  <c r="BN304" i="3"/>
  <c r="X304" i="3"/>
  <c r="AH304" i="3"/>
  <c r="AO304" i="3"/>
  <c r="Y304" i="3"/>
  <c r="Z304" i="3" s="1"/>
  <c r="BG301" i="3" l="1"/>
  <c r="BH301" i="3" s="1"/>
  <c r="BI301" i="3" s="1"/>
  <c r="AU304" i="3"/>
  <c r="AN305" i="3"/>
  <c r="BM305" i="3"/>
  <c r="AG305" i="3"/>
  <c r="AV303" i="3"/>
  <c r="AY303" i="3"/>
  <c r="AW304" i="3"/>
  <c r="AR306" i="3"/>
  <c r="B306" i="3"/>
  <c r="AQ306" i="3"/>
  <c r="A307" i="3"/>
  <c r="D306" i="3"/>
  <c r="AM306" i="3"/>
  <c r="S306" i="3"/>
  <c r="T306" i="3"/>
  <c r="AK306" i="3"/>
  <c r="Q306" i="3"/>
  <c r="P306" i="3"/>
  <c r="AD306" i="3"/>
  <c r="O306" i="3"/>
  <c r="AE306" i="3"/>
  <c r="M306" i="3"/>
  <c r="AF306" i="3"/>
  <c r="V306" i="3"/>
  <c r="U306" i="3"/>
  <c r="C306" i="3"/>
  <c r="G306" i="3"/>
  <c r="H306" i="3" s="1"/>
  <c r="R306" i="3"/>
  <c r="F306" i="3"/>
  <c r="X305" i="3"/>
  <c r="Y305" i="3"/>
  <c r="Z305" i="3" s="1"/>
  <c r="BN305" i="3"/>
  <c r="AH305" i="3"/>
  <c r="BC302" i="3"/>
  <c r="AT304" i="3"/>
  <c r="AX304" i="3"/>
  <c r="BQ302" i="3"/>
  <c r="BF302" i="3"/>
  <c r="BJ301" i="3" s="1"/>
  <c r="BK301" i="3" s="1"/>
  <c r="BB302" i="3"/>
  <c r="AO305" i="3"/>
  <c r="BA303" i="3"/>
  <c r="BM306" i="3" l="1"/>
  <c r="BN306" i="3"/>
  <c r="AT305" i="3"/>
  <c r="AN306" i="3"/>
  <c r="AU305" i="3"/>
  <c r="AW305" i="3"/>
  <c r="AY304" i="3"/>
  <c r="BC303" i="3"/>
  <c r="BG303" i="3" s="1"/>
  <c r="BH303" i="3" s="1"/>
  <c r="BI303" i="3" s="1"/>
  <c r="AO306" i="3"/>
  <c r="BD302" i="3"/>
  <c r="BG302" i="3"/>
  <c r="BH302" i="3" s="1"/>
  <c r="BI302" i="3" s="1"/>
  <c r="BB303" i="3"/>
  <c r="BF303" i="3"/>
  <c r="BJ302" i="3" s="1"/>
  <c r="BK302" i="3" s="1"/>
  <c r="BQ303" i="3"/>
  <c r="BA304" i="3"/>
  <c r="AV304" i="3"/>
  <c r="Y306" i="3"/>
  <c r="Z306" i="3" s="1"/>
  <c r="AX305" i="3"/>
  <c r="X306" i="3"/>
  <c r="AQ307" i="3"/>
  <c r="B307" i="3"/>
  <c r="A308" i="3"/>
  <c r="AR307" i="3"/>
  <c r="C307" i="3"/>
  <c r="AM307" i="3"/>
  <c r="Q307" i="3"/>
  <c r="AK307" i="3"/>
  <c r="S307" i="3"/>
  <c r="R307" i="3"/>
  <c r="AD307" i="3"/>
  <c r="P307" i="3"/>
  <c r="O307" i="3"/>
  <c r="M307" i="3"/>
  <c r="AF307" i="3"/>
  <c r="AE307" i="3"/>
  <c r="U307" i="3"/>
  <c r="V307" i="3"/>
  <c r="D307" i="3"/>
  <c r="G307" i="3"/>
  <c r="H307" i="3" s="1"/>
  <c r="F307" i="3"/>
  <c r="BM307" i="3" s="1"/>
  <c r="T307" i="3"/>
  <c r="AG306" i="3"/>
  <c r="AH306" i="3"/>
  <c r="AO307" i="3" l="1"/>
  <c r="AV305" i="3"/>
  <c r="AY305" i="3"/>
  <c r="BN307" i="3"/>
  <c r="BC304" i="3"/>
  <c r="BG304" i="3" s="1"/>
  <c r="BH304" i="3" s="1"/>
  <c r="BI304" i="3" s="1"/>
  <c r="BA305" i="3"/>
  <c r="BB305" i="3" s="1"/>
  <c r="BD303" i="3"/>
  <c r="AX306" i="3"/>
  <c r="AG307" i="3"/>
  <c r="Y307" i="3"/>
  <c r="Z307" i="3" s="1"/>
  <c r="A309" i="3"/>
  <c r="B308" i="3"/>
  <c r="AR308" i="3"/>
  <c r="AQ308" i="3"/>
  <c r="AK308" i="3"/>
  <c r="S308" i="3"/>
  <c r="Q308" i="3"/>
  <c r="D308" i="3"/>
  <c r="AM308" i="3"/>
  <c r="R308" i="3"/>
  <c r="AD308" i="3"/>
  <c r="P308" i="3"/>
  <c r="O308" i="3"/>
  <c r="M308" i="3"/>
  <c r="AE308" i="3"/>
  <c r="AF308" i="3"/>
  <c r="U308" i="3"/>
  <c r="V308" i="3"/>
  <c r="C308" i="3"/>
  <c r="G308" i="3"/>
  <c r="H308" i="3" s="1"/>
  <c r="BN308" i="3" s="1"/>
  <c r="F308" i="3"/>
  <c r="T308" i="3"/>
  <c r="BQ304" i="3"/>
  <c r="BB304" i="3"/>
  <c r="BF304" i="3"/>
  <c r="BJ303" i="3" s="1"/>
  <c r="BK303" i="3" s="1"/>
  <c r="AW306" i="3"/>
  <c r="AH307" i="3"/>
  <c r="X307" i="3"/>
  <c r="AU306" i="3"/>
  <c r="AN307" i="3"/>
  <c r="AT306" i="3"/>
  <c r="BM308" i="3" l="1"/>
  <c r="AN308" i="3"/>
  <c r="BC305" i="3"/>
  <c r="BD305" i="3" s="1"/>
  <c r="BD304" i="3"/>
  <c r="AG308" i="3"/>
  <c r="BQ305" i="3"/>
  <c r="Y308" i="3"/>
  <c r="Z308" i="3" s="1"/>
  <c r="BF305" i="3"/>
  <c r="BJ304" i="3" s="1"/>
  <c r="BK304" i="3" s="1"/>
  <c r="AY306" i="3"/>
  <c r="AU307" i="3"/>
  <c r="AT307" i="3"/>
  <c r="AW307" i="3"/>
  <c r="BA306" i="3"/>
  <c r="AV306" i="3"/>
  <c r="AR309" i="3"/>
  <c r="B309" i="3"/>
  <c r="AQ309" i="3"/>
  <c r="A310" i="3"/>
  <c r="AM309" i="3"/>
  <c r="D309" i="3"/>
  <c r="AK309" i="3"/>
  <c r="Q309" i="3"/>
  <c r="P309" i="3"/>
  <c r="T309" i="3"/>
  <c r="R309" i="3"/>
  <c r="AD309" i="3"/>
  <c r="O309" i="3"/>
  <c r="AE309" i="3"/>
  <c r="M309" i="3"/>
  <c r="AF309" i="3"/>
  <c r="U309" i="3"/>
  <c r="V309" i="3"/>
  <c r="G309" i="3"/>
  <c r="H309" i="3" s="1"/>
  <c r="C309" i="3"/>
  <c r="F309" i="3"/>
  <c r="S309" i="3"/>
  <c r="X308" i="3"/>
  <c r="AH308" i="3"/>
  <c r="AO308" i="3"/>
  <c r="AX307" i="3"/>
  <c r="BG305" i="3" l="1"/>
  <c r="BH305" i="3" s="1"/>
  <c r="BI305" i="3" s="1"/>
  <c r="BM309" i="3"/>
  <c r="BN309" i="3"/>
  <c r="BC306" i="3"/>
  <c r="BD306" i="3" s="1"/>
  <c r="AV307" i="3"/>
  <c r="AY307" i="3"/>
  <c r="AX308" i="3"/>
  <c r="AU308" i="3"/>
  <c r="AO309" i="3"/>
  <c r="AN309" i="3"/>
  <c r="Y309" i="3"/>
  <c r="Z309" i="3" s="1"/>
  <c r="AR310" i="3"/>
  <c r="B310" i="3"/>
  <c r="AQ310" i="3"/>
  <c r="A311" i="3"/>
  <c r="D310" i="3"/>
  <c r="AK310" i="3"/>
  <c r="AM310" i="3"/>
  <c r="S310" i="3"/>
  <c r="Q310" i="3"/>
  <c r="R310" i="3"/>
  <c r="AD310" i="3"/>
  <c r="AE310" i="3"/>
  <c r="U310" i="3"/>
  <c r="P310" i="3"/>
  <c r="O310" i="3"/>
  <c r="M310" i="3"/>
  <c r="AF310" i="3"/>
  <c r="V310" i="3"/>
  <c r="G310" i="3"/>
  <c r="H310" i="3" s="1"/>
  <c r="C310" i="3"/>
  <c r="F310" i="3"/>
  <c r="T310" i="3"/>
  <c r="AT308" i="3"/>
  <c r="AW308" i="3"/>
  <c r="X309" i="3"/>
  <c r="AG309" i="3"/>
  <c r="AH309" i="3"/>
  <c r="BA307" i="3"/>
  <c r="BQ306" i="3"/>
  <c r="BB306" i="3"/>
  <c r="BF306" i="3"/>
  <c r="BN310" i="3" l="1"/>
  <c r="BG306" i="3"/>
  <c r="BH306" i="3" s="1"/>
  <c r="BI306" i="3" s="1"/>
  <c r="AY308" i="3"/>
  <c r="BC307" i="3"/>
  <c r="BD307" i="3" s="1"/>
  <c r="AO310" i="3"/>
  <c r="AX309" i="3"/>
  <c r="AG310" i="3"/>
  <c r="Y310" i="3"/>
  <c r="Z310" i="3" s="1"/>
  <c r="X310" i="3"/>
  <c r="BB307" i="3"/>
  <c r="BQ307" i="3"/>
  <c r="BF307" i="3"/>
  <c r="BJ306" i="3" s="1"/>
  <c r="BK306" i="3" s="1"/>
  <c r="AV308" i="3"/>
  <c r="BA308" i="3"/>
  <c r="AU309" i="3"/>
  <c r="AT309" i="3"/>
  <c r="AW309" i="3"/>
  <c r="BM310" i="3"/>
  <c r="AH310" i="3"/>
  <c r="AN310" i="3"/>
  <c r="BJ305" i="3"/>
  <c r="BK305" i="3" s="1"/>
  <c r="AQ311" i="3"/>
  <c r="B311" i="3"/>
  <c r="A312" i="3"/>
  <c r="AR311" i="3"/>
  <c r="D311" i="3"/>
  <c r="AM311" i="3"/>
  <c r="T311" i="3"/>
  <c r="AK311" i="3"/>
  <c r="R311" i="3"/>
  <c r="Q311" i="3"/>
  <c r="AD311" i="3"/>
  <c r="P311" i="3"/>
  <c r="M311" i="3"/>
  <c r="V311" i="3"/>
  <c r="O311" i="3"/>
  <c r="AE311" i="3"/>
  <c r="AF311" i="3"/>
  <c r="U311" i="3"/>
  <c r="F311" i="3"/>
  <c r="C311" i="3"/>
  <c r="G311" i="3"/>
  <c r="H311" i="3" s="1"/>
  <c r="BN311" i="3" s="1"/>
  <c r="S311" i="3"/>
  <c r="AT310" i="3" l="1"/>
  <c r="AO311" i="3"/>
  <c r="BC308" i="3"/>
  <c r="BD308" i="3" s="1"/>
  <c r="BG307" i="3"/>
  <c r="BH307" i="3" s="1"/>
  <c r="BI307" i="3" s="1"/>
  <c r="AY309" i="3"/>
  <c r="AW310" i="3"/>
  <c r="AU310" i="3"/>
  <c r="AG311" i="3"/>
  <c r="X311" i="3"/>
  <c r="Y311" i="3"/>
  <c r="Z311" i="3" s="1"/>
  <c r="A313" i="3"/>
  <c r="B312" i="3"/>
  <c r="AR312" i="3"/>
  <c r="AQ312" i="3"/>
  <c r="T312" i="3"/>
  <c r="S312" i="3"/>
  <c r="AK312" i="3"/>
  <c r="AM312" i="3"/>
  <c r="R312" i="3"/>
  <c r="Q312" i="3"/>
  <c r="AD312" i="3"/>
  <c r="P312" i="3"/>
  <c r="AE312" i="3"/>
  <c r="M312" i="3"/>
  <c r="V312" i="3"/>
  <c r="U312" i="3"/>
  <c r="O312" i="3"/>
  <c r="AF312" i="3"/>
  <c r="D312" i="3"/>
  <c r="C312" i="3"/>
  <c r="G312" i="3"/>
  <c r="H312" i="3" s="1"/>
  <c r="F312" i="3"/>
  <c r="AV309" i="3"/>
  <c r="BA309" i="3"/>
  <c r="BF308" i="3"/>
  <c r="BJ307" i="3" s="1"/>
  <c r="BK307" i="3" s="1"/>
  <c r="BB308" i="3"/>
  <c r="BQ308" i="3"/>
  <c r="BM311" i="3"/>
  <c r="AH311" i="3"/>
  <c r="AX310" i="3"/>
  <c r="AN311" i="3"/>
  <c r="BN312" i="3" l="1"/>
  <c r="BM312" i="3"/>
  <c r="AV310" i="3"/>
  <c r="BC309" i="3"/>
  <c r="BG309" i="3" s="1"/>
  <c r="BH309" i="3" s="1"/>
  <c r="BI309" i="3" s="1"/>
  <c r="BG308" i="3"/>
  <c r="BH308" i="3" s="1"/>
  <c r="BI308" i="3" s="1"/>
  <c r="AY310" i="3"/>
  <c r="AN312" i="3"/>
  <c r="AU311" i="3"/>
  <c r="AT311" i="3"/>
  <c r="AW311" i="3"/>
  <c r="AH312" i="3"/>
  <c r="BA310" i="3"/>
  <c r="BQ310" i="3" s="1"/>
  <c r="Y312" i="3"/>
  <c r="Z312" i="3" s="1"/>
  <c r="AR313" i="3"/>
  <c r="B313" i="3"/>
  <c r="AQ313" i="3"/>
  <c r="A314" i="3"/>
  <c r="C313" i="3"/>
  <c r="AM313" i="3"/>
  <c r="S313" i="3"/>
  <c r="AK313" i="3"/>
  <c r="T313" i="3"/>
  <c r="Q313" i="3"/>
  <c r="AD313" i="3"/>
  <c r="P313" i="3"/>
  <c r="AF313" i="3"/>
  <c r="U313" i="3"/>
  <c r="O313" i="3"/>
  <c r="M313" i="3"/>
  <c r="AE313" i="3"/>
  <c r="V313" i="3"/>
  <c r="D313" i="3"/>
  <c r="R313" i="3"/>
  <c r="F313" i="3"/>
  <c r="G313" i="3"/>
  <c r="H313" i="3" s="1"/>
  <c r="X312" i="3"/>
  <c r="AX311" i="3"/>
  <c r="AG312" i="3"/>
  <c r="AO312" i="3"/>
  <c r="BF309" i="3"/>
  <c r="BJ308" i="3" s="1"/>
  <c r="BK308" i="3" s="1"/>
  <c r="BQ309" i="3"/>
  <c r="BB309" i="3"/>
  <c r="BM313" i="3" l="1"/>
  <c r="BC310" i="3"/>
  <c r="BG310" i="3" s="1"/>
  <c r="BH310" i="3" s="1"/>
  <c r="BI310" i="3" s="1"/>
  <c r="AG313" i="3"/>
  <c r="BD309" i="3"/>
  <c r="AO313" i="3"/>
  <c r="AU312" i="3"/>
  <c r="AV311" i="3"/>
  <c r="AW312" i="3"/>
  <c r="BA311" i="3"/>
  <c r="BQ311" i="3" s="1"/>
  <c r="AY311" i="3"/>
  <c r="BB310" i="3"/>
  <c r="BF310" i="3"/>
  <c r="BJ309" i="3" s="1"/>
  <c r="BK309" i="3" s="1"/>
  <c r="Y313" i="3"/>
  <c r="Z313" i="3" s="1"/>
  <c r="AR314" i="3"/>
  <c r="B314" i="3"/>
  <c r="AQ314" i="3"/>
  <c r="A315" i="3"/>
  <c r="D314" i="3"/>
  <c r="AK314" i="3"/>
  <c r="AM314" i="3"/>
  <c r="T314" i="3"/>
  <c r="S314" i="3"/>
  <c r="Q314" i="3"/>
  <c r="R314" i="3"/>
  <c r="AD314" i="3"/>
  <c r="P314" i="3"/>
  <c r="AF314" i="3"/>
  <c r="O314" i="3"/>
  <c r="M314" i="3"/>
  <c r="AE314" i="3"/>
  <c r="U314" i="3"/>
  <c r="V314" i="3"/>
  <c r="F314" i="3"/>
  <c r="C314" i="3"/>
  <c r="G314" i="3"/>
  <c r="H314" i="3" s="1"/>
  <c r="AT312" i="3"/>
  <c r="AH313" i="3"/>
  <c r="AX312" i="3"/>
  <c r="BN313" i="3"/>
  <c r="AN313" i="3"/>
  <c r="X313" i="3"/>
  <c r="BD310" i="3" l="1"/>
  <c r="AY312" i="3"/>
  <c r="BC311" i="3"/>
  <c r="BD311" i="3" s="1"/>
  <c r="BF311" i="3"/>
  <c r="BJ310" i="3" s="1"/>
  <c r="BK310" i="3" s="1"/>
  <c r="BB311" i="3"/>
  <c r="AX313" i="3"/>
  <c r="AN314" i="3"/>
  <c r="AT313" i="3"/>
  <c r="AG314" i="3"/>
  <c r="X314" i="3"/>
  <c r="Y314" i="3"/>
  <c r="Z314" i="3" s="1"/>
  <c r="AV312" i="3"/>
  <c r="BA312" i="3"/>
  <c r="AQ315" i="3"/>
  <c r="B315" i="3"/>
  <c r="A316" i="3"/>
  <c r="AR315" i="3"/>
  <c r="AK315" i="3"/>
  <c r="AM315" i="3"/>
  <c r="R315" i="3"/>
  <c r="Q315" i="3"/>
  <c r="AD315" i="3"/>
  <c r="P315" i="3"/>
  <c r="O315" i="3"/>
  <c r="M315" i="3"/>
  <c r="AF315" i="3"/>
  <c r="V315" i="3"/>
  <c r="AE315" i="3"/>
  <c r="U315" i="3"/>
  <c r="C315" i="3"/>
  <c r="D315" i="3"/>
  <c r="G315" i="3"/>
  <c r="H315" i="3" s="1"/>
  <c r="F315" i="3"/>
  <c r="T315" i="3"/>
  <c r="S315" i="3"/>
  <c r="AU313" i="3"/>
  <c r="AW313" i="3"/>
  <c r="BN314" i="3"/>
  <c r="BM314" i="3"/>
  <c r="AH314" i="3"/>
  <c r="AO314" i="3"/>
  <c r="BC312" i="3" l="1"/>
  <c r="BG312" i="3" s="1"/>
  <c r="BH312" i="3" s="1"/>
  <c r="BI312" i="3" s="1"/>
  <c r="BG311" i="3"/>
  <c r="BH311" i="3" s="1"/>
  <c r="BI311" i="3" s="1"/>
  <c r="AY313" i="3"/>
  <c r="AG315" i="3"/>
  <c r="BM315" i="3"/>
  <c r="AN315" i="3"/>
  <c r="AV313" i="3"/>
  <c r="AX314" i="3"/>
  <c r="A317" i="3"/>
  <c r="B316" i="3"/>
  <c r="AR316" i="3"/>
  <c r="AQ316" i="3"/>
  <c r="D316" i="3"/>
  <c r="C316" i="3"/>
  <c r="AK316" i="3"/>
  <c r="T316" i="3"/>
  <c r="AM316" i="3"/>
  <c r="S316" i="3"/>
  <c r="Q316" i="3"/>
  <c r="AD316" i="3"/>
  <c r="P316" i="3"/>
  <c r="M316" i="3"/>
  <c r="AF316" i="3"/>
  <c r="V316" i="3"/>
  <c r="U316" i="3"/>
  <c r="O316" i="3"/>
  <c r="AE316" i="3"/>
  <c r="F316" i="3"/>
  <c r="R316" i="3"/>
  <c r="G316" i="3"/>
  <c r="H316" i="3" s="1"/>
  <c r="AT314" i="3"/>
  <c r="AW314" i="3"/>
  <c r="AU314" i="3"/>
  <c r="BN315" i="3"/>
  <c r="AH315" i="3"/>
  <c r="AO315" i="3"/>
  <c r="BA313" i="3"/>
  <c r="Y315" i="3"/>
  <c r="Z315" i="3" s="1"/>
  <c r="BB312" i="3"/>
  <c r="BQ312" i="3"/>
  <c r="BF312" i="3"/>
  <c r="BJ311" i="3" s="1"/>
  <c r="BK311" i="3" s="1"/>
  <c r="X315" i="3"/>
  <c r="BD312" i="3" l="1"/>
  <c r="BM316" i="3"/>
  <c r="AN316" i="3"/>
  <c r="BC313" i="3"/>
  <c r="BD313" i="3" s="1"/>
  <c r="AU315" i="3"/>
  <c r="BN316" i="3"/>
  <c r="AY314" i="3"/>
  <c r="AX315" i="3"/>
  <c r="AT315" i="3"/>
  <c r="AH316" i="3"/>
  <c r="BQ313" i="3"/>
  <c r="BB313" i="3"/>
  <c r="BF313" i="3"/>
  <c r="BJ312" i="3" s="1"/>
  <c r="BK312" i="3" s="1"/>
  <c r="AV314" i="3"/>
  <c r="BA314" i="3"/>
  <c r="AR317" i="3"/>
  <c r="B317" i="3"/>
  <c r="AQ317" i="3"/>
  <c r="A318" i="3"/>
  <c r="AK317" i="3"/>
  <c r="S317" i="3"/>
  <c r="AM317" i="3"/>
  <c r="R317" i="3"/>
  <c r="AD317" i="3"/>
  <c r="P317" i="3"/>
  <c r="AE317" i="3"/>
  <c r="M317" i="3"/>
  <c r="O317" i="3"/>
  <c r="V317" i="3"/>
  <c r="AF317" i="3"/>
  <c r="U317" i="3"/>
  <c r="Q317" i="3"/>
  <c r="C317" i="3"/>
  <c r="D317" i="3"/>
  <c r="G317" i="3"/>
  <c r="H317" i="3" s="1"/>
  <c r="F317" i="3"/>
  <c r="T317" i="3"/>
  <c r="AW315" i="3"/>
  <c r="AG316" i="3"/>
  <c r="AO316" i="3"/>
  <c r="Y316" i="3"/>
  <c r="Z316" i="3" s="1"/>
  <c r="X316" i="3"/>
  <c r="AV315" i="3" l="1"/>
  <c r="AN317" i="3"/>
  <c r="BC314" i="3"/>
  <c r="BD314" i="3" s="1"/>
  <c r="BG313" i="3"/>
  <c r="BH313" i="3" s="1"/>
  <c r="BI313" i="3" s="1"/>
  <c r="AY315" i="3"/>
  <c r="BM317" i="3"/>
  <c r="BA315" i="3"/>
  <c r="BQ315" i="3" s="1"/>
  <c r="AW316" i="3"/>
  <c r="AU316" i="3"/>
  <c r="AX316" i="3"/>
  <c r="AR318" i="3"/>
  <c r="B318" i="3"/>
  <c r="AQ318" i="3"/>
  <c r="A319" i="3"/>
  <c r="C318" i="3"/>
  <c r="R318" i="3"/>
  <c r="Q318" i="3"/>
  <c r="AK318" i="3"/>
  <c r="AM318" i="3"/>
  <c r="P318" i="3"/>
  <c r="S318" i="3"/>
  <c r="AD318" i="3"/>
  <c r="O318" i="3"/>
  <c r="AE318" i="3"/>
  <c r="M318" i="3"/>
  <c r="U318" i="3"/>
  <c r="AF318" i="3"/>
  <c r="V318" i="3"/>
  <c r="G318" i="3"/>
  <c r="H318" i="3" s="1"/>
  <c r="D318" i="3"/>
  <c r="F318" i="3"/>
  <c r="T318" i="3"/>
  <c r="BF314" i="3"/>
  <c r="BJ313" i="3" s="1"/>
  <c r="BK313" i="3" s="1"/>
  <c r="BQ314" i="3"/>
  <c r="BB314" i="3"/>
  <c r="AT316" i="3"/>
  <c r="Y317" i="3"/>
  <c r="Z317" i="3" s="1"/>
  <c r="BN317" i="3"/>
  <c r="X317" i="3"/>
  <c r="AG317" i="3"/>
  <c r="AH317" i="3"/>
  <c r="AO317" i="3"/>
  <c r="BM318" i="3" l="1"/>
  <c r="BC315" i="3"/>
  <c r="BD315" i="3" s="1"/>
  <c r="BF315" i="3"/>
  <c r="BJ314" i="3" s="1"/>
  <c r="BK314" i="3" s="1"/>
  <c r="BG314" i="3"/>
  <c r="BH314" i="3" s="1"/>
  <c r="BI314" i="3" s="1"/>
  <c r="BN318" i="3"/>
  <c r="BB315" i="3"/>
  <c r="AY316" i="3"/>
  <c r="AN318" i="3"/>
  <c r="AX317" i="3"/>
  <c r="BA316" i="3"/>
  <c r="BB316" i="3" s="1"/>
  <c r="Y318" i="3"/>
  <c r="Z318" i="3" s="1"/>
  <c r="AU317" i="3"/>
  <c r="X318" i="3"/>
  <c r="AQ319" i="3"/>
  <c r="B319" i="3"/>
  <c r="A320" i="3"/>
  <c r="AR319" i="3"/>
  <c r="AM319" i="3"/>
  <c r="D319" i="3"/>
  <c r="AK319" i="3"/>
  <c r="Q319" i="3"/>
  <c r="S319" i="3"/>
  <c r="AD319" i="3"/>
  <c r="P319" i="3"/>
  <c r="O319" i="3"/>
  <c r="AE319" i="3"/>
  <c r="AF319" i="3"/>
  <c r="M319" i="3"/>
  <c r="U319" i="3"/>
  <c r="V319" i="3"/>
  <c r="C319" i="3"/>
  <c r="F319" i="3"/>
  <c r="R319" i="3"/>
  <c r="G319" i="3"/>
  <c r="H319" i="3" s="1"/>
  <c r="T319" i="3"/>
  <c r="AT317" i="3"/>
  <c r="AW317" i="3"/>
  <c r="AV316" i="3"/>
  <c r="AG318" i="3"/>
  <c r="AH318" i="3"/>
  <c r="AO318" i="3"/>
  <c r="BG315" i="3" l="1"/>
  <c r="BH315" i="3" s="1"/>
  <c r="BI315" i="3" s="1"/>
  <c r="AO319" i="3"/>
  <c r="BN319" i="3"/>
  <c r="BM319" i="3"/>
  <c r="BC316" i="3"/>
  <c r="BD316" i="3" s="1"/>
  <c r="BF316" i="3"/>
  <c r="BJ315" i="3" s="1"/>
  <c r="BK315" i="3" s="1"/>
  <c r="AY317" i="3"/>
  <c r="BQ316" i="3"/>
  <c r="AX318" i="3"/>
  <c r="AG319" i="3"/>
  <c r="AV317" i="3"/>
  <c r="BA317" i="3"/>
  <c r="AW318" i="3"/>
  <c r="Y319" i="3"/>
  <c r="Z319" i="3" s="1"/>
  <c r="X319" i="3"/>
  <c r="AH319" i="3"/>
  <c r="AT318" i="3"/>
  <c r="A321" i="3"/>
  <c r="B320" i="3"/>
  <c r="AR320" i="3"/>
  <c r="AQ320" i="3"/>
  <c r="D320" i="3"/>
  <c r="AM320" i="3"/>
  <c r="AK320" i="3"/>
  <c r="S320" i="3"/>
  <c r="R320" i="3"/>
  <c r="AD320" i="3"/>
  <c r="Q320" i="3"/>
  <c r="P320" i="3"/>
  <c r="M320" i="3"/>
  <c r="U320" i="3"/>
  <c r="V320" i="3"/>
  <c r="O320" i="3"/>
  <c r="AE320" i="3"/>
  <c r="AF320" i="3"/>
  <c r="G320" i="3"/>
  <c r="H320" i="3" s="1"/>
  <c r="F320" i="3"/>
  <c r="C320" i="3"/>
  <c r="T320" i="3"/>
  <c r="AN319" i="3"/>
  <c r="AU318" i="3"/>
  <c r="BN320" i="3" l="1"/>
  <c r="BG316" i="3"/>
  <c r="BH316" i="3" s="1"/>
  <c r="BI316" i="3" s="1"/>
  <c r="AT319" i="3"/>
  <c r="AY318" i="3"/>
  <c r="BC317" i="3"/>
  <c r="BG317" i="3" s="1"/>
  <c r="BH317" i="3" s="1"/>
  <c r="BI317" i="3" s="1"/>
  <c r="AO320" i="3"/>
  <c r="AW319" i="3"/>
  <c r="AU319" i="3"/>
  <c r="AG320" i="3"/>
  <c r="X320" i="3"/>
  <c r="AV318" i="3"/>
  <c r="BA318" i="3"/>
  <c r="Y320" i="3"/>
  <c r="Z320" i="3" s="1"/>
  <c r="BM320" i="3"/>
  <c r="AH320" i="3"/>
  <c r="AN320" i="3"/>
  <c r="AR321" i="3"/>
  <c r="B321" i="3"/>
  <c r="AQ321" i="3"/>
  <c r="A322" i="3"/>
  <c r="T321" i="3"/>
  <c r="AK321" i="3"/>
  <c r="AM321" i="3"/>
  <c r="S321" i="3"/>
  <c r="Q321" i="3"/>
  <c r="R321" i="3"/>
  <c r="AD321" i="3"/>
  <c r="P321" i="3"/>
  <c r="O321" i="3"/>
  <c r="M321" i="3"/>
  <c r="AF321" i="3"/>
  <c r="V321" i="3"/>
  <c r="U321" i="3"/>
  <c r="AE321" i="3"/>
  <c r="D321" i="3"/>
  <c r="F321" i="3"/>
  <c r="C321" i="3"/>
  <c r="G321" i="3"/>
  <c r="H321" i="3" s="1"/>
  <c r="BQ317" i="3"/>
  <c r="BB317" i="3"/>
  <c r="BF317" i="3"/>
  <c r="BJ316" i="3" s="1"/>
  <c r="BK316" i="3" s="1"/>
  <c r="AX319" i="3"/>
  <c r="BD317" i="3" l="1"/>
  <c r="AV319" i="3"/>
  <c r="BC318" i="3"/>
  <c r="BG318" i="3" s="1"/>
  <c r="BH318" i="3" s="1"/>
  <c r="BI318" i="3" s="1"/>
  <c r="BA319" i="3"/>
  <c r="BB319" i="3" s="1"/>
  <c r="AX320" i="3"/>
  <c r="X321" i="3"/>
  <c r="Y321" i="3"/>
  <c r="Z321" i="3" s="1"/>
  <c r="AO321" i="3"/>
  <c r="AN321" i="3"/>
  <c r="AR322" i="3"/>
  <c r="B322" i="3"/>
  <c r="AQ322" i="3"/>
  <c r="A323" i="3"/>
  <c r="D322" i="3"/>
  <c r="AK322" i="3"/>
  <c r="S322" i="3"/>
  <c r="Q322" i="3"/>
  <c r="C322" i="3"/>
  <c r="AM322" i="3"/>
  <c r="R322" i="3"/>
  <c r="AD322" i="3"/>
  <c r="P322" i="3"/>
  <c r="AE322" i="3"/>
  <c r="O322" i="3"/>
  <c r="M322" i="3"/>
  <c r="AF322" i="3"/>
  <c r="V322" i="3"/>
  <c r="U322" i="3"/>
  <c r="G322" i="3"/>
  <c r="H322" i="3" s="1"/>
  <c r="F322" i="3"/>
  <c r="BM322" i="3" s="1"/>
  <c r="T322" i="3"/>
  <c r="AH321" i="3"/>
  <c r="AU320" i="3"/>
  <c r="AT320" i="3"/>
  <c r="AY319" i="3"/>
  <c r="BN321" i="3"/>
  <c r="BM321" i="3"/>
  <c r="AG321" i="3"/>
  <c r="AW320" i="3"/>
  <c r="BB318" i="3"/>
  <c r="BF318" i="3"/>
  <c r="BJ317" i="3" s="1"/>
  <c r="BK317" i="3" s="1"/>
  <c r="BQ318" i="3"/>
  <c r="BD318" i="3" l="1"/>
  <c r="BQ319" i="3"/>
  <c r="AN322" i="3"/>
  <c r="BC319" i="3"/>
  <c r="BD319" i="3" s="1"/>
  <c r="BF319" i="3"/>
  <c r="BJ318" i="3" s="1"/>
  <c r="BK318" i="3" s="1"/>
  <c r="AY320" i="3"/>
  <c r="AW321" i="3"/>
  <c r="AV320" i="3"/>
  <c r="AQ323" i="3"/>
  <c r="B323" i="3"/>
  <c r="A324" i="3"/>
  <c r="AR323" i="3"/>
  <c r="AM323" i="3"/>
  <c r="S323" i="3"/>
  <c r="AK323" i="3"/>
  <c r="R323" i="3"/>
  <c r="P323" i="3"/>
  <c r="T323" i="3"/>
  <c r="Q323" i="3"/>
  <c r="AD323" i="3"/>
  <c r="O323" i="3"/>
  <c r="AF323" i="3"/>
  <c r="U323" i="3"/>
  <c r="V323" i="3"/>
  <c r="M323" i="3"/>
  <c r="AE323" i="3"/>
  <c r="D323" i="3"/>
  <c r="C323" i="3"/>
  <c r="F323" i="3"/>
  <c r="G323" i="3"/>
  <c r="H323" i="3" s="1"/>
  <c r="AX321" i="3"/>
  <c r="AU321" i="3"/>
  <c r="BA320" i="3"/>
  <c r="AT321" i="3"/>
  <c r="Y322" i="3"/>
  <c r="Z322" i="3" s="1"/>
  <c r="BN322" i="3"/>
  <c r="AG322" i="3"/>
  <c r="AH322" i="3"/>
  <c r="AO322" i="3"/>
  <c r="X322" i="3"/>
  <c r="BC320" i="3" l="1"/>
  <c r="BD320" i="3" s="1"/>
  <c r="AG323" i="3"/>
  <c r="AO323" i="3"/>
  <c r="BG319" i="3"/>
  <c r="BH319" i="3" s="1"/>
  <c r="BI319" i="3" s="1"/>
  <c r="AY321" i="3"/>
  <c r="BN323" i="3"/>
  <c r="AT322" i="3"/>
  <c r="AU322" i="3"/>
  <c r="X323" i="3"/>
  <c r="AV321" i="3"/>
  <c r="BA321" i="3"/>
  <c r="Y323" i="3"/>
  <c r="Z323" i="3" s="1"/>
  <c r="A325" i="3"/>
  <c r="B324" i="3"/>
  <c r="AR324" i="3"/>
  <c r="AQ324" i="3"/>
  <c r="D324" i="3"/>
  <c r="AM324" i="3"/>
  <c r="AK324" i="3"/>
  <c r="R324" i="3"/>
  <c r="Q324" i="3"/>
  <c r="AD324" i="3"/>
  <c r="T324" i="3"/>
  <c r="P324" i="3"/>
  <c r="O324" i="3"/>
  <c r="V324" i="3"/>
  <c r="AE324" i="3"/>
  <c r="AF324" i="3"/>
  <c r="M324" i="3"/>
  <c r="U324" i="3"/>
  <c r="F324" i="3"/>
  <c r="C324" i="3"/>
  <c r="G324" i="3"/>
  <c r="H324" i="3" s="1"/>
  <c r="BN324" i="3" s="1"/>
  <c r="S324" i="3"/>
  <c r="AX322" i="3"/>
  <c r="BM323" i="3"/>
  <c r="AN323" i="3"/>
  <c r="BF320" i="3"/>
  <c r="BJ319" i="3" s="1"/>
  <c r="BK319" i="3" s="1"/>
  <c r="BQ320" i="3"/>
  <c r="BB320" i="3"/>
  <c r="AW322" i="3"/>
  <c r="AH323" i="3"/>
  <c r="BG320" i="3" l="1"/>
  <c r="BH320" i="3" s="1"/>
  <c r="BI320" i="3" s="1"/>
  <c r="BC321" i="3"/>
  <c r="BG321" i="3" s="1"/>
  <c r="BH321" i="3" s="1"/>
  <c r="BI321" i="3" s="1"/>
  <c r="BM324" i="3"/>
  <c r="AV322" i="3"/>
  <c r="BA322" i="3"/>
  <c r="BB322" i="3" s="1"/>
  <c r="AW323" i="3"/>
  <c r="AO324" i="3"/>
  <c r="AG324" i="3"/>
  <c r="AT323" i="3"/>
  <c r="Y324" i="3"/>
  <c r="Z324" i="3" s="1"/>
  <c r="AR325" i="3"/>
  <c r="B325" i="3"/>
  <c r="AQ325" i="3"/>
  <c r="A326" i="3"/>
  <c r="C325" i="3"/>
  <c r="AM325" i="3"/>
  <c r="AK325" i="3"/>
  <c r="S325" i="3"/>
  <c r="R325" i="3"/>
  <c r="D325" i="3"/>
  <c r="AD325" i="3"/>
  <c r="P325" i="3"/>
  <c r="O325" i="3"/>
  <c r="M325" i="3"/>
  <c r="V325" i="3"/>
  <c r="AF325" i="3"/>
  <c r="AE325" i="3"/>
  <c r="U325" i="3"/>
  <c r="Q325" i="3"/>
  <c r="G325" i="3"/>
  <c r="H325" i="3" s="1"/>
  <c r="F325" i="3"/>
  <c r="BM325" i="3" s="1"/>
  <c r="T325" i="3"/>
  <c r="BB321" i="3"/>
  <c r="BF321" i="3"/>
  <c r="BJ320" i="3" s="1"/>
  <c r="BK320" i="3" s="1"/>
  <c r="BQ321" i="3"/>
  <c r="AX323" i="3"/>
  <c r="AY322" i="3"/>
  <c r="AU323" i="3"/>
  <c r="X324" i="3"/>
  <c r="AH324" i="3"/>
  <c r="AN324" i="3"/>
  <c r="BN325" i="3" l="1"/>
  <c r="BD321" i="3"/>
  <c r="BC322" i="3"/>
  <c r="BD322" i="3" s="1"/>
  <c r="AO325" i="3"/>
  <c r="BQ322" i="3"/>
  <c r="BF322" i="3"/>
  <c r="BJ321" i="3" s="1"/>
  <c r="BK321" i="3" s="1"/>
  <c r="AG325" i="3"/>
  <c r="BA323" i="3"/>
  <c r="BB323" i="3" s="1"/>
  <c r="AY323" i="3"/>
  <c r="AX324" i="3"/>
  <c r="Y325" i="3"/>
  <c r="Z325" i="3" s="1"/>
  <c r="AR326" i="3"/>
  <c r="B326" i="3"/>
  <c r="AQ326" i="3"/>
  <c r="A327" i="3"/>
  <c r="AK326" i="3"/>
  <c r="T326" i="3"/>
  <c r="S326" i="3"/>
  <c r="AM326" i="3"/>
  <c r="R326" i="3"/>
  <c r="AD326" i="3"/>
  <c r="P326" i="3"/>
  <c r="O326" i="3"/>
  <c r="M326" i="3"/>
  <c r="AE326" i="3"/>
  <c r="AF326" i="3"/>
  <c r="V326" i="3"/>
  <c r="U326" i="3"/>
  <c r="C326" i="3"/>
  <c r="G326" i="3"/>
  <c r="H326" i="3" s="1"/>
  <c r="F326" i="3"/>
  <c r="Q326" i="3"/>
  <c r="D326" i="3"/>
  <c r="AU324" i="3"/>
  <c r="AW324" i="3"/>
  <c r="AN325" i="3"/>
  <c r="AV323" i="3"/>
  <c r="AT324" i="3"/>
  <c r="AH325" i="3"/>
  <c r="X325" i="3"/>
  <c r="BM326" i="3" l="1"/>
  <c r="BG322" i="3"/>
  <c r="BH322" i="3" s="1"/>
  <c r="BI322" i="3" s="1"/>
  <c r="AO326" i="3"/>
  <c r="BN326" i="3"/>
  <c r="BQ323" i="3"/>
  <c r="AY324" i="3"/>
  <c r="BF323" i="3"/>
  <c r="BJ322" i="3" s="1"/>
  <c r="BK322" i="3" s="1"/>
  <c r="BC323" i="3"/>
  <c r="BG323" i="3" s="1"/>
  <c r="BH323" i="3" s="1"/>
  <c r="BI323" i="3" s="1"/>
  <c r="AX325" i="3"/>
  <c r="AT325" i="3"/>
  <c r="AU325" i="3"/>
  <c r="Y326" i="3"/>
  <c r="Z326" i="3" s="1"/>
  <c r="AQ327" i="3"/>
  <c r="B327" i="3"/>
  <c r="A328" i="3"/>
  <c r="AR327" i="3"/>
  <c r="D327" i="3"/>
  <c r="AM327" i="3"/>
  <c r="S327" i="3"/>
  <c r="AK327" i="3"/>
  <c r="R327" i="3"/>
  <c r="Q327" i="3"/>
  <c r="P327" i="3"/>
  <c r="AD327" i="3"/>
  <c r="O327" i="3"/>
  <c r="AE327" i="3"/>
  <c r="U327" i="3"/>
  <c r="M327" i="3"/>
  <c r="AF327" i="3"/>
  <c r="V327" i="3"/>
  <c r="C327" i="3"/>
  <c r="G327" i="3"/>
  <c r="H327" i="3" s="1"/>
  <c r="F327" i="3"/>
  <c r="T327" i="3"/>
  <c r="AW325" i="3"/>
  <c r="X326" i="3"/>
  <c r="AG326" i="3"/>
  <c r="AH326" i="3"/>
  <c r="AN326" i="3"/>
  <c r="AV324" i="3"/>
  <c r="BA324" i="3"/>
  <c r="BM327" i="3" l="1"/>
  <c r="BD323" i="3"/>
  <c r="BC324" i="3"/>
  <c r="BG324" i="3" s="1"/>
  <c r="BH324" i="3" s="1"/>
  <c r="BI324" i="3" s="1"/>
  <c r="AY325" i="3"/>
  <c r="BN327" i="3"/>
  <c r="AT326" i="3"/>
  <c r="AV325" i="3"/>
  <c r="AG327" i="3"/>
  <c r="AU326" i="3"/>
  <c r="AN327" i="3"/>
  <c r="AO327" i="3"/>
  <c r="A329" i="3"/>
  <c r="B328" i="3"/>
  <c r="AR328" i="3"/>
  <c r="AQ328" i="3"/>
  <c r="C328" i="3"/>
  <c r="D328" i="3"/>
  <c r="AM328" i="3"/>
  <c r="AK328" i="3"/>
  <c r="R328" i="3"/>
  <c r="Q328" i="3"/>
  <c r="S328" i="3"/>
  <c r="AD328" i="3"/>
  <c r="P328" i="3"/>
  <c r="O328" i="3"/>
  <c r="M328" i="3"/>
  <c r="AE328" i="3"/>
  <c r="AF328" i="3"/>
  <c r="U328" i="3"/>
  <c r="V328" i="3"/>
  <c r="G328" i="3"/>
  <c r="H328" i="3" s="1"/>
  <c r="F328" i="3"/>
  <c r="T328" i="3"/>
  <c r="AX326" i="3"/>
  <c r="X327" i="3"/>
  <c r="BQ324" i="3"/>
  <c r="BF324" i="3"/>
  <c r="BJ323" i="3" s="1"/>
  <c r="BK323" i="3" s="1"/>
  <c r="BB324" i="3"/>
  <c r="AW326" i="3"/>
  <c r="Y327" i="3"/>
  <c r="Z327" i="3" s="1"/>
  <c r="AH327" i="3"/>
  <c r="BA325" i="3"/>
  <c r="BD324" i="3" l="1"/>
  <c r="BM328" i="3"/>
  <c r="BN328" i="3"/>
  <c r="BC325" i="3"/>
  <c r="BD325" i="3" s="1"/>
  <c r="AO328" i="3"/>
  <c r="AV326" i="3"/>
  <c r="AY326" i="3"/>
  <c r="AG328" i="3"/>
  <c r="AW327" i="3"/>
  <c r="AT327" i="3"/>
  <c r="Y328" i="3"/>
  <c r="Z328" i="3" s="1"/>
  <c r="BA326" i="3"/>
  <c r="BQ326" i="3" s="1"/>
  <c r="BB325" i="3"/>
  <c r="BQ325" i="3"/>
  <c r="BF325" i="3"/>
  <c r="BJ324" i="3" s="1"/>
  <c r="BK324" i="3" s="1"/>
  <c r="AR329" i="3"/>
  <c r="B329" i="3"/>
  <c r="AQ329" i="3"/>
  <c r="A330" i="3"/>
  <c r="AK329" i="3"/>
  <c r="AM329" i="3"/>
  <c r="S329" i="3"/>
  <c r="R329" i="3"/>
  <c r="AD329" i="3"/>
  <c r="P329" i="3"/>
  <c r="O329" i="3"/>
  <c r="M329" i="3"/>
  <c r="AF329" i="3"/>
  <c r="V329" i="3"/>
  <c r="U329" i="3"/>
  <c r="AE329" i="3"/>
  <c r="Q329" i="3"/>
  <c r="D329" i="3"/>
  <c r="G329" i="3"/>
  <c r="H329" i="3" s="1"/>
  <c r="F329" i="3"/>
  <c r="C329" i="3"/>
  <c r="T329" i="3"/>
  <c r="AN328" i="3"/>
  <c r="X328" i="3"/>
  <c r="AU327" i="3"/>
  <c r="AH328" i="3"/>
  <c r="AX327" i="3"/>
  <c r="BG325" i="3" l="1"/>
  <c r="BH325" i="3" s="1"/>
  <c r="BI325" i="3" s="1"/>
  <c r="BN329" i="3"/>
  <c r="AY327" i="3"/>
  <c r="BC326" i="3"/>
  <c r="BD326" i="3" s="1"/>
  <c r="AX328" i="3"/>
  <c r="AO329" i="3"/>
  <c r="AV327" i="3"/>
  <c r="BF326" i="3"/>
  <c r="BJ325" i="3" s="1"/>
  <c r="BK325" i="3" s="1"/>
  <c r="AW328" i="3"/>
  <c r="AU328" i="3"/>
  <c r="BB326" i="3"/>
  <c r="X329" i="3"/>
  <c r="AR330" i="3"/>
  <c r="B330" i="3"/>
  <c r="AQ330" i="3"/>
  <c r="A331" i="3"/>
  <c r="D330" i="3"/>
  <c r="C330" i="3"/>
  <c r="S330" i="3"/>
  <c r="R330" i="3"/>
  <c r="AM330" i="3"/>
  <c r="AK330" i="3"/>
  <c r="Q330" i="3"/>
  <c r="AD330" i="3"/>
  <c r="P330" i="3"/>
  <c r="O330" i="3"/>
  <c r="M330" i="3"/>
  <c r="V330" i="3"/>
  <c r="AE330" i="3"/>
  <c r="AF330" i="3"/>
  <c r="U330" i="3"/>
  <c r="F330" i="3"/>
  <c r="G330" i="3"/>
  <c r="H330" i="3" s="1"/>
  <c r="BN330" i="3" s="1"/>
  <c r="T330" i="3"/>
  <c r="AH329" i="3"/>
  <c r="AT328" i="3"/>
  <c r="Y329" i="3"/>
  <c r="Z329" i="3" s="1"/>
  <c r="BM329" i="3"/>
  <c r="AG329" i="3"/>
  <c r="AN329" i="3"/>
  <c r="BA327" i="3"/>
  <c r="BM330" i="3" l="1"/>
  <c r="BG326" i="3"/>
  <c r="BH326" i="3" s="1"/>
  <c r="BI326" i="3" s="1"/>
  <c r="BC327" i="3"/>
  <c r="BG327" i="3" s="1"/>
  <c r="BH327" i="3" s="1"/>
  <c r="BI327" i="3" s="1"/>
  <c r="AN330" i="3"/>
  <c r="AY328" i="3"/>
  <c r="AT329" i="3"/>
  <c r="AG330" i="3"/>
  <c r="BB327" i="3"/>
  <c r="BQ327" i="3"/>
  <c r="BF327" i="3"/>
  <c r="BJ326" i="3" s="1"/>
  <c r="BK326" i="3" s="1"/>
  <c r="BA328" i="3"/>
  <c r="AV328" i="3"/>
  <c r="AQ331" i="3"/>
  <c r="B331" i="3"/>
  <c r="A332" i="3"/>
  <c r="AR331" i="3"/>
  <c r="AM331" i="3"/>
  <c r="AK331" i="3"/>
  <c r="T331" i="3"/>
  <c r="R331" i="3"/>
  <c r="Q331" i="3"/>
  <c r="AD331" i="3"/>
  <c r="M331" i="3"/>
  <c r="AF331" i="3"/>
  <c r="O331" i="3"/>
  <c r="AE331" i="3"/>
  <c r="V331" i="3"/>
  <c r="U331" i="3"/>
  <c r="D331" i="3"/>
  <c r="C331" i="3"/>
  <c r="F331" i="3"/>
  <c r="G331" i="3"/>
  <c r="H331" i="3" s="1"/>
  <c r="P331" i="3"/>
  <c r="S331" i="3"/>
  <c r="AX329" i="3"/>
  <c r="AU329" i="3"/>
  <c r="AW329" i="3"/>
  <c r="Y330" i="3"/>
  <c r="Z330" i="3" s="1"/>
  <c r="AH330" i="3"/>
  <c r="AO330" i="3"/>
  <c r="X330" i="3"/>
  <c r="BD327" i="3" l="1"/>
  <c r="AG331" i="3"/>
  <c r="AY329" i="3"/>
  <c r="AT330" i="3"/>
  <c r="BM331" i="3"/>
  <c r="BC328" i="3"/>
  <c r="BD328" i="3" s="1"/>
  <c r="AX330" i="3"/>
  <c r="AN331" i="3"/>
  <c r="Y331" i="3"/>
  <c r="Z331" i="3" s="1"/>
  <c r="BA329" i="3"/>
  <c r="BB329" i="3" s="1"/>
  <c r="AU330" i="3"/>
  <c r="AW330" i="3"/>
  <c r="X331" i="3"/>
  <c r="BN331" i="3"/>
  <c r="AH331" i="3"/>
  <c r="AO331" i="3"/>
  <c r="AV329" i="3"/>
  <c r="A333" i="3"/>
  <c r="B332" i="3"/>
  <c r="AR332" i="3"/>
  <c r="AQ332" i="3"/>
  <c r="C332" i="3"/>
  <c r="AK332" i="3"/>
  <c r="Q332" i="3"/>
  <c r="AM332" i="3"/>
  <c r="D332" i="3"/>
  <c r="AD332" i="3"/>
  <c r="S332" i="3"/>
  <c r="R332" i="3"/>
  <c r="P332" i="3"/>
  <c r="M332" i="3"/>
  <c r="AE332" i="3"/>
  <c r="O332" i="3"/>
  <c r="AF332" i="3"/>
  <c r="V332" i="3"/>
  <c r="U332" i="3"/>
  <c r="G332" i="3"/>
  <c r="H332" i="3" s="1"/>
  <c r="F332" i="3"/>
  <c r="BM332" i="3" s="1"/>
  <c r="T332" i="3"/>
  <c r="BF328" i="3"/>
  <c r="BJ327" i="3" s="1"/>
  <c r="BK327" i="3" s="1"/>
  <c r="BB328" i="3"/>
  <c r="BQ328" i="3"/>
  <c r="BC329" i="3" l="1"/>
  <c r="BD329" i="3" s="1"/>
  <c r="AN332" i="3"/>
  <c r="AV330" i="3"/>
  <c r="BG328" i="3"/>
  <c r="BH328" i="3" s="1"/>
  <c r="BI328" i="3" s="1"/>
  <c r="AY330" i="3"/>
  <c r="AX331" i="3"/>
  <c r="AU331" i="3"/>
  <c r="AG332" i="3"/>
  <c r="BF329" i="3"/>
  <c r="BJ328" i="3" s="1"/>
  <c r="BK328" i="3" s="1"/>
  <c r="BA330" i="3"/>
  <c r="BB330" i="3" s="1"/>
  <c r="BQ329" i="3"/>
  <c r="X332" i="3"/>
  <c r="Y332" i="3"/>
  <c r="Z332" i="3" s="1"/>
  <c r="BN332" i="3"/>
  <c r="AH332" i="3"/>
  <c r="AO332" i="3"/>
  <c r="AW331" i="3"/>
  <c r="AR333" i="3"/>
  <c r="B333" i="3"/>
  <c r="AQ333" i="3"/>
  <c r="A334" i="3"/>
  <c r="AK333" i="3"/>
  <c r="AM333" i="3"/>
  <c r="T333" i="3"/>
  <c r="Q333" i="3"/>
  <c r="S333" i="3"/>
  <c r="R333" i="3"/>
  <c r="AD333" i="3"/>
  <c r="P333" i="3"/>
  <c r="AE333" i="3"/>
  <c r="O333" i="3"/>
  <c r="M333" i="3"/>
  <c r="AF333" i="3"/>
  <c r="V333" i="3"/>
  <c r="U333" i="3"/>
  <c r="D333" i="3"/>
  <c r="C333" i="3"/>
  <c r="G333" i="3"/>
  <c r="H333" i="3" s="1"/>
  <c r="F333" i="3"/>
  <c r="AT331" i="3"/>
  <c r="BM333" i="3" l="1"/>
  <c r="BG329" i="3"/>
  <c r="BH329" i="3" s="1"/>
  <c r="BI329" i="3" s="1"/>
  <c r="BN333" i="3"/>
  <c r="AY331" i="3"/>
  <c r="BC330" i="3"/>
  <c r="BD330" i="3" s="1"/>
  <c r="AN333" i="3"/>
  <c r="BQ330" i="3"/>
  <c r="AW332" i="3"/>
  <c r="AU332" i="3"/>
  <c r="AT332" i="3"/>
  <c r="BF330" i="3"/>
  <c r="BJ329" i="3" s="1"/>
  <c r="BK329" i="3" s="1"/>
  <c r="AV331" i="3"/>
  <c r="BA331" i="3"/>
  <c r="Y333" i="3"/>
  <c r="Z333" i="3" s="1"/>
  <c r="X333" i="3"/>
  <c r="AG333" i="3"/>
  <c r="AH333" i="3"/>
  <c r="AO333" i="3"/>
  <c r="AX332" i="3"/>
  <c r="AR334" i="3"/>
  <c r="B334" i="3"/>
  <c r="AQ334" i="3"/>
  <c r="A335" i="3"/>
  <c r="D334" i="3"/>
  <c r="AM334" i="3"/>
  <c r="AK334" i="3"/>
  <c r="S334" i="3"/>
  <c r="Q334" i="3"/>
  <c r="R334" i="3"/>
  <c r="T334" i="3"/>
  <c r="AD334" i="3"/>
  <c r="P334" i="3"/>
  <c r="O334" i="3"/>
  <c r="M334" i="3"/>
  <c r="AF334" i="3"/>
  <c r="AE334" i="3"/>
  <c r="V334" i="3"/>
  <c r="U334" i="3"/>
  <c r="G334" i="3"/>
  <c r="H334" i="3" s="1"/>
  <c r="C334" i="3"/>
  <c r="F334" i="3"/>
  <c r="BC331" i="3" l="1"/>
  <c r="BD331" i="3" s="1"/>
  <c r="AV332" i="3"/>
  <c r="BG330" i="3"/>
  <c r="BH330" i="3" s="1"/>
  <c r="BI330" i="3" s="1"/>
  <c r="BA332" i="3"/>
  <c r="BB332" i="3" s="1"/>
  <c r="AT333" i="3"/>
  <c r="AO334" i="3"/>
  <c r="AG334" i="3"/>
  <c r="AY332" i="3"/>
  <c r="X334" i="3"/>
  <c r="BB331" i="3"/>
  <c r="BQ331" i="3"/>
  <c r="BF331" i="3"/>
  <c r="BJ330" i="3" s="1"/>
  <c r="BK330" i="3" s="1"/>
  <c r="AW333" i="3"/>
  <c r="Y334" i="3"/>
  <c r="Z334" i="3" s="1"/>
  <c r="AQ335" i="3"/>
  <c r="B335" i="3"/>
  <c r="A336" i="3"/>
  <c r="AR335" i="3"/>
  <c r="D335" i="3"/>
  <c r="AM335" i="3"/>
  <c r="T335" i="3"/>
  <c r="Q335" i="3"/>
  <c r="AK335" i="3"/>
  <c r="S335" i="3"/>
  <c r="R335" i="3"/>
  <c r="AD335" i="3"/>
  <c r="P335" i="3"/>
  <c r="O335" i="3"/>
  <c r="AE335" i="3"/>
  <c r="M335" i="3"/>
  <c r="AF335" i="3"/>
  <c r="U335" i="3"/>
  <c r="V335" i="3"/>
  <c r="C335" i="3"/>
  <c r="G335" i="3"/>
  <c r="H335" i="3" s="1"/>
  <c r="BN335" i="3" s="1"/>
  <c r="F335" i="3"/>
  <c r="BM334" i="3"/>
  <c r="BN334" i="3"/>
  <c r="AH334" i="3"/>
  <c r="AN334" i="3"/>
  <c r="AU333" i="3"/>
  <c r="AX333" i="3"/>
  <c r="BC332" i="3" l="1"/>
  <c r="BG332" i="3" s="1"/>
  <c r="BH332" i="3" s="1"/>
  <c r="BI332" i="3" s="1"/>
  <c r="BM335" i="3"/>
  <c r="BG331" i="3"/>
  <c r="BH331" i="3" s="1"/>
  <c r="BI331" i="3" s="1"/>
  <c r="AO335" i="3"/>
  <c r="BF332" i="3"/>
  <c r="BJ331" i="3" s="1"/>
  <c r="BK331" i="3" s="1"/>
  <c r="AY333" i="3"/>
  <c r="BQ332" i="3"/>
  <c r="AU334" i="3"/>
  <c r="BA333" i="3"/>
  <c r="BF333" i="3" s="1"/>
  <c r="AG335" i="3"/>
  <c r="AX334" i="3"/>
  <c r="X335" i="3"/>
  <c r="AH335" i="3"/>
  <c r="AN335" i="3"/>
  <c r="AV333" i="3"/>
  <c r="AW334" i="3"/>
  <c r="Y335" i="3"/>
  <c r="Z335" i="3" s="1"/>
  <c r="A337" i="3"/>
  <c r="B336" i="3"/>
  <c r="AR336" i="3"/>
  <c r="AQ336" i="3"/>
  <c r="C336" i="3"/>
  <c r="AM336" i="3"/>
  <c r="T336" i="3"/>
  <c r="S336" i="3"/>
  <c r="AK336" i="3"/>
  <c r="Q336" i="3"/>
  <c r="R336" i="3"/>
  <c r="P336" i="3"/>
  <c r="AD336" i="3"/>
  <c r="AE336" i="3"/>
  <c r="O336" i="3"/>
  <c r="M336" i="3"/>
  <c r="AF336" i="3"/>
  <c r="V336" i="3"/>
  <c r="U336" i="3"/>
  <c r="D336" i="3"/>
  <c r="G336" i="3"/>
  <c r="H336" i="3" s="1"/>
  <c r="F336" i="3"/>
  <c r="AT334" i="3"/>
  <c r="BC333" i="3" l="1"/>
  <c r="BD333" i="3" s="1"/>
  <c r="BD332" i="3"/>
  <c r="BM336" i="3"/>
  <c r="BJ332" i="3"/>
  <c r="BK332" i="3" s="1"/>
  <c r="BN336" i="3"/>
  <c r="AT335" i="3"/>
  <c r="AO336" i="3"/>
  <c r="BQ333" i="3"/>
  <c r="AY334" i="3"/>
  <c r="AX335" i="3"/>
  <c r="BB333" i="3"/>
  <c r="AU335" i="3"/>
  <c r="AH336" i="3"/>
  <c r="AR337" i="3"/>
  <c r="B337" i="3"/>
  <c r="AQ337" i="3"/>
  <c r="A338" i="3"/>
  <c r="AK337" i="3"/>
  <c r="AM337" i="3"/>
  <c r="R337" i="3"/>
  <c r="Q337" i="3"/>
  <c r="AD337" i="3"/>
  <c r="P337" i="3"/>
  <c r="O337" i="3"/>
  <c r="AE337" i="3"/>
  <c r="AF337" i="3"/>
  <c r="M337" i="3"/>
  <c r="V337" i="3"/>
  <c r="U337" i="3"/>
  <c r="C337" i="3"/>
  <c r="G337" i="3"/>
  <c r="H337" i="3" s="1"/>
  <c r="F337" i="3"/>
  <c r="D337" i="3"/>
  <c r="T337" i="3"/>
  <c r="S337" i="3"/>
  <c r="X336" i="3"/>
  <c r="AV334" i="3"/>
  <c r="BA334" i="3"/>
  <c r="Y336" i="3"/>
  <c r="Z336" i="3" s="1"/>
  <c r="AG336" i="3"/>
  <c r="AN336" i="3"/>
  <c r="AW335" i="3"/>
  <c r="BG333" i="3" l="1"/>
  <c r="BH333" i="3" s="1"/>
  <c r="BI333" i="3" s="1"/>
  <c r="BM337" i="3"/>
  <c r="AV335" i="3"/>
  <c r="BC334" i="3"/>
  <c r="BD334" i="3" s="1"/>
  <c r="AO337" i="3"/>
  <c r="AY335" i="3"/>
  <c r="AW336" i="3"/>
  <c r="AU336" i="3"/>
  <c r="AX336" i="3"/>
  <c r="Y337" i="3"/>
  <c r="Z337" i="3" s="1"/>
  <c r="AT336" i="3"/>
  <c r="BA335" i="3"/>
  <c r="AH337" i="3"/>
  <c r="BF334" i="3"/>
  <c r="BJ333" i="3" s="1"/>
  <c r="BK333" i="3" s="1"/>
  <c r="BQ334" i="3"/>
  <c r="BB334" i="3"/>
  <c r="AR338" i="3"/>
  <c r="B338" i="3"/>
  <c r="AQ338" i="3"/>
  <c r="A339" i="3"/>
  <c r="D338" i="3"/>
  <c r="AM338" i="3"/>
  <c r="AK338" i="3"/>
  <c r="S338" i="3"/>
  <c r="Q338" i="3"/>
  <c r="AD338" i="3"/>
  <c r="P338" i="3"/>
  <c r="T338" i="3"/>
  <c r="O338" i="3"/>
  <c r="AE338" i="3"/>
  <c r="AF338" i="3"/>
  <c r="M338" i="3"/>
  <c r="U338" i="3"/>
  <c r="V338" i="3"/>
  <c r="R338" i="3"/>
  <c r="C338" i="3"/>
  <c r="F338" i="3"/>
  <c r="G338" i="3"/>
  <c r="H338" i="3" s="1"/>
  <c r="X337" i="3"/>
  <c r="BN337" i="3"/>
  <c r="AG337" i="3"/>
  <c r="AN337" i="3"/>
  <c r="BC335" i="3" l="1"/>
  <c r="BG335" i="3" s="1"/>
  <c r="BH335" i="3" s="1"/>
  <c r="BI335" i="3" s="1"/>
  <c r="AN338" i="3"/>
  <c r="BN338" i="3"/>
  <c r="BG334" i="3"/>
  <c r="BH334" i="3" s="1"/>
  <c r="BI334" i="3" s="1"/>
  <c r="AY336" i="3"/>
  <c r="AG338" i="3"/>
  <c r="AT337" i="3"/>
  <c r="X338" i="3"/>
  <c r="AQ339" i="3"/>
  <c r="B339" i="3"/>
  <c r="A340" i="3"/>
  <c r="AR339" i="3"/>
  <c r="D339" i="3"/>
  <c r="AM339" i="3"/>
  <c r="C339" i="3"/>
  <c r="AK339" i="3"/>
  <c r="S339" i="3"/>
  <c r="Q339" i="3"/>
  <c r="R339" i="3"/>
  <c r="AD339" i="3"/>
  <c r="P339" i="3"/>
  <c r="O339" i="3"/>
  <c r="M339" i="3"/>
  <c r="AF339" i="3"/>
  <c r="AE339" i="3"/>
  <c r="U339" i="3"/>
  <c r="V339" i="3"/>
  <c r="F339" i="3"/>
  <c r="G339" i="3"/>
  <c r="H339" i="3" s="1"/>
  <c r="T339" i="3"/>
  <c r="AU337" i="3"/>
  <c r="AW337" i="3"/>
  <c r="Y338" i="3"/>
  <c r="Z338" i="3" s="1"/>
  <c r="BQ335" i="3"/>
  <c r="BB335" i="3"/>
  <c r="BF335" i="3"/>
  <c r="BJ334" i="3" s="1"/>
  <c r="BK334" i="3" s="1"/>
  <c r="BM338" i="3"/>
  <c r="AO338" i="3"/>
  <c r="BA336" i="3"/>
  <c r="AV336" i="3"/>
  <c r="AH338" i="3"/>
  <c r="AX337" i="3"/>
  <c r="AV337" i="3" l="1"/>
  <c r="BN339" i="3"/>
  <c r="BD335" i="3"/>
  <c r="AO339" i="3"/>
  <c r="BM339" i="3"/>
  <c r="BC336" i="3"/>
  <c r="BG336" i="3" s="1"/>
  <c r="BH336" i="3" s="1"/>
  <c r="BI336" i="3" s="1"/>
  <c r="AX338" i="3"/>
  <c r="AU338" i="3"/>
  <c r="AW338" i="3"/>
  <c r="Y339" i="3"/>
  <c r="Z339" i="3" s="1"/>
  <c r="BQ336" i="3"/>
  <c r="BB336" i="3"/>
  <c r="BF336" i="3"/>
  <c r="BJ335" i="3" s="1"/>
  <c r="BK335" i="3" s="1"/>
  <c r="A341" i="3"/>
  <c r="B340" i="3"/>
  <c r="AR340" i="3"/>
  <c r="AQ340" i="3"/>
  <c r="AK340" i="3"/>
  <c r="AM340" i="3"/>
  <c r="S340" i="3"/>
  <c r="Q340" i="3"/>
  <c r="C340" i="3"/>
  <c r="AD340" i="3"/>
  <c r="P340" i="3"/>
  <c r="R340" i="3"/>
  <c r="O340" i="3"/>
  <c r="M340" i="3"/>
  <c r="AF340" i="3"/>
  <c r="AE340" i="3"/>
  <c r="U340" i="3"/>
  <c r="V340" i="3"/>
  <c r="G340" i="3"/>
  <c r="H340" i="3" s="1"/>
  <c r="D340" i="3"/>
  <c r="F340" i="3"/>
  <c r="T340" i="3"/>
  <c r="AT338" i="3"/>
  <c r="AG339" i="3"/>
  <c r="X339" i="3"/>
  <c r="BA337" i="3"/>
  <c r="AY337" i="3"/>
  <c r="AH339" i="3"/>
  <c r="AN339" i="3"/>
  <c r="BM340" i="3" l="1"/>
  <c r="BC337" i="3"/>
  <c r="BD337" i="3" s="1"/>
  <c r="BD336" i="3"/>
  <c r="AY338" i="3"/>
  <c r="AG340" i="3"/>
  <c r="AN340" i="3"/>
  <c r="Y340" i="3"/>
  <c r="Z340" i="3" s="1"/>
  <c r="BQ337" i="3"/>
  <c r="BB337" i="3"/>
  <c r="BF337" i="3"/>
  <c r="BJ336" i="3" s="1"/>
  <c r="BK336" i="3" s="1"/>
  <c r="AT339" i="3"/>
  <c r="AX339" i="3"/>
  <c r="AV338" i="3"/>
  <c r="BA338" i="3"/>
  <c r="AR341" i="3"/>
  <c r="B341" i="3"/>
  <c r="A342" i="3"/>
  <c r="AQ341" i="3"/>
  <c r="AK341" i="3"/>
  <c r="T341" i="3"/>
  <c r="S341" i="3"/>
  <c r="AM341" i="3"/>
  <c r="R341" i="3"/>
  <c r="AD341" i="3"/>
  <c r="P341" i="3"/>
  <c r="Q341" i="3"/>
  <c r="O341" i="3"/>
  <c r="AE341" i="3"/>
  <c r="M341" i="3"/>
  <c r="AF341" i="3"/>
  <c r="U341" i="3"/>
  <c r="V341" i="3"/>
  <c r="C341" i="3"/>
  <c r="G341" i="3"/>
  <c r="H341" i="3" s="1"/>
  <c r="D341" i="3"/>
  <c r="F341" i="3"/>
  <c r="AU339" i="3"/>
  <c r="BN340" i="3"/>
  <c r="X340" i="3"/>
  <c r="AO340" i="3"/>
  <c r="AW339" i="3"/>
  <c r="AH340" i="3"/>
  <c r="BG337" i="3" l="1"/>
  <c r="BH337" i="3" s="1"/>
  <c r="BI337" i="3" s="1"/>
  <c r="BC338" i="3"/>
  <c r="BD338" i="3" s="1"/>
  <c r="AX340" i="3"/>
  <c r="BM341" i="3"/>
  <c r="AO341" i="3"/>
  <c r="AU340" i="3"/>
  <c r="AW340" i="3"/>
  <c r="AY339" i="3"/>
  <c r="BB338" i="3"/>
  <c r="BF338" i="3"/>
  <c r="BJ337" i="3" s="1"/>
  <c r="BK337" i="3" s="1"/>
  <c r="BQ338" i="3"/>
  <c r="BN341" i="3"/>
  <c r="AG341" i="3"/>
  <c r="AH341" i="3"/>
  <c r="AN341" i="3"/>
  <c r="Y341" i="3"/>
  <c r="Z341" i="3" s="1"/>
  <c r="AR342" i="3"/>
  <c r="B342" i="3"/>
  <c r="A343" i="3"/>
  <c r="AQ342" i="3"/>
  <c r="AM342" i="3"/>
  <c r="AK342" i="3"/>
  <c r="Q342" i="3"/>
  <c r="R342" i="3"/>
  <c r="AD342" i="3"/>
  <c r="O342" i="3"/>
  <c r="P342" i="3"/>
  <c r="AF342" i="3"/>
  <c r="AE342" i="3"/>
  <c r="M342" i="3"/>
  <c r="V342" i="3"/>
  <c r="U342" i="3"/>
  <c r="D342" i="3"/>
  <c r="F342" i="3"/>
  <c r="C342" i="3"/>
  <c r="G342" i="3"/>
  <c r="H342" i="3" s="1"/>
  <c r="T342" i="3"/>
  <c r="S342" i="3"/>
  <c r="BA339" i="3"/>
  <c r="AV339" i="3"/>
  <c r="AT340" i="3"/>
  <c r="X341" i="3"/>
  <c r="AY340" i="3" l="1"/>
  <c r="BC339" i="3"/>
  <c r="BD339" i="3" s="1"/>
  <c r="BG338" i="3"/>
  <c r="BH338" i="3" s="1"/>
  <c r="BI338" i="3" s="1"/>
  <c r="AG342" i="3"/>
  <c r="BA340" i="3"/>
  <c r="BQ340" i="3" s="1"/>
  <c r="AV340" i="3"/>
  <c r="AU341" i="3"/>
  <c r="AN342" i="3"/>
  <c r="AT341" i="3"/>
  <c r="Y342" i="3"/>
  <c r="Z342" i="3" s="1"/>
  <c r="X342" i="3"/>
  <c r="BN342" i="3"/>
  <c r="BM342" i="3"/>
  <c r="AO342" i="3"/>
  <c r="AX341" i="3"/>
  <c r="BF339" i="3"/>
  <c r="BJ338" i="3" s="1"/>
  <c r="BK338" i="3" s="1"/>
  <c r="BB339" i="3"/>
  <c r="BQ339" i="3"/>
  <c r="AQ343" i="3"/>
  <c r="AR343" i="3"/>
  <c r="B343" i="3"/>
  <c r="A344" i="3"/>
  <c r="D343" i="3"/>
  <c r="AK343" i="3"/>
  <c r="S343" i="3"/>
  <c r="Q343" i="3"/>
  <c r="AM343" i="3"/>
  <c r="T343" i="3"/>
  <c r="R343" i="3"/>
  <c r="AD343" i="3"/>
  <c r="P343" i="3"/>
  <c r="O343" i="3"/>
  <c r="AE343" i="3"/>
  <c r="V343" i="3"/>
  <c r="U343" i="3"/>
  <c r="AF343" i="3"/>
  <c r="M343" i="3"/>
  <c r="G343" i="3"/>
  <c r="H343" i="3" s="1"/>
  <c r="C343" i="3"/>
  <c r="F343" i="3"/>
  <c r="AH342" i="3"/>
  <c r="AW341" i="3"/>
  <c r="BC340" i="3" l="1"/>
  <c r="BD340" i="3" s="1"/>
  <c r="BG339" i="3"/>
  <c r="BH339" i="3" s="1"/>
  <c r="BI339" i="3" s="1"/>
  <c r="AV341" i="3"/>
  <c r="BF340" i="3"/>
  <c r="BJ339" i="3" s="1"/>
  <c r="BK339" i="3" s="1"/>
  <c r="BM343" i="3"/>
  <c r="BN343" i="3"/>
  <c r="BB340" i="3"/>
  <c r="AX342" i="3"/>
  <c r="AO343" i="3"/>
  <c r="AY341" i="3"/>
  <c r="Y343" i="3"/>
  <c r="Z343" i="3" s="1"/>
  <c r="AH343" i="3"/>
  <c r="AT342" i="3"/>
  <c r="AW342" i="3"/>
  <c r="X343" i="3"/>
  <c r="AG343" i="3"/>
  <c r="AN343" i="3"/>
  <c r="BA341" i="3"/>
  <c r="A345" i="3"/>
  <c r="B344" i="3"/>
  <c r="AR344" i="3"/>
  <c r="AQ344" i="3"/>
  <c r="C344" i="3"/>
  <c r="AM344" i="3"/>
  <c r="AK344" i="3"/>
  <c r="S344" i="3"/>
  <c r="T344" i="3"/>
  <c r="R344" i="3"/>
  <c r="Q344" i="3"/>
  <c r="AD344" i="3"/>
  <c r="P344" i="3"/>
  <c r="O344" i="3"/>
  <c r="M344" i="3"/>
  <c r="AF344" i="3"/>
  <c r="AE344" i="3"/>
  <c r="V344" i="3"/>
  <c r="U344" i="3"/>
  <c r="D344" i="3"/>
  <c r="G344" i="3"/>
  <c r="H344" i="3" s="1"/>
  <c r="F344" i="3"/>
  <c r="AU342" i="3"/>
  <c r="BC341" i="3" l="1"/>
  <c r="BD341" i="3" s="1"/>
  <c r="BG340" i="3"/>
  <c r="BH340" i="3" s="1"/>
  <c r="BI340" i="3" s="1"/>
  <c r="AY342" i="3"/>
  <c r="BM344" i="3"/>
  <c r="AN344" i="3"/>
  <c r="AW343" i="3"/>
  <c r="AU343" i="3"/>
  <c r="Y344" i="3"/>
  <c r="Z344" i="3" s="1"/>
  <c r="AR345" i="3"/>
  <c r="B345" i="3"/>
  <c r="AQ345" i="3"/>
  <c r="A346" i="3"/>
  <c r="D345" i="3"/>
  <c r="C345" i="3"/>
  <c r="AK345" i="3"/>
  <c r="AM345" i="3"/>
  <c r="T345" i="3"/>
  <c r="S345" i="3"/>
  <c r="Q345" i="3"/>
  <c r="AD345" i="3"/>
  <c r="P345" i="3"/>
  <c r="O345" i="3"/>
  <c r="M345" i="3"/>
  <c r="AE345" i="3"/>
  <c r="U345" i="3"/>
  <c r="AF345" i="3"/>
  <c r="V345" i="3"/>
  <c r="R345" i="3"/>
  <c r="F345" i="3"/>
  <c r="G345" i="3"/>
  <c r="H345" i="3" s="1"/>
  <c r="BF341" i="3"/>
  <c r="BJ340" i="3" s="1"/>
  <c r="BK340" i="3" s="1"/>
  <c r="BB341" i="3"/>
  <c r="BQ341" i="3"/>
  <c r="AV342" i="3"/>
  <c r="BA342" i="3"/>
  <c r="BN344" i="3"/>
  <c r="AG344" i="3"/>
  <c r="AO344" i="3"/>
  <c r="X344" i="3"/>
  <c r="AX343" i="3"/>
  <c r="AH344" i="3"/>
  <c r="AT343" i="3"/>
  <c r="BC342" i="3" l="1"/>
  <c r="BD342" i="3" s="1"/>
  <c r="BG341" i="3"/>
  <c r="BH341" i="3" s="1"/>
  <c r="BI341" i="3" s="1"/>
  <c r="AY343" i="3"/>
  <c r="BN345" i="3"/>
  <c r="AN345" i="3"/>
  <c r="AG345" i="3"/>
  <c r="AX344" i="3"/>
  <c r="AV343" i="3"/>
  <c r="BA343" i="3"/>
  <c r="BF342" i="3"/>
  <c r="BJ341" i="3" s="1"/>
  <c r="BK341" i="3" s="1"/>
  <c r="BB342" i="3"/>
  <c r="BQ342" i="3"/>
  <c r="Y345" i="3"/>
  <c r="Z345" i="3" s="1"/>
  <c r="AU344" i="3"/>
  <c r="AW344" i="3"/>
  <c r="BM345" i="3"/>
  <c r="AO345" i="3"/>
  <c r="AR346" i="3"/>
  <c r="B346" i="3"/>
  <c r="AQ346" i="3"/>
  <c r="A347" i="3"/>
  <c r="D346" i="3"/>
  <c r="T346" i="3"/>
  <c r="AM346" i="3"/>
  <c r="AK346" i="3"/>
  <c r="R346" i="3"/>
  <c r="Q346" i="3"/>
  <c r="AD346" i="3"/>
  <c r="P346" i="3"/>
  <c r="S346" i="3"/>
  <c r="O346" i="3"/>
  <c r="M346" i="3"/>
  <c r="AE346" i="3"/>
  <c r="AF346" i="3"/>
  <c r="U346" i="3"/>
  <c r="V346" i="3"/>
  <c r="C346" i="3"/>
  <c r="G346" i="3"/>
  <c r="H346" i="3" s="1"/>
  <c r="F346" i="3"/>
  <c r="AT344" i="3"/>
  <c r="AH345" i="3"/>
  <c r="X345" i="3"/>
  <c r="BN346" i="3" l="1"/>
  <c r="BG342" i="3"/>
  <c r="BH342" i="3" s="1"/>
  <c r="BI342" i="3" s="1"/>
  <c r="BM346" i="3"/>
  <c r="BC343" i="3"/>
  <c r="BG343" i="3" s="1"/>
  <c r="BH343" i="3" s="1"/>
  <c r="BI343" i="3" s="1"/>
  <c r="AY344" i="3"/>
  <c r="AX345" i="3"/>
  <c r="AG346" i="3"/>
  <c r="AO346" i="3"/>
  <c r="AV344" i="3"/>
  <c r="BA344" i="3"/>
  <c r="Y346" i="3"/>
  <c r="Z346" i="3" s="1"/>
  <c r="AH346" i="3"/>
  <c r="AN346" i="3"/>
  <c r="AU345" i="3"/>
  <c r="AQ347" i="3"/>
  <c r="B347" i="3"/>
  <c r="A348" i="3"/>
  <c r="AR347" i="3"/>
  <c r="AM347" i="3"/>
  <c r="AK347" i="3"/>
  <c r="S347" i="3"/>
  <c r="R347" i="3"/>
  <c r="Q347" i="3"/>
  <c r="P347" i="3"/>
  <c r="AD347" i="3"/>
  <c r="O347" i="3"/>
  <c r="M347" i="3"/>
  <c r="AE347" i="3"/>
  <c r="V347" i="3"/>
  <c r="U347" i="3"/>
  <c r="AF347" i="3"/>
  <c r="D347" i="3"/>
  <c r="C347" i="3"/>
  <c r="G347" i="3"/>
  <c r="H347" i="3" s="1"/>
  <c r="F347" i="3"/>
  <c r="T347" i="3"/>
  <c r="BQ343" i="3"/>
  <c r="BB343" i="3"/>
  <c r="BF343" i="3"/>
  <c r="BJ342" i="3" s="1"/>
  <c r="BK342" i="3" s="1"/>
  <c r="X346" i="3"/>
  <c r="AT345" i="3"/>
  <c r="AW345" i="3"/>
  <c r="BD343" i="3" l="1"/>
  <c r="BN347" i="3"/>
  <c r="BM347" i="3"/>
  <c r="BC344" i="3"/>
  <c r="BG344" i="3" s="1"/>
  <c r="BH344" i="3" s="1"/>
  <c r="BI344" i="3" s="1"/>
  <c r="AY345" i="3"/>
  <c r="AO347" i="3"/>
  <c r="AU346" i="3"/>
  <c r="AX346" i="3"/>
  <c r="AG347" i="3"/>
  <c r="BA345" i="3"/>
  <c r="AV345" i="3"/>
  <c r="A349" i="3"/>
  <c r="B348" i="3"/>
  <c r="AR348" i="3"/>
  <c r="AQ348" i="3"/>
  <c r="AM348" i="3"/>
  <c r="S348" i="3"/>
  <c r="D348" i="3"/>
  <c r="AK348" i="3"/>
  <c r="T348" i="3"/>
  <c r="Q348" i="3"/>
  <c r="AD348" i="3"/>
  <c r="P348" i="3"/>
  <c r="AE348" i="3"/>
  <c r="O348" i="3"/>
  <c r="AF348" i="3"/>
  <c r="V348" i="3"/>
  <c r="M348" i="3"/>
  <c r="U348" i="3"/>
  <c r="R348" i="3"/>
  <c r="F348" i="3"/>
  <c r="C348" i="3"/>
  <c r="G348" i="3"/>
  <c r="H348" i="3" s="1"/>
  <c r="X347" i="3"/>
  <c r="AH347" i="3"/>
  <c r="AN347" i="3"/>
  <c r="AT346" i="3"/>
  <c r="AW346" i="3"/>
  <c r="BQ344" i="3"/>
  <c r="BB344" i="3"/>
  <c r="BF344" i="3"/>
  <c r="BJ343" i="3" s="1"/>
  <c r="BK343" i="3" s="1"/>
  <c r="Y347" i="3"/>
  <c r="Z347" i="3" s="1"/>
  <c r="AU347" i="3" l="1"/>
  <c r="BC345" i="3"/>
  <c r="BD345" i="3" s="1"/>
  <c r="BD344" i="3"/>
  <c r="BN348" i="3"/>
  <c r="BM348" i="3"/>
  <c r="AY346" i="3"/>
  <c r="AW347" i="3"/>
  <c r="AO348" i="3"/>
  <c r="BA346" i="3"/>
  <c r="BQ346" i="3" s="1"/>
  <c r="AT347" i="3"/>
  <c r="AX347" i="3"/>
  <c r="Y348" i="3"/>
  <c r="Z348" i="3" s="1"/>
  <c r="AR349" i="3"/>
  <c r="B349" i="3"/>
  <c r="AQ349" i="3"/>
  <c r="A350" i="3"/>
  <c r="C349" i="3"/>
  <c r="AK349" i="3"/>
  <c r="S349" i="3"/>
  <c r="AM349" i="3"/>
  <c r="R349" i="3"/>
  <c r="AD349" i="3"/>
  <c r="Q349" i="3"/>
  <c r="P349" i="3"/>
  <c r="O349" i="3"/>
  <c r="AE349" i="3"/>
  <c r="M349" i="3"/>
  <c r="AF349" i="3"/>
  <c r="V349" i="3"/>
  <c r="U349" i="3"/>
  <c r="F349" i="3"/>
  <c r="D349" i="3"/>
  <c r="G349" i="3"/>
  <c r="H349" i="3" s="1"/>
  <c r="T349" i="3"/>
  <c r="BF345" i="3"/>
  <c r="BJ344" i="3" s="1"/>
  <c r="BK344" i="3" s="1"/>
  <c r="BQ345" i="3"/>
  <c r="BB345" i="3"/>
  <c r="AV346" i="3"/>
  <c r="X348" i="3"/>
  <c r="AG348" i="3"/>
  <c r="AH348" i="3"/>
  <c r="AN348" i="3"/>
  <c r="BC346" i="3" l="1"/>
  <c r="BD346" i="3" s="1"/>
  <c r="BM349" i="3"/>
  <c r="BG345" i="3"/>
  <c r="BH345" i="3" s="1"/>
  <c r="BI345" i="3" s="1"/>
  <c r="AN349" i="3"/>
  <c r="AY347" i="3"/>
  <c r="BN349" i="3"/>
  <c r="AU348" i="3"/>
  <c r="AX348" i="3"/>
  <c r="BB346" i="3"/>
  <c r="BF346" i="3"/>
  <c r="BJ345" i="3" s="1"/>
  <c r="BK345" i="3" s="1"/>
  <c r="AR350" i="3"/>
  <c r="B350" i="3"/>
  <c r="AQ350" i="3"/>
  <c r="A351" i="3"/>
  <c r="D350" i="3"/>
  <c r="AM350" i="3"/>
  <c r="R350" i="3"/>
  <c r="AK350" i="3"/>
  <c r="Q350" i="3"/>
  <c r="P350" i="3"/>
  <c r="AD350" i="3"/>
  <c r="M350" i="3"/>
  <c r="AF350" i="3"/>
  <c r="AE350" i="3"/>
  <c r="U350" i="3"/>
  <c r="O350" i="3"/>
  <c r="V350" i="3"/>
  <c r="G350" i="3"/>
  <c r="H350" i="3" s="1"/>
  <c r="C350" i="3"/>
  <c r="F350" i="3"/>
  <c r="T350" i="3"/>
  <c r="S350" i="3"/>
  <c r="AW348" i="3"/>
  <c r="Y349" i="3"/>
  <c r="Z349" i="3" s="1"/>
  <c r="AG349" i="3"/>
  <c r="AH349" i="3"/>
  <c r="AO349" i="3"/>
  <c r="AV347" i="3"/>
  <c r="BA347" i="3"/>
  <c r="AT348" i="3"/>
  <c r="X349" i="3"/>
  <c r="BG346" i="3" l="1"/>
  <c r="BH346" i="3" s="1"/>
  <c r="BI346" i="3" s="1"/>
  <c r="AO350" i="3"/>
  <c r="BC347" i="3"/>
  <c r="BG347" i="3" s="1"/>
  <c r="BH347" i="3" s="1"/>
  <c r="BI347" i="3" s="1"/>
  <c r="BM350" i="3"/>
  <c r="BN350" i="3"/>
  <c r="AY348" i="3"/>
  <c r="AX349" i="3"/>
  <c r="AG350" i="3"/>
  <c r="AV348" i="3"/>
  <c r="BA348" i="3"/>
  <c r="AU349" i="3"/>
  <c r="AW349" i="3"/>
  <c r="AT349" i="3"/>
  <c r="Y350" i="3"/>
  <c r="Z350" i="3" s="1"/>
  <c r="AH350" i="3"/>
  <c r="BB347" i="3"/>
  <c r="BQ347" i="3"/>
  <c r="BF347" i="3"/>
  <c r="BJ346" i="3" s="1"/>
  <c r="BK346" i="3" s="1"/>
  <c r="AQ351" i="3"/>
  <c r="B351" i="3"/>
  <c r="A352" i="3"/>
  <c r="AR351" i="3"/>
  <c r="D351" i="3"/>
  <c r="AM351" i="3"/>
  <c r="AK351" i="3"/>
  <c r="Q351" i="3"/>
  <c r="S351" i="3"/>
  <c r="AD351" i="3"/>
  <c r="AE351" i="3"/>
  <c r="M351" i="3"/>
  <c r="U351" i="3"/>
  <c r="V351" i="3"/>
  <c r="P351" i="3"/>
  <c r="O351" i="3"/>
  <c r="AF351" i="3"/>
  <c r="R351" i="3"/>
  <c r="C351" i="3"/>
  <c r="F351" i="3"/>
  <c r="G351" i="3"/>
  <c r="H351" i="3" s="1"/>
  <c r="BN351" i="3" s="1"/>
  <c r="T351" i="3"/>
  <c r="X350" i="3"/>
  <c r="AN350" i="3"/>
  <c r="BD347" i="3" l="1"/>
  <c r="AU350" i="3"/>
  <c r="BM351" i="3"/>
  <c r="BC348" i="3"/>
  <c r="BD348" i="3" s="1"/>
  <c r="AW350" i="3"/>
  <c r="AY349" i="3"/>
  <c r="AT350" i="3"/>
  <c r="AN351" i="3"/>
  <c r="Y351" i="3"/>
  <c r="Z351" i="3" s="1"/>
  <c r="AH351" i="3"/>
  <c r="A353" i="3"/>
  <c r="B352" i="3"/>
  <c r="AR352" i="3"/>
  <c r="AQ352" i="3"/>
  <c r="AM352" i="3"/>
  <c r="S352" i="3"/>
  <c r="AK352" i="3"/>
  <c r="C352" i="3"/>
  <c r="R352" i="3"/>
  <c r="Q352" i="3"/>
  <c r="AD352" i="3"/>
  <c r="P352" i="3"/>
  <c r="M352" i="3"/>
  <c r="AF352" i="3"/>
  <c r="V352" i="3"/>
  <c r="O352" i="3"/>
  <c r="AE352" i="3"/>
  <c r="U352" i="3"/>
  <c r="G352" i="3"/>
  <c r="H352" i="3" s="1"/>
  <c r="F352" i="3"/>
  <c r="D352" i="3"/>
  <c r="T352" i="3"/>
  <c r="AV349" i="3"/>
  <c r="BA349" i="3"/>
  <c r="X351" i="3"/>
  <c r="AG351" i="3"/>
  <c r="AO351" i="3"/>
  <c r="AX350" i="3"/>
  <c r="BB348" i="3"/>
  <c r="BQ348" i="3"/>
  <c r="BF348" i="3"/>
  <c r="BJ347" i="3" s="1"/>
  <c r="BK347" i="3" s="1"/>
  <c r="BM352" i="3" l="1"/>
  <c r="AO352" i="3"/>
  <c r="AV350" i="3"/>
  <c r="BC349" i="3"/>
  <c r="BD349" i="3" s="1"/>
  <c r="BG348" i="3"/>
  <c r="BH348" i="3" s="1"/>
  <c r="BI348" i="3" s="1"/>
  <c r="AY350" i="3"/>
  <c r="AG352" i="3"/>
  <c r="AU351" i="3"/>
  <c r="AX351" i="3"/>
  <c r="BA350" i="3"/>
  <c r="BQ350" i="3" s="1"/>
  <c r="BF349" i="3"/>
  <c r="BJ348" i="3" s="1"/>
  <c r="BK348" i="3" s="1"/>
  <c r="BB349" i="3"/>
  <c r="BQ349" i="3"/>
  <c r="BN352" i="3"/>
  <c r="AH352" i="3"/>
  <c r="AW351" i="3"/>
  <c r="AT351" i="3"/>
  <c r="Y352" i="3"/>
  <c r="Z352" i="3" s="1"/>
  <c r="X352" i="3"/>
  <c r="AR353" i="3"/>
  <c r="B353" i="3"/>
  <c r="AQ353" i="3"/>
  <c r="A354" i="3"/>
  <c r="AM353" i="3"/>
  <c r="AK353" i="3"/>
  <c r="R353" i="3"/>
  <c r="T353" i="3"/>
  <c r="AD353" i="3"/>
  <c r="S353" i="3"/>
  <c r="Q353" i="3"/>
  <c r="P353" i="3"/>
  <c r="O353" i="3"/>
  <c r="M353" i="3"/>
  <c r="V353" i="3"/>
  <c r="U353" i="3"/>
  <c r="AF353" i="3"/>
  <c r="AE353" i="3"/>
  <c r="D353" i="3"/>
  <c r="G353" i="3"/>
  <c r="H353" i="3" s="1"/>
  <c r="F353" i="3"/>
  <c r="C353" i="3"/>
  <c r="AN352" i="3"/>
  <c r="BC350" i="3" l="1"/>
  <c r="BD350" i="3" s="1"/>
  <c r="BG349" i="3"/>
  <c r="BH349" i="3" s="1"/>
  <c r="BI349" i="3" s="1"/>
  <c r="AU352" i="3"/>
  <c r="BM353" i="3"/>
  <c r="AN353" i="3"/>
  <c r="AY351" i="3"/>
  <c r="AW352" i="3"/>
  <c r="AT352" i="3"/>
  <c r="BF350" i="3"/>
  <c r="BJ349" i="3" s="1"/>
  <c r="BK349" i="3" s="1"/>
  <c r="BB350" i="3"/>
  <c r="Y353" i="3"/>
  <c r="Z353" i="3" s="1"/>
  <c r="AR354" i="3"/>
  <c r="B354" i="3"/>
  <c r="AQ354" i="3"/>
  <c r="A355" i="3"/>
  <c r="D354" i="3"/>
  <c r="C354" i="3"/>
  <c r="R354" i="3"/>
  <c r="AM354" i="3"/>
  <c r="AK354" i="3"/>
  <c r="S354" i="3"/>
  <c r="Q354" i="3"/>
  <c r="AD354" i="3"/>
  <c r="P354" i="3"/>
  <c r="M354" i="3"/>
  <c r="AE354" i="3"/>
  <c r="V354" i="3"/>
  <c r="O354" i="3"/>
  <c r="AF354" i="3"/>
  <c r="U354" i="3"/>
  <c r="F354" i="3"/>
  <c r="G354" i="3"/>
  <c r="H354" i="3" s="1"/>
  <c r="BN354" i="3" s="1"/>
  <c r="T354" i="3"/>
  <c r="AV351" i="3"/>
  <c r="BA351" i="3"/>
  <c r="X353" i="3"/>
  <c r="BN353" i="3"/>
  <c r="AG353" i="3"/>
  <c r="AO353" i="3"/>
  <c r="AX352" i="3"/>
  <c r="AH353" i="3"/>
  <c r="BG350" i="3" l="1"/>
  <c r="BH350" i="3" s="1"/>
  <c r="BI350" i="3" s="1"/>
  <c r="BM354" i="3"/>
  <c r="AV352" i="3"/>
  <c r="BA352" i="3"/>
  <c r="BF352" i="3" s="1"/>
  <c r="BC351" i="3"/>
  <c r="BD351" i="3" s="1"/>
  <c r="AG354" i="3"/>
  <c r="AX353" i="3"/>
  <c r="AO354" i="3"/>
  <c r="BB351" i="3"/>
  <c r="BQ351" i="3"/>
  <c r="BF351" i="3"/>
  <c r="BJ350" i="3" s="1"/>
  <c r="BK350" i="3" s="1"/>
  <c r="AQ355" i="3"/>
  <c r="B355" i="3"/>
  <c r="A356" i="3"/>
  <c r="AR355" i="3"/>
  <c r="D355" i="3"/>
  <c r="AM355" i="3"/>
  <c r="T355" i="3"/>
  <c r="AK355" i="3"/>
  <c r="S355" i="3"/>
  <c r="Q355" i="3"/>
  <c r="R355" i="3"/>
  <c r="AD355" i="3"/>
  <c r="P355" i="3"/>
  <c r="M355" i="3"/>
  <c r="AF355" i="3"/>
  <c r="V355" i="3"/>
  <c r="O355" i="3"/>
  <c r="AE355" i="3"/>
  <c r="U355" i="3"/>
  <c r="F355" i="3"/>
  <c r="G355" i="3"/>
  <c r="H355" i="3" s="1"/>
  <c r="C355" i="3"/>
  <c r="AW353" i="3"/>
  <c r="AY352" i="3"/>
  <c r="AT353" i="3"/>
  <c r="AU353" i="3"/>
  <c r="Y354" i="3"/>
  <c r="Z354" i="3" s="1"/>
  <c r="AH354" i="3"/>
  <c r="AN354" i="3"/>
  <c r="X354" i="3"/>
  <c r="BC352" i="3" l="1"/>
  <c r="BG352" i="3" s="1"/>
  <c r="BH352" i="3" s="1"/>
  <c r="BI352" i="3" s="1"/>
  <c r="BN355" i="3"/>
  <c r="AO355" i="3"/>
  <c r="AT354" i="3"/>
  <c r="AG355" i="3"/>
  <c r="BB352" i="3"/>
  <c r="BQ352" i="3"/>
  <c r="AY353" i="3"/>
  <c r="BG351" i="3"/>
  <c r="BH351" i="3" s="1"/>
  <c r="BI351" i="3" s="1"/>
  <c r="X355" i="3"/>
  <c r="Y355" i="3"/>
  <c r="Z355" i="3" s="1"/>
  <c r="A357" i="3"/>
  <c r="B356" i="3"/>
  <c r="AR356" i="3"/>
  <c r="AQ356" i="3"/>
  <c r="AK356" i="3"/>
  <c r="T356" i="3"/>
  <c r="AM356" i="3"/>
  <c r="S356" i="3"/>
  <c r="R356" i="3"/>
  <c r="AD356" i="3"/>
  <c r="P356" i="3"/>
  <c r="O356" i="3"/>
  <c r="AE356" i="3"/>
  <c r="V356" i="3"/>
  <c r="AF356" i="3"/>
  <c r="M356" i="3"/>
  <c r="U356" i="3"/>
  <c r="D356" i="3"/>
  <c r="C356" i="3"/>
  <c r="Q356" i="3"/>
  <c r="F356" i="3"/>
  <c r="G356" i="3"/>
  <c r="H356" i="3" s="1"/>
  <c r="AH355" i="3"/>
  <c r="AN355" i="3"/>
  <c r="AX354" i="3"/>
  <c r="AW354" i="3"/>
  <c r="BJ351" i="3"/>
  <c r="BK351" i="3" s="1"/>
  <c r="AV353" i="3"/>
  <c r="BA353" i="3"/>
  <c r="BM355" i="3"/>
  <c r="AU354" i="3"/>
  <c r="BN356" i="3" l="1"/>
  <c r="BD352" i="3"/>
  <c r="BM356" i="3"/>
  <c r="AN356" i="3"/>
  <c r="BC353" i="3"/>
  <c r="BG353" i="3" s="1"/>
  <c r="BH353" i="3" s="1"/>
  <c r="BI353" i="3" s="1"/>
  <c r="AX355" i="3"/>
  <c r="AT355" i="3"/>
  <c r="AU355" i="3"/>
  <c r="AH356" i="3"/>
  <c r="BA354" i="3"/>
  <c r="BB354" i="3" s="1"/>
  <c r="BB353" i="3"/>
  <c r="BQ353" i="3"/>
  <c r="BF353" i="3"/>
  <c r="BJ352" i="3" s="1"/>
  <c r="BK352" i="3" s="1"/>
  <c r="AR357" i="3"/>
  <c r="B357" i="3"/>
  <c r="AQ357" i="3"/>
  <c r="A358" i="3"/>
  <c r="AM357" i="3"/>
  <c r="S357" i="3"/>
  <c r="R357" i="3"/>
  <c r="Q357" i="3"/>
  <c r="C357" i="3"/>
  <c r="AK357" i="3"/>
  <c r="AD357" i="3"/>
  <c r="P357" i="3"/>
  <c r="O357" i="3"/>
  <c r="AE357" i="3"/>
  <c r="AF357" i="3"/>
  <c r="U357" i="3"/>
  <c r="V357" i="3"/>
  <c r="M357" i="3"/>
  <c r="G357" i="3"/>
  <c r="H357" i="3" s="1"/>
  <c r="F357" i="3"/>
  <c r="D357" i="3"/>
  <c r="T357" i="3"/>
  <c r="AY354" i="3"/>
  <c r="AW355" i="3"/>
  <c r="X356" i="3"/>
  <c r="AG356" i="3"/>
  <c r="AO356" i="3"/>
  <c r="AV354" i="3"/>
  <c r="Y356" i="3"/>
  <c r="Z356" i="3" s="1"/>
  <c r="BD353" i="3" l="1"/>
  <c r="BM357" i="3"/>
  <c r="AY355" i="3"/>
  <c r="AG357" i="3"/>
  <c r="AV355" i="3"/>
  <c r="AW356" i="3"/>
  <c r="AO357" i="3"/>
  <c r="AX356" i="3"/>
  <c r="BF354" i="3"/>
  <c r="BJ353" i="3" s="1"/>
  <c r="BK353" i="3" s="1"/>
  <c r="AT356" i="3"/>
  <c r="BQ354" i="3"/>
  <c r="Y357" i="3"/>
  <c r="Z357" i="3" s="1"/>
  <c r="AU356" i="3"/>
  <c r="BA355" i="3"/>
  <c r="BC354" i="3"/>
  <c r="BN357" i="3"/>
  <c r="AH357" i="3"/>
  <c r="X357" i="3"/>
  <c r="AN357" i="3"/>
  <c r="AR358" i="3"/>
  <c r="B358" i="3"/>
  <c r="AQ358" i="3"/>
  <c r="A359" i="3"/>
  <c r="C358" i="3"/>
  <c r="AK358" i="3"/>
  <c r="S358" i="3"/>
  <c r="AM358" i="3"/>
  <c r="T358" i="3"/>
  <c r="AD358" i="3"/>
  <c r="R358" i="3"/>
  <c r="P358" i="3"/>
  <c r="O358" i="3"/>
  <c r="AE358" i="3"/>
  <c r="M358" i="3"/>
  <c r="V358" i="3"/>
  <c r="AF358" i="3"/>
  <c r="U358" i="3"/>
  <c r="Q358" i="3"/>
  <c r="D358" i="3"/>
  <c r="F358" i="3"/>
  <c r="G358" i="3"/>
  <c r="H358" i="3" s="1"/>
  <c r="BM358" i="3" l="1"/>
  <c r="BN358" i="3"/>
  <c r="AY356" i="3"/>
  <c r="BC355" i="3"/>
  <c r="BD355" i="3" s="1"/>
  <c r="AN358" i="3"/>
  <c r="AG358" i="3"/>
  <c r="AV356" i="3"/>
  <c r="AW357" i="3"/>
  <c r="AX357" i="3"/>
  <c r="AU357" i="3"/>
  <c r="BA356" i="3"/>
  <c r="BQ356" i="3" s="1"/>
  <c r="AT357" i="3"/>
  <c r="Y358" i="3"/>
  <c r="Z358" i="3" s="1"/>
  <c r="BB355" i="3"/>
  <c r="BQ355" i="3"/>
  <c r="BF355" i="3"/>
  <c r="BJ354" i="3" s="1"/>
  <c r="BK354" i="3" s="1"/>
  <c r="X358" i="3"/>
  <c r="AQ359" i="3"/>
  <c r="B359" i="3"/>
  <c r="A360" i="3"/>
  <c r="AR359" i="3"/>
  <c r="C359" i="3"/>
  <c r="AK359" i="3"/>
  <c r="S359" i="3"/>
  <c r="AM359" i="3"/>
  <c r="R359" i="3"/>
  <c r="Q359" i="3"/>
  <c r="P359" i="3"/>
  <c r="AD359" i="3"/>
  <c r="M359" i="3"/>
  <c r="AF359" i="3"/>
  <c r="AE359" i="3"/>
  <c r="O359" i="3"/>
  <c r="V359" i="3"/>
  <c r="U359" i="3"/>
  <c r="G359" i="3"/>
  <c r="H359" i="3" s="1"/>
  <c r="D359" i="3"/>
  <c r="F359" i="3"/>
  <c r="T359" i="3"/>
  <c r="BD354" i="3"/>
  <c r="BG354" i="3"/>
  <c r="BH354" i="3" s="1"/>
  <c r="BI354" i="3" s="1"/>
  <c r="AH358" i="3"/>
  <c r="AO358" i="3"/>
  <c r="BM359" i="3" l="1"/>
  <c r="BC356" i="3"/>
  <c r="BG356" i="3" s="1"/>
  <c r="BH356" i="3" s="1"/>
  <c r="BI356" i="3" s="1"/>
  <c r="AN359" i="3"/>
  <c r="BG355" i="3"/>
  <c r="BH355" i="3" s="1"/>
  <c r="BI355" i="3" s="1"/>
  <c r="AV357" i="3"/>
  <c r="BN359" i="3"/>
  <c r="BB356" i="3"/>
  <c r="AY357" i="3"/>
  <c r="BF356" i="3"/>
  <c r="BJ355" i="3" s="1"/>
  <c r="BK355" i="3" s="1"/>
  <c r="BA357" i="3"/>
  <c r="BF357" i="3" s="1"/>
  <c r="AG359" i="3"/>
  <c r="AW358" i="3"/>
  <c r="AX358" i="3"/>
  <c r="Y359" i="3"/>
  <c r="Z359" i="3" s="1"/>
  <c r="AH359" i="3"/>
  <c r="AO359" i="3"/>
  <c r="AT358" i="3"/>
  <c r="A361" i="3"/>
  <c r="B360" i="3"/>
  <c r="AR360" i="3"/>
  <c r="AQ360" i="3"/>
  <c r="C360" i="3"/>
  <c r="AK360" i="3"/>
  <c r="R360" i="3"/>
  <c r="AM360" i="3"/>
  <c r="Q360" i="3"/>
  <c r="P360" i="3"/>
  <c r="S360" i="3"/>
  <c r="AD360" i="3"/>
  <c r="O360" i="3"/>
  <c r="M360" i="3"/>
  <c r="AE360" i="3"/>
  <c r="AF360" i="3"/>
  <c r="U360" i="3"/>
  <c r="V360" i="3"/>
  <c r="D360" i="3"/>
  <c r="G360" i="3"/>
  <c r="H360" i="3" s="1"/>
  <c r="F360" i="3"/>
  <c r="T360" i="3"/>
  <c r="X359" i="3"/>
  <c r="AU358" i="3"/>
  <c r="BM360" i="3" l="1"/>
  <c r="BD356" i="3"/>
  <c r="AU359" i="3"/>
  <c r="BC357" i="3"/>
  <c r="BD357" i="3" s="1"/>
  <c r="AN360" i="3"/>
  <c r="BN360" i="3"/>
  <c r="BB357" i="3"/>
  <c r="Y360" i="3"/>
  <c r="Z360" i="3" s="1"/>
  <c r="BJ356" i="3"/>
  <c r="BK356" i="3" s="1"/>
  <c r="AT359" i="3"/>
  <c r="BQ357" i="3"/>
  <c r="AW359" i="3"/>
  <c r="AY358" i="3"/>
  <c r="AG360" i="3"/>
  <c r="AR361" i="3"/>
  <c r="B361" i="3"/>
  <c r="AQ361" i="3"/>
  <c r="A362" i="3"/>
  <c r="AK361" i="3"/>
  <c r="S361" i="3"/>
  <c r="R361" i="3"/>
  <c r="Q361" i="3"/>
  <c r="AM361" i="3"/>
  <c r="AD361" i="3"/>
  <c r="P361" i="3"/>
  <c r="AF361" i="3"/>
  <c r="V361" i="3"/>
  <c r="O361" i="3"/>
  <c r="M361" i="3"/>
  <c r="AE361" i="3"/>
  <c r="U361" i="3"/>
  <c r="C361" i="3"/>
  <c r="G361" i="3"/>
  <c r="H361" i="3" s="1"/>
  <c r="F361" i="3"/>
  <c r="D361" i="3"/>
  <c r="T361" i="3"/>
  <c r="BA358" i="3"/>
  <c r="AV358" i="3"/>
  <c r="X360" i="3"/>
  <c r="AH360" i="3"/>
  <c r="AO360" i="3"/>
  <c r="AX359" i="3"/>
  <c r="BM361" i="3" l="1"/>
  <c r="BC358" i="3"/>
  <c r="BD358" i="3" s="1"/>
  <c r="BG357" i="3"/>
  <c r="BH357" i="3" s="1"/>
  <c r="BI357" i="3" s="1"/>
  <c r="AV359" i="3"/>
  <c r="AN361" i="3"/>
  <c r="AG361" i="3"/>
  <c r="AY359" i="3"/>
  <c r="Y361" i="3"/>
  <c r="Z361" i="3" s="1"/>
  <c r="AX360" i="3"/>
  <c r="BA359" i="3"/>
  <c r="BF359" i="3" s="1"/>
  <c r="BQ358" i="3"/>
  <c r="BB358" i="3"/>
  <c r="BF358" i="3"/>
  <c r="BJ357" i="3" s="1"/>
  <c r="BK357" i="3" s="1"/>
  <c r="X361" i="3"/>
  <c r="AT360" i="3"/>
  <c r="AW360" i="3"/>
  <c r="BN361" i="3"/>
  <c r="AO361" i="3"/>
  <c r="AR362" i="3"/>
  <c r="B362" i="3"/>
  <c r="AQ362" i="3"/>
  <c r="A363" i="3"/>
  <c r="AK362" i="3"/>
  <c r="AM362" i="3"/>
  <c r="R362" i="3"/>
  <c r="D362" i="3"/>
  <c r="S362" i="3"/>
  <c r="Q362" i="3"/>
  <c r="AD362" i="3"/>
  <c r="P362" i="3"/>
  <c r="M362" i="3"/>
  <c r="O362" i="3"/>
  <c r="AE362" i="3"/>
  <c r="V362" i="3"/>
  <c r="AF362" i="3"/>
  <c r="U362" i="3"/>
  <c r="C362" i="3"/>
  <c r="F362" i="3"/>
  <c r="G362" i="3"/>
  <c r="H362" i="3" s="1"/>
  <c r="T362" i="3"/>
  <c r="AU360" i="3"/>
  <c r="AH361" i="3"/>
  <c r="BG358" i="3" l="1"/>
  <c r="BH358" i="3" s="1"/>
  <c r="BI358" i="3" s="1"/>
  <c r="AY360" i="3"/>
  <c r="BC359" i="3"/>
  <c r="BD359" i="3" s="1"/>
  <c r="BQ359" i="3"/>
  <c r="AX361" i="3"/>
  <c r="BN362" i="3"/>
  <c r="BJ358" i="3"/>
  <c r="BK358" i="3" s="1"/>
  <c r="AO362" i="3"/>
  <c r="BB359" i="3"/>
  <c r="AV360" i="3"/>
  <c r="X362" i="3"/>
  <c r="AQ363" i="3"/>
  <c r="B363" i="3"/>
  <c r="A364" i="3"/>
  <c r="AR363" i="3"/>
  <c r="D363" i="3"/>
  <c r="AK363" i="3"/>
  <c r="R363" i="3"/>
  <c r="AM363" i="3"/>
  <c r="T363" i="3"/>
  <c r="AD363" i="3"/>
  <c r="Q363" i="3"/>
  <c r="O363" i="3"/>
  <c r="AE363" i="3"/>
  <c r="V363" i="3"/>
  <c r="U363" i="3"/>
  <c r="M363" i="3"/>
  <c r="AF363" i="3"/>
  <c r="G363" i="3"/>
  <c r="H363" i="3" s="1"/>
  <c r="F363" i="3"/>
  <c r="C363" i="3"/>
  <c r="S363" i="3"/>
  <c r="P363" i="3"/>
  <c r="AG362" i="3"/>
  <c r="AH362" i="3"/>
  <c r="AW361" i="3"/>
  <c r="Y362" i="3"/>
  <c r="Z362" i="3" s="1"/>
  <c r="BM362" i="3"/>
  <c r="AN362" i="3"/>
  <c r="AU361" i="3"/>
  <c r="AT361" i="3"/>
  <c r="BA360" i="3"/>
  <c r="BC360" i="3" l="1"/>
  <c r="BG360" i="3" s="1"/>
  <c r="BH360" i="3" s="1"/>
  <c r="BI360" i="3" s="1"/>
  <c r="BG359" i="3"/>
  <c r="BH359" i="3" s="1"/>
  <c r="BI359" i="3" s="1"/>
  <c r="AN363" i="3"/>
  <c r="AY361" i="3"/>
  <c r="BN363" i="3"/>
  <c r="AU362" i="3"/>
  <c r="Y363" i="3"/>
  <c r="Z363" i="3" s="1"/>
  <c r="AV361" i="3"/>
  <c r="BA361" i="3"/>
  <c r="BB360" i="3"/>
  <c r="BQ360" i="3"/>
  <c r="BF360" i="3"/>
  <c r="BJ359" i="3" s="1"/>
  <c r="BK359" i="3" s="1"/>
  <c r="A365" i="3"/>
  <c r="B364" i="3"/>
  <c r="AR364" i="3"/>
  <c r="AQ364" i="3"/>
  <c r="D364" i="3"/>
  <c r="C364" i="3"/>
  <c r="R364" i="3"/>
  <c r="Q364" i="3"/>
  <c r="AM364" i="3"/>
  <c r="AK364" i="3"/>
  <c r="S364" i="3"/>
  <c r="AD364" i="3"/>
  <c r="M364" i="3"/>
  <c r="V364" i="3"/>
  <c r="U364" i="3"/>
  <c r="P364" i="3"/>
  <c r="O364" i="3"/>
  <c r="AE364" i="3"/>
  <c r="AF364" i="3"/>
  <c r="G364" i="3"/>
  <c r="H364" i="3" s="1"/>
  <c r="F364" i="3"/>
  <c r="T364" i="3"/>
  <c r="AT362" i="3"/>
  <c r="AW362" i="3"/>
  <c r="X363" i="3"/>
  <c r="BM363" i="3"/>
  <c r="AG363" i="3"/>
  <c r="AX362" i="3"/>
  <c r="AH363" i="3"/>
  <c r="AO363" i="3"/>
  <c r="BD360" i="3" l="1"/>
  <c r="BC361" i="3"/>
  <c r="BG361" i="3" s="1"/>
  <c r="BH361" i="3" s="1"/>
  <c r="BI361" i="3" s="1"/>
  <c r="BN364" i="3"/>
  <c r="Y364" i="3"/>
  <c r="Z364" i="3" s="1"/>
  <c r="AV362" i="3"/>
  <c r="BM364" i="3"/>
  <c r="AN364" i="3"/>
  <c r="AR365" i="3"/>
  <c r="B365" i="3"/>
  <c r="AQ365" i="3"/>
  <c r="A366" i="3"/>
  <c r="AM365" i="3"/>
  <c r="T365" i="3"/>
  <c r="AK365" i="3"/>
  <c r="Q365" i="3"/>
  <c r="P365" i="3"/>
  <c r="S365" i="3"/>
  <c r="R365" i="3"/>
  <c r="AD365" i="3"/>
  <c r="O365" i="3"/>
  <c r="M365" i="3"/>
  <c r="AF365" i="3"/>
  <c r="AE365" i="3"/>
  <c r="U365" i="3"/>
  <c r="V365" i="3"/>
  <c r="D365" i="3"/>
  <c r="G365" i="3"/>
  <c r="H365" i="3" s="1"/>
  <c r="F365" i="3"/>
  <c r="C365" i="3"/>
  <c r="BQ361" i="3"/>
  <c r="BF361" i="3"/>
  <c r="BJ360" i="3" s="1"/>
  <c r="BK360" i="3" s="1"/>
  <c r="BB361" i="3"/>
  <c r="AY362" i="3"/>
  <c r="AT363" i="3"/>
  <c r="AW363" i="3"/>
  <c r="AX363" i="3"/>
  <c r="AU363" i="3"/>
  <c r="BA362" i="3"/>
  <c r="AG364" i="3"/>
  <c r="AH364" i="3"/>
  <c r="AO364" i="3"/>
  <c r="X364" i="3"/>
  <c r="BD361" i="3" l="1"/>
  <c r="BC362" i="3"/>
  <c r="BD362" i="3" s="1"/>
  <c r="AO365" i="3"/>
  <c r="BN365" i="3"/>
  <c r="AG365" i="3"/>
  <c r="AU364" i="3"/>
  <c r="X365" i="3"/>
  <c r="AY363" i="3"/>
  <c r="BB362" i="3"/>
  <c r="BF362" i="3"/>
  <c r="BJ361" i="3" s="1"/>
  <c r="BK361" i="3" s="1"/>
  <c r="BQ362" i="3"/>
  <c r="Y365" i="3"/>
  <c r="Z365" i="3" s="1"/>
  <c r="AX364" i="3"/>
  <c r="AV363" i="3"/>
  <c r="BM365" i="3"/>
  <c r="AN365" i="3"/>
  <c r="AR366" i="3"/>
  <c r="B366" i="3"/>
  <c r="AQ366" i="3"/>
  <c r="A367" i="3"/>
  <c r="T366" i="3"/>
  <c r="S366" i="3"/>
  <c r="AK366" i="3"/>
  <c r="AM366" i="3"/>
  <c r="Q366" i="3"/>
  <c r="R366" i="3"/>
  <c r="AD366" i="3"/>
  <c r="P366" i="3"/>
  <c r="O366" i="3"/>
  <c r="AF366" i="3"/>
  <c r="V366" i="3"/>
  <c r="M366" i="3"/>
  <c r="AE366" i="3"/>
  <c r="U366" i="3"/>
  <c r="F366" i="3"/>
  <c r="C366" i="3"/>
  <c r="D366" i="3"/>
  <c r="G366" i="3"/>
  <c r="H366" i="3" s="1"/>
  <c r="AW364" i="3"/>
  <c r="BA363" i="3"/>
  <c r="AT364" i="3"/>
  <c r="AH365" i="3"/>
  <c r="BC363" i="3" l="1"/>
  <c r="BD363" i="3" s="1"/>
  <c r="BG362" i="3"/>
  <c r="BH362" i="3" s="1"/>
  <c r="BI362" i="3" s="1"/>
  <c r="AY364" i="3"/>
  <c r="AX365" i="3"/>
  <c r="AG366" i="3"/>
  <c r="AO366" i="3"/>
  <c r="AV364" i="3"/>
  <c r="BA364" i="3"/>
  <c r="X366" i="3"/>
  <c r="BM366" i="3"/>
  <c r="BF363" i="3"/>
  <c r="BJ362" i="3" s="1"/>
  <c r="BK362" i="3" s="1"/>
  <c r="BB363" i="3"/>
  <c r="BQ363" i="3"/>
  <c r="AQ367" i="3"/>
  <c r="B367" i="3"/>
  <c r="A368" i="3"/>
  <c r="AR367" i="3"/>
  <c r="D367" i="3"/>
  <c r="AM367" i="3"/>
  <c r="AK367" i="3"/>
  <c r="S367" i="3"/>
  <c r="R367" i="3"/>
  <c r="Q367" i="3"/>
  <c r="T367" i="3"/>
  <c r="AD367" i="3"/>
  <c r="P367" i="3"/>
  <c r="AE367" i="3"/>
  <c r="O367" i="3"/>
  <c r="AF367" i="3"/>
  <c r="U367" i="3"/>
  <c r="V367" i="3"/>
  <c r="M367" i="3"/>
  <c r="G367" i="3"/>
  <c r="H367" i="3" s="1"/>
  <c r="C367" i="3"/>
  <c r="F367" i="3"/>
  <c r="AW365" i="3"/>
  <c r="BN366" i="3"/>
  <c r="AN366" i="3"/>
  <c r="AT365" i="3"/>
  <c r="Y366" i="3"/>
  <c r="Z366" i="3" s="1"/>
  <c r="AH366" i="3"/>
  <c r="AU365" i="3"/>
  <c r="BG363" i="3" l="1"/>
  <c r="BH363" i="3" s="1"/>
  <c r="BI363" i="3" s="1"/>
  <c r="AY365" i="3"/>
  <c r="BC364" i="3"/>
  <c r="BG364" i="3" s="1"/>
  <c r="BH364" i="3" s="1"/>
  <c r="BI364" i="3" s="1"/>
  <c r="AX366" i="3"/>
  <c r="BM367" i="3"/>
  <c r="BN367" i="3"/>
  <c r="AN367" i="3"/>
  <c r="AO367" i="3"/>
  <c r="BA365" i="3"/>
  <c r="AV365" i="3"/>
  <c r="AT366" i="3"/>
  <c r="AG367" i="3"/>
  <c r="AH367" i="3"/>
  <c r="Y367" i="3"/>
  <c r="Z367" i="3" s="1"/>
  <c r="A369" i="3"/>
  <c r="B368" i="3"/>
  <c r="AR368" i="3"/>
  <c r="AQ368" i="3"/>
  <c r="D368" i="3"/>
  <c r="S368" i="3"/>
  <c r="Q368" i="3"/>
  <c r="C368" i="3"/>
  <c r="AM368" i="3"/>
  <c r="AK368" i="3"/>
  <c r="P368" i="3"/>
  <c r="T368" i="3"/>
  <c r="R368" i="3"/>
  <c r="AD368" i="3"/>
  <c r="O368" i="3"/>
  <c r="M368" i="3"/>
  <c r="AE368" i="3"/>
  <c r="AF368" i="3"/>
  <c r="V368" i="3"/>
  <c r="U368" i="3"/>
  <c r="G368" i="3"/>
  <c r="H368" i="3" s="1"/>
  <c r="BN368" i="3" s="1"/>
  <c r="F368" i="3"/>
  <c r="BB364" i="3"/>
  <c r="BQ364" i="3"/>
  <c r="BF364" i="3"/>
  <c r="BJ363" i="3" s="1"/>
  <c r="BK363" i="3" s="1"/>
  <c r="AU366" i="3"/>
  <c r="AW366" i="3"/>
  <c r="X367" i="3"/>
  <c r="BC365" i="3" l="1"/>
  <c r="BG365" i="3" s="1"/>
  <c r="BH365" i="3" s="1"/>
  <c r="BI365" i="3" s="1"/>
  <c r="BD364" i="3"/>
  <c r="BM368" i="3"/>
  <c r="AY366" i="3"/>
  <c r="AO368" i="3"/>
  <c r="AT367" i="3"/>
  <c r="AU367" i="3"/>
  <c r="AW367" i="3"/>
  <c r="AH368" i="3"/>
  <c r="Y368" i="3"/>
  <c r="Z368" i="3" s="1"/>
  <c r="AR369" i="3"/>
  <c r="B369" i="3"/>
  <c r="AQ369" i="3"/>
  <c r="A370" i="3"/>
  <c r="D369" i="3"/>
  <c r="AM369" i="3"/>
  <c r="R369" i="3"/>
  <c r="AK369" i="3"/>
  <c r="Q369" i="3"/>
  <c r="S369" i="3"/>
  <c r="AD369" i="3"/>
  <c r="O369" i="3"/>
  <c r="AE369" i="3"/>
  <c r="V369" i="3"/>
  <c r="P369" i="3"/>
  <c r="M369" i="3"/>
  <c r="AF369" i="3"/>
  <c r="U369" i="3"/>
  <c r="C369" i="3"/>
  <c r="G369" i="3"/>
  <c r="H369" i="3" s="1"/>
  <c r="F369" i="3"/>
  <c r="T369" i="3"/>
  <c r="BA366" i="3"/>
  <c r="AV366" i="3"/>
  <c r="BQ365" i="3"/>
  <c r="BF365" i="3"/>
  <c r="BJ364" i="3" s="1"/>
  <c r="BK364" i="3" s="1"/>
  <c r="BB365" i="3"/>
  <c r="AG368" i="3"/>
  <c r="AN368" i="3"/>
  <c r="AX367" i="3"/>
  <c r="X368" i="3"/>
  <c r="BD365" i="3" l="1"/>
  <c r="BM369" i="3"/>
  <c r="AO369" i="3"/>
  <c r="BC366" i="3"/>
  <c r="BD366" i="3" s="1"/>
  <c r="AH369" i="3"/>
  <c r="BN369" i="3"/>
  <c r="AV367" i="3"/>
  <c r="AT368" i="3"/>
  <c r="AU368" i="3"/>
  <c r="Y369" i="3"/>
  <c r="Z369" i="3" s="1"/>
  <c r="AY367" i="3"/>
  <c r="BA367" i="3"/>
  <c r="BB367" i="3" s="1"/>
  <c r="AX368" i="3"/>
  <c r="BQ366" i="3"/>
  <c r="BB366" i="3"/>
  <c r="BF366" i="3"/>
  <c r="BJ365" i="3" s="1"/>
  <c r="BK365" i="3" s="1"/>
  <c r="X369" i="3"/>
  <c r="AG369" i="3"/>
  <c r="AR370" i="3"/>
  <c r="B370" i="3"/>
  <c r="AQ370" i="3"/>
  <c r="A371" i="3"/>
  <c r="AK370" i="3"/>
  <c r="AM370" i="3"/>
  <c r="T370" i="3"/>
  <c r="Q370" i="3"/>
  <c r="C370" i="3"/>
  <c r="S370" i="3"/>
  <c r="AD370" i="3"/>
  <c r="P370" i="3"/>
  <c r="O370" i="3"/>
  <c r="AF370" i="3"/>
  <c r="U370" i="3"/>
  <c r="V370" i="3"/>
  <c r="AE370" i="3"/>
  <c r="M370" i="3"/>
  <c r="D370" i="3"/>
  <c r="R370" i="3"/>
  <c r="F370" i="3"/>
  <c r="G370" i="3"/>
  <c r="H370" i="3" s="1"/>
  <c r="AW368" i="3"/>
  <c r="AN369" i="3"/>
  <c r="BM370" i="3" l="1"/>
  <c r="BG366" i="3"/>
  <c r="BH366" i="3" s="1"/>
  <c r="BI366" i="3" s="1"/>
  <c r="BC367" i="3"/>
  <c r="BD367" i="3" s="1"/>
  <c r="AG370" i="3"/>
  <c r="AO370" i="3"/>
  <c r="BF367" i="3"/>
  <c r="BJ366" i="3" s="1"/>
  <c r="BK366" i="3" s="1"/>
  <c r="AV368" i="3"/>
  <c r="BQ367" i="3"/>
  <c r="AY368" i="3"/>
  <c r="AW369" i="3"/>
  <c r="AX369" i="3"/>
  <c r="AQ371" i="3"/>
  <c r="B371" i="3"/>
  <c r="A372" i="3"/>
  <c r="AR371" i="3"/>
  <c r="C371" i="3"/>
  <c r="AK371" i="3"/>
  <c r="AM371" i="3"/>
  <c r="S371" i="3"/>
  <c r="AD371" i="3"/>
  <c r="Q371" i="3"/>
  <c r="R371" i="3"/>
  <c r="P371" i="3"/>
  <c r="O371" i="3"/>
  <c r="M371" i="3"/>
  <c r="AF371" i="3"/>
  <c r="AE371" i="3"/>
  <c r="V371" i="3"/>
  <c r="U371" i="3"/>
  <c r="D371" i="3"/>
  <c r="F371" i="3"/>
  <c r="G371" i="3"/>
  <c r="H371" i="3" s="1"/>
  <c r="T371" i="3"/>
  <c r="BA368" i="3"/>
  <c r="AU369" i="3"/>
  <c r="BN370" i="3"/>
  <c r="AH370" i="3"/>
  <c r="AN370" i="3"/>
  <c r="AT369" i="3"/>
  <c r="Y370" i="3"/>
  <c r="Z370" i="3" s="1"/>
  <c r="X370" i="3"/>
  <c r="BN371" i="3" l="1"/>
  <c r="BC368" i="3"/>
  <c r="BD368" i="3" s="1"/>
  <c r="BG367" i="3"/>
  <c r="BH367" i="3" s="1"/>
  <c r="BI367" i="3" s="1"/>
  <c r="BM371" i="3"/>
  <c r="AY369" i="3"/>
  <c r="AX370" i="3"/>
  <c r="AO371" i="3"/>
  <c r="AG371" i="3"/>
  <c r="AU370" i="3"/>
  <c r="Y371" i="3"/>
  <c r="Z371" i="3" s="1"/>
  <c r="BA369" i="3"/>
  <c r="AV369" i="3"/>
  <c r="BQ368" i="3"/>
  <c r="BB368" i="3"/>
  <c r="BF368" i="3"/>
  <c r="BJ367" i="3" s="1"/>
  <c r="BK367" i="3" s="1"/>
  <c r="A373" i="3"/>
  <c r="B372" i="3"/>
  <c r="AR372" i="3"/>
  <c r="AQ372" i="3"/>
  <c r="AK372" i="3"/>
  <c r="AM372" i="3"/>
  <c r="S372" i="3"/>
  <c r="R372" i="3"/>
  <c r="P372" i="3"/>
  <c r="Q372" i="3"/>
  <c r="AD372" i="3"/>
  <c r="AE372" i="3"/>
  <c r="O372" i="3"/>
  <c r="U372" i="3"/>
  <c r="M372" i="3"/>
  <c r="AF372" i="3"/>
  <c r="V372" i="3"/>
  <c r="G372" i="3"/>
  <c r="H372" i="3" s="1"/>
  <c r="F372" i="3"/>
  <c r="C372" i="3"/>
  <c r="D372" i="3"/>
  <c r="T372" i="3"/>
  <c r="AW370" i="3"/>
  <c r="AH371" i="3"/>
  <c r="AN371" i="3"/>
  <c r="X371" i="3"/>
  <c r="AT370" i="3"/>
  <c r="AY370" i="3" l="1"/>
  <c r="BG368" i="3"/>
  <c r="BH368" i="3" s="1"/>
  <c r="BI368" i="3" s="1"/>
  <c r="BM372" i="3"/>
  <c r="BC369" i="3"/>
  <c r="BG369" i="3" s="1"/>
  <c r="BH369" i="3" s="1"/>
  <c r="BI369" i="3" s="1"/>
  <c r="AU371" i="3"/>
  <c r="AO372" i="3"/>
  <c r="AT371" i="3"/>
  <c r="AW371" i="3"/>
  <c r="AH372" i="3"/>
  <c r="AV370" i="3"/>
  <c r="BA370" i="3"/>
  <c r="BF369" i="3"/>
  <c r="BJ368" i="3" s="1"/>
  <c r="BK368" i="3" s="1"/>
  <c r="BB369" i="3"/>
  <c r="BQ369" i="3"/>
  <c r="AX371" i="3"/>
  <c r="Y372" i="3"/>
  <c r="Z372" i="3" s="1"/>
  <c r="X372" i="3"/>
  <c r="BN372" i="3"/>
  <c r="AG372" i="3"/>
  <c r="AN372" i="3"/>
  <c r="AR373" i="3"/>
  <c r="B373" i="3"/>
  <c r="AQ373" i="3"/>
  <c r="A374" i="3"/>
  <c r="D373" i="3"/>
  <c r="AM373" i="3"/>
  <c r="AK373" i="3"/>
  <c r="T373" i="3"/>
  <c r="S373" i="3"/>
  <c r="R373" i="3"/>
  <c r="AD373" i="3"/>
  <c r="P373" i="3"/>
  <c r="AE373" i="3"/>
  <c r="AF373" i="3"/>
  <c r="V373" i="3"/>
  <c r="O373" i="3"/>
  <c r="M373" i="3"/>
  <c r="U373" i="3"/>
  <c r="C373" i="3"/>
  <c r="G373" i="3"/>
  <c r="H373" i="3" s="1"/>
  <c r="F373" i="3"/>
  <c r="Q373" i="3"/>
  <c r="BM373" i="3" l="1"/>
  <c r="AV371" i="3"/>
  <c r="BD369" i="3"/>
  <c r="BC370" i="3"/>
  <c r="BD370" i="3" s="1"/>
  <c r="BN373" i="3"/>
  <c r="AU372" i="3"/>
  <c r="AT372" i="3"/>
  <c r="AN373" i="3"/>
  <c r="AW372" i="3"/>
  <c r="BA371" i="3"/>
  <c r="BB371" i="3" s="1"/>
  <c r="AX372" i="3"/>
  <c r="AY371" i="3"/>
  <c r="Y373" i="3"/>
  <c r="Z373" i="3" s="1"/>
  <c r="BB370" i="3"/>
  <c r="BQ370" i="3"/>
  <c r="BF370" i="3"/>
  <c r="BJ369" i="3" s="1"/>
  <c r="BK369" i="3" s="1"/>
  <c r="X373" i="3"/>
  <c r="AG373" i="3"/>
  <c r="AH373" i="3"/>
  <c r="AO373" i="3"/>
  <c r="AR374" i="3"/>
  <c r="B374" i="3"/>
  <c r="AQ374" i="3"/>
  <c r="A375" i="3"/>
  <c r="C374" i="3"/>
  <c r="AM374" i="3"/>
  <c r="AK374" i="3"/>
  <c r="Q374" i="3"/>
  <c r="R374" i="3"/>
  <c r="AD374" i="3"/>
  <c r="M374" i="3"/>
  <c r="AE374" i="3"/>
  <c r="AF374" i="3"/>
  <c r="V374" i="3"/>
  <c r="P374" i="3"/>
  <c r="O374" i="3"/>
  <c r="U374" i="3"/>
  <c r="D374" i="3"/>
  <c r="G374" i="3"/>
  <c r="H374" i="3" s="1"/>
  <c r="F374" i="3"/>
  <c r="T374" i="3"/>
  <c r="S374" i="3"/>
  <c r="BC371" i="3" l="1"/>
  <c r="BD371" i="3" s="1"/>
  <c r="BG370" i="3"/>
  <c r="BH370" i="3" s="1"/>
  <c r="BI370" i="3" s="1"/>
  <c r="BA372" i="3"/>
  <c r="BB372" i="3" s="1"/>
  <c r="BM374" i="3"/>
  <c r="AV372" i="3"/>
  <c r="AT373" i="3"/>
  <c r="AG374" i="3"/>
  <c r="BQ371" i="3"/>
  <c r="BF371" i="3"/>
  <c r="BJ370" i="3" s="1"/>
  <c r="BK370" i="3" s="1"/>
  <c r="AY372" i="3"/>
  <c r="AN374" i="3"/>
  <c r="AU373" i="3"/>
  <c r="Y374" i="3"/>
  <c r="Z374" i="3" s="1"/>
  <c r="BN374" i="3"/>
  <c r="AO374" i="3"/>
  <c r="AX373" i="3"/>
  <c r="AQ375" i="3"/>
  <c r="B375" i="3"/>
  <c r="A376" i="3"/>
  <c r="AR375" i="3"/>
  <c r="AK375" i="3"/>
  <c r="AM375" i="3"/>
  <c r="T375" i="3"/>
  <c r="S375" i="3"/>
  <c r="C375" i="3"/>
  <c r="Q375" i="3"/>
  <c r="R375" i="3"/>
  <c r="AD375" i="3"/>
  <c r="P375" i="3"/>
  <c r="O375" i="3"/>
  <c r="AE375" i="3"/>
  <c r="AF375" i="3"/>
  <c r="M375" i="3"/>
  <c r="V375" i="3"/>
  <c r="U375" i="3"/>
  <c r="D375" i="3"/>
  <c r="F375" i="3"/>
  <c r="G375" i="3"/>
  <c r="H375" i="3" s="1"/>
  <c r="X374" i="3"/>
  <c r="AH374" i="3"/>
  <c r="AW373" i="3"/>
  <c r="BM375" i="3" l="1"/>
  <c r="BN375" i="3"/>
  <c r="BF372" i="3"/>
  <c r="BJ371" i="3" s="1"/>
  <c r="BK371" i="3" s="1"/>
  <c r="BG371" i="3"/>
  <c r="BH371" i="3" s="1"/>
  <c r="BI371" i="3" s="1"/>
  <c r="AV373" i="3"/>
  <c r="BQ372" i="3"/>
  <c r="BC372" i="3"/>
  <c r="AG375" i="3"/>
  <c r="AX374" i="3"/>
  <c r="BA373" i="3"/>
  <c r="AY373" i="3"/>
  <c r="Y375" i="3"/>
  <c r="Z375" i="3" s="1"/>
  <c r="X375" i="3"/>
  <c r="AH375" i="3"/>
  <c r="AT374" i="3"/>
  <c r="AN375" i="3"/>
  <c r="AO375" i="3"/>
  <c r="A377" i="3"/>
  <c r="B376" i="3"/>
  <c r="AR376" i="3"/>
  <c r="AQ376" i="3"/>
  <c r="D376" i="3"/>
  <c r="T376" i="3"/>
  <c r="AM376" i="3"/>
  <c r="AK376" i="3"/>
  <c r="S376" i="3"/>
  <c r="R376" i="3"/>
  <c r="AD376" i="3"/>
  <c r="P376" i="3"/>
  <c r="M376" i="3"/>
  <c r="AE376" i="3"/>
  <c r="O376" i="3"/>
  <c r="AF376" i="3"/>
  <c r="U376" i="3"/>
  <c r="V376" i="3"/>
  <c r="Q376" i="3"/>
  <c r="C376" i="3"/>
  <c r="F376" i="3"/>
  <c r="G376" i="3"/>
  <c r="H376" i="3" s="1"/>
  <c r="AU374" i="3"/>
  <c r="AW374" i="3"/>
  <c r="AU375" i="3" l="1"/>
  <c r="BC373" i="3"/>
  <c r="BG373" i="3" s="1"/>
  <c r="BH373" i="3" s="1"/>
  <c r="BI373" i="3" s="1"/>
  <c r="BG372" i="3"/>
  <c r="BH372" i="3" s="1"/>
  <c r="BI372" i="3" s="1"/>
  <c r="BD372" i="3"/>
  <c r="BN376" i="3"/>
  <c r="BM376" i="3"/>
  <c r="AY374" i="3"/>
  <c r="AW375" i="3"/>
  <c r="AN376" i="3"/>
  <c r="AV374" i="3"/>
  <c r="BA374" i="3"/>
  <c r="BF373" i="3"/>
  <c r="BJ372" i="3" s="1"/>
  <c r="BK372" i="3" s="1"/>
  <c r="BB373" i="3"/>
  <c r="BQ373" i="3"/>
  <c r="X376" i="3"/>
  <c r="AG376" i="3"/>
  <c r="AO376" i="3"/>
  <c r="AX375" i="3"/>
  <c r="Y376" i="3"/>
  <c r="Z376" i="3" s="1"/>
  <c r="AR377" i="3"/>
  <c r="B377" i="3"/>
  <c r="AQ377" i="3"/>
  <c r="A378" i="3"/>
  <c r="S377" i="3"/>
  <c r="C377" i="3"/>
  <c r="AK377" i="3"/>
  <c r="AM377" i="3"/>
  <c r="T377" i="3"/>
  <c r="Q377" i="3"/>
  <c r="AD377" i="3"/>
  <c r="P377" i="3"/>
  <c r="O377" i="3"/>
  <c r="AE377" i="3"/>
  <c r="M377" i="3"/>
  <c r="U377" i="3"/>
  <c r="V377" i="3"/>
  <c r="AF377" i="3"/>
  <c r="G377" i="3"/>
  <c r="H377" i="3" s="1"/>
  <c r="R377" i="3"/>
  <c r="D377" i="3"/>
  <c r="F377" i="3"/>
  <c r="AH376" i="3"/>
  <c r="AT375" i="3"/>
  <c r="BD373" i="3" l="1"/>
  <c r="BM377" i="3"/>
  <c r="BC374" i="3"/>
  <c r="BD374" i="3" s="1"/>
  <c r="AY375" i="3"/>
  <c r="AO377" i="3"/>
  <c r="AH377" i="3"/>
  <c r="AU376" i="3"/>
  <c r="AX376" i="3"/>
  <c r="Y377" i="3"/>
  <c r="Z377" i="3" s="1"/>
  <c r="AT376" i="3"/>
  <c r="BN377" i="3"/>
  <c r="AV375" i="3"/>
  <c r="BA375" i="3"/>
  <c r="AR378" i="3"/>
  <c r="B378" i="3"/>
  <c r="AQ378" i="3"/>
  <c r="A379" i="3"/>
  <c r="AM378" i="3"/>
  <c r="AK378" i="3"/>
  <c r="Q378" i="3"/>
  <c r="T378" i="3"/>
  <c r="S378" i="3"/>
  <c r="P378" i="3"/>
  <c r="R378" i="3"/>
  <c r="AD378" i="3"/>
  <c r="M378" i="3"/>
  <c r="O378" i="3"/>
  <c r="AE378" i="3"/>
  <c r="AF378" i="3"/>
  <c r="V378" i="3"/>
  <c r="U378" i="3"/>
  <c r="C378" i="3"/>
  <c r="D378" i="3"/>
  <c r="G378" i="3"/>
  <c r="H378" i="3" s="1"/>
  <c r="F378" i="3"/>
  <c r="BB374" i="3"/>
  <c r="BF374" i="3"/>
  <c r="BJ373" i="3" s="1"/>
  <c r="BK373" i="3" s="1"/>
  <c r="BQ374" i="3"/>
  <c r="AG377" i="3"/>
  <c r="AN377" i="3"/>
  <c r="X377" i="3"/>
  <c r="AW376" i="3"/>
  <c r="BC375" i="3" l="1"/>
  <c r="BG375" i="3" s="1"/>
  <c r="BH375" i="3" s="1"/>
  <c r="BI375" i="3" s="1"/>
  <c r="AY376" i="3"/>
  <c r="BG374" i="3"/>
  <c r="BH374" i="3" s="1"/>
  <c r="BI374" i="3" s="1"/>
  <c r="AN378" i="3"/>
  <c r="BN378" i="3"/>
  <c r="AW377" i="3"/>
  <c r="AX377" i="3"/>
  <c r="AG378" i="3"/>
  <c r="X378" i="3"/>
  <c r="Y378" i="3"/>
  <c r="Z378" i="3" s="1"/>
  <c r="AQ379" i="3"/>
  <c r="B379" i="3"/>
  <c r="A380" i="3"/>
  <c r="AR379" i="3"/>
  <c r="C379" i="3"/>
  <c r="AK379" i="3"/>
  <c r="S379" i="3"/>
  <c r="AM379" i="3"/>
  <c r="R379" i="3"/>
  <c r="Q379" i="3"/>
  <c r="AD379" i="3"/>
  <c r="P379" i="3"/>
  <c r="M379" i="3"/>
  <c r="AE379" i="3"/>
  <c r="O379" i="3"/>
  <c r="AF379" i="3"/>
  <c r="U379" i="3"/>
  <c r="V379" i="3"/>
  <c r="D379" i="3"/>
  <c r="G379" i="3"/>
  <c r="H379" i="3" s="1"/>
  <c r="F379" i="3"/>
  <c r="T379" i="3"/>
  <c r="BQ375" i="3"/>
  <c r="BB375" i="3"/>
  <c r="BF375" i="3"/>
  <c r="BJ374" i="3" s="1"/>
  <c r="BK374" i="3" s="1"/>
  <c r="BA376" i="3"/>
  <c r="AV376" i="3"/>
  <c r="BM378" i="3"/>
  <c r="AH378" i="3"/>
  <c r="AO378" i="3"/>
  <c r="AT377" i="3"/>
  <c r="AU377" i="3"/>
  <c r="BD375" i="3" l="1"/>
  <c r="BM379" i="3"/>
  <c r="BC376" i="3"/>
  <c r="BG376" i="3" s="1"/>
  <c r="BH376" i="3" s="1"/>
  <c r="BI376" i="3" s="1"/>
  <c r="AN379" i="3"/>
  <c r="AY377" i="3"/>
  <c r="AW378" i="3"/>
  <c r="AX378" i="3"/>
  <c r="AT378" i="3"/>
  <c r="AV377" i="3"/>
  <c r="BA377" i="3"/>
  <c r="A381" i="3"/>
  <c r="B380" i="3"/>
  <c r="AR380" i="3"/>
  <c r="AQ380" i="3"/>
  <c r="D380" i="3"/>
  <c r="AM380" i="3"/>
  <c r="T380" i="3"/>
  <c r="AK380" i="3"/>
  <c r="Q380" i="3"/>
  <c r="S380" i="3"/>
  <c r="AD380" i="3"/>
  <c r="P380" i="3"/>
  <c r="AE380" i="3"/>
  <c r="M380" i="3"/>
  <c r="AF380" i="3"/>
  <c r="V380" i="3"/>
  <c r="O380" i="3"/>
  <c r="U380" i="3"/>
  <c r="C380" i="3"/>
  <c r="F380" i="3"/>
  <c r="R380" i="3"/>
  <c r="G380" i="3"/>
  <c r="H380" i="3" s="1"/>
  <c r="X379" i="3"/>
  <c r="BB376" i="3"/>
  <c r="BQ376" i="3"/>
  <c r="BF376" i="3"/>
  <c r="BJ375" i="3" s="1"/>
  <c r="BK375" i="3" s="1"/>
  <c r="AU378" i="3"/>
  <c r="Y379" i="3"/>
  <c r="Z379" i="3" s="1"/>
  <c r="BN379" i="3"/>
  <c r="AH379" i="3"/>
  <c r="AG379" i="3"/>
  <c r="AO379" i="3"/>
  <c r="BD376" i="3" l="1"/>
  <c r="AO380" i="3"/>
  <c r="BC377" i="3"/>
  <c r="BG377" i="3" s="1"/>
  <c r="BH377" i="3" s="1"/>
  <c r="BI377" i="3" s="1"/>
  <c r="AH380" i="3"/>
  <c r="BN380" i="3"/>
  <c r="BM380" i="3"/>
  <c r="AV378" i="3"/>
  <c r="AY378" i="3"/>
  <c r="Y380" i="3"/>
  <c r="Z380" i="3" s="1"/>
  <c r="AR381" i="3"/>
  <c r="B381" i="3"/>
  <c r="AQ381" i="3"/>
  <c r="A382" i="3"/>
  <c r="AM381" i="3"/>
  <c r="Q381" i="3"/>
  <c r="C381" i="3"/>
  <c r="AK381" i="3"/>
  <c r="R381" i="3"/>
  <c r="S381" i="3"/>
  <c r="AD381" i="3"/>
  <c r="P381" i="3"/>
  <c r="O381" i="3"/>
  <c r="M381" i="3"/>
  <c r="AF381" i="3"/>
  <c r="U381" i="3"/>
  <c r="AE381" i="3"/>
  <c r="V381" i="3"/>
  <c r="D381" i="3"/>
  <c r="F381" i="3"/>
  <c r="G381" i="3"/>
  <c r="H381" i="3" s="1"/>
  <c r="T381" i="3"/>
  <c r="AX379" i="3"/>
  <c r="BA378" i="3"/>
  <c r="AU379" i="3"/>
  <c r="AT379" i="3"/>
  <c r="AW379" i="3"/>
  <c r="X380" i="3"/>
  <c r="AG380" i="3"/>
  <c r="BB377" i="3"/>
  <c r="BQ377" i="3"/>
  <c r="BF377" i="3"/>
  <c r="BJ376" i="3" s="1"/>
  <c r="BK376" i="3" s="1"/>
  <c r="AN380" i="3"/>
  <c r="BN381" i="3" l="1"/>
  <c r="BD377" i="3"/>
  <c r="AT380" i="3"/>
  <c r="AG381" i="3"/>
  <c r="AN381" i="3"/>
  <c r="BM381" i="3"/>
  <c r="AY379" i="3"/>
  <c r="BC378" i="3"/>
  <c r="BD378" i="3" s="1"/>
  <c r="AU380" i="3"/>
  <c r="AX380" i="3"/>
  <c r="AH381" i="3"/>
  <c r="X381" i="3"/>
  <c r="AV379" i="3"/>
  <c r="BA379" i="3"/>
  <c r="BB378" i="3"/>
  <c r="BQ378" i="3"/>
  <c r="BF378" i="3"/>
  <c r="BJ377" i="3" s="1"/>
  <c r="BK377" i="3" s="1"/>
  <c r="AR382" i="3"/>
  <c r="B382" i="3"/>
  <c r="AQ382" i="3"/>
  <c r="A383" i="3"/>
  <c r="C382" i="3"/>
  <c r="D382" i="3"/>
  <c r="AK382" i="3"/>
  <c r="S382" i="3"/>
  <c r="R382" i="3"/>
  <c r="AM382" i="3"/>
  <c r="AD382" i="3"/>
  <c r="P382" i="3"/>
  <c r="O382" i="3"/>
  <c r="AE382" i="3"/>
  <c r="U382" i="3"/>
  <c r="AF382" i="3"/>
  <c r="M382" i="3"/>
  <c r="V382" i="3"/>
  <c r="Q382" i="3"/>
  <c r="G382" i="3"/>
  <c r="H382" i="3" s="1"/>
  <c r="F382" i="3"/>
  <c r="T382" i="3"/>
  <c r="AW380" i="3"/>
  <c r="Y381" i="3"/>
  <c r="Z381" i="3" s="1"/>
  <c r="AO381" i="3"/>
  <c r="BN382" i="3" l="1"/>
  <c r="AY380" i="3"/>
  <c r="AV380" i="3"/>
  <c r="BC379" i="3"/>
  <c r="BG379" i="3" s="1"/>
  <c r="BH379" i="3" s="1"/>
  <c r="BI379" i="3" s="1"/>
  <c r="AU381" i="3"/>
  <c r="AO382" i="3"/>
  <c r="BG378" i="3"/>
  <c r="BH378" i="3" s="1"/>
  <c r="BI378" i="3" s="1"/>
  <c r="AN382" i="3"/>
  <c r="Y382" i="3"/>
  <c r="Z382" i="3" s="1"/>
  <c r="AQ383" i="3"/>
  <c r="B383" i="3"/>
  <c r="A384" i="3"/>
  <c r="AR383" i="3"/>
  <c r="Q383" i="3"/>
  <c r="AK383" i="3"/>
  <c r="AM383" i="3"/>
  <c r="S383" i="3"/>
  <c r="AD383" i="3"/>
  <c r="O383" i="3"/>
  <c r="P383" i="3"/>
  <c r="M383" i="3"/>
  <c r="AE383" i="3"/>
  <c r="AF383" i="3"/>
  <c r="V383" i="3"/>
  <c r="U383" i="3"/>
  <c r="D383" i="3"/>
  <c r="F383" i="3"/>
  <c r="R383" i="3"/>
  <c r="C383" i="3"/>
  <c r="G383" i="3"/>
  <c r="H383" i="3" s="1"/>
  <c r="BN383" i="3" s="1"/>
  <c r="T383" i="3"/>
  <c r="AG382" i="3"/>
  <c r="BA380" i="3"/>
  <c r="AX381" i="3"/>
  <c r="X382" i="3"/>
  <c r="BM382" i="3"/>
  <c r="BQ379" i="3"/>
  <c r="BF379" i="3"/>
  <c r="BJ378" i="3" s="1"/>
  <c r="BK378" i="3" s="1"/>
  <c r="BB379" i="3"/>
  <c r="AH382" i="3"/>
  <c r="AT381" i="3"/>
  <c r="AW381" i="3"/>
  <c r="BC380" i="3" l="1"/>
  <c r="BD380" i="3" s="1"/>
  <c r="BD379" i="3"/>
  <c r="AX382" i="3"/>
  <c r="AN383" i="3"/>
  <c r="AG383" i="3"/>
  <c r="X383" i="3"/>
  <c r="AT382" i="3"/>
  <c r="AU382" i="3"/>
  <c r="AY381" i="3"/>
  <c r="BB380" i="3"/>
  <c r="BF380" i="3"/>
  <c r="BJ379" i="3" s="1"/>
  <c r="BK379" i="3" s="1"/>
  <c r="BQ380" i="3"/>
  <c r="A385" i="3"/>
  <c r="B384" i="3"/>
  <c r="AR384" i="3"/>
  <c r="AQ384" i="3"/>
  <c r="D384" i="3"/>
  <c r="AK384" i="3"/>
  <c r="AM384" i="3"/>
  <c r="S384" i="3"/>
  <c r="R384" i="3"/>
  <c r="Q384" i="3"/>
  <c r="AD384" i="3"/>
  <c r="P384" i="3"/>
  <c r="M384" i="3"/>
  <c r="O384" i="3"/>
  <c r="AE384" i="3"/>
  <c r="AF384" i="3"/>
  <c r="V384" i="3"/>
  <c r="U384" i="3"/>
  <c r="F384" i="3"/>
  <c r="C384" i="3"/>
  <c r="G384" i="3"/>
  <c r="H384" i="3" s="1"/>
  <c r="T384" i="3"/>
  <c r="AW382" i="3"/>
  <c r="AH383" i="3"/>
  <c r="AV381" i="3"/>
  <c r="BA381" i="3"/>
  <c r="Y383" i="3"/>
  <c r="Z383" i="3" s="1"/>
  <c r="BM383" i="3"/>
  <c r="AO383" i="3"/>
  <c r="BN384" i="3" l="1"/>
  <c r="BG380" i="3"/>
  <c r="BH380" i="3" s="1"/>
  <c r="BI380" i="3" s="1"/>
  <c r="BC381" i="3"/>
  <c r="BG381" i="3" s="1"/>
  <c r="BH381" i="3" s="1"/>
  <c r="BI381" i="3" s="1"/>
  <c r="AY382" i="3"/>
  <c r="BM384" i="3"/>
  <c r="AN384" i="3"/>
  <c r="AG384" i="3"/>
  <c r="AV382" i="3"/>
  <c r="AW383" i="3"/>
  <c r="BA382" i="3"/>
  <c r="BQ382" i="3" s="1"/>
  <c r="BB381" i="3"/>
  <c r="BQ381" i="3"/>
  <c r="BF381" i="3"/>
  <c r="BJ380" i="3" s="1"/>
  <c r="BK380" i="3" s="1"/>
  <c r="AT383" i="3"/>
  <c r="AU383" i="3"/>
  <c r="Y384" i="3"/>
  <c r="Z384" i="3" s="1"/>
  <c r="X384" i="3"/>
  <c r="AO384" i="3"/>
  <c r="AR385" i="3"/>
  <c r="B385" i="3"/>
  <c r="AQ385" i="3"/>
  <c r="A386" i="3"/>
  <c r="AM385" i="3"/>
  <c r="T385" i="3"/>
  <c r="S385" i="3"/>
  <c r="Q385" i="3"/>
  <c r="AK385" i="3"/>
  <c r="AD385" i="3"/>
  <c r="R385" i="3"/>
  <c r="P385" i="3"/>
  <c r="O385" i="3"/>
  <c r="AE385" i="3"/>
  <c r="M385" i="3"/>
  <c r="U385" i="3"/>
  <c r="AF385" i="3"/>
  <c r="V385" i="3"/>
  <c r="D385" i="3"/>
  <c r="F385" i="3"/>
  <c r="C385" i="3"/>
  <c r="G385" i="3"/>
  <c r="H385" i="3" s="1"/>
  <c r="AX383" i="3"/>
  <c r="AH384" i="3"/>
  <c r="BD381" i="3" l="1"/>
  <c r="AO385" i="3"/>
  <c r="BC382" i="3"/>
  <c r="BG382" i="3" s="1"/>
  <c r="BH382" i="3" s="1"/>
  <c r="BI382" i="3" s="1"/>
  <c r="AY383" i="3"/>
  <c r="AX384" i="3"/>
  <c r="AH385" i="3"/>
  <c r="AV383" i="3"/>
  <c r="X385" i="3"/>
  <c r="BF382" i="3"/>
  <c r="BJ381" i="3" s="1"/>
  <c r="BK381" i="3" s="1"/>
  <c r="BB382" i="3"/>
  <c r="Y385" i="3"/>
  <c r="Z385" i="3" s="1"/>
  <c r="AR386" i="3"/>
  <c r="B386" i="3"/>
  <c r="AQ386" i="3"/>
  <c r="A387" i="3"/>
  <c r="C386" i="3"/>
  <c r="D386" i="3"/>
  <c r="AM386" i="3"/>
  <c r="S386" i="3"/>
  <c r="AK386" i="3"/>
  <c r="R386" i="3"/>
  <c r="AD386" i="3"/>
  <c r="Q386" i="3"/>
  <c r="P386" i="3"/>
  <c r="O386" i="3"/>
  <c r="AE386" i="3"/>
  <c r="M386" i="3"/>
  <c r="U386" i="3"/>
  <c r="AF386" i="3"/>
  <c r="V386" i="3"/>
  <c r="G386" i="3"/>
  <c r="H386" i="3" s="1"/>
  <c r="F386" i="3"/>
  <c r="T386" i="3"/>
  <c r="AT384" i="3"/>
  <c r="AW384" i="3"/>
  <c r="BN385" i="3"/>
  <c r="BM385" i="3"/>
  <c r="AG385" i="3"/>
  <c r="AU384" i="3"/>
  <c r="AN385" i="3"/>
  <c r="BA383" i="3"/>
  <c r="BC383" i="3" l="1"/>
  <c r="BD383" i="3" s="1"/>
  <c r="BD382" i="3"/>
  <c r="BN386" i="3"/>
  <c r="BM386" i="3"/>
  <c r="AO386" i="3"/>
  <c r="AY384" i="3"/>
  <c r="AX385" i="3"/>
  <c r="AG386" i="3"/>
  <c r="AV384" i="3"/>
  <c r="AT385" i="3"/>
  <c r="AH386" i="3"/>
  <c r="AN386" i="3"/>
  <c r="X386" i="3"/>
  <c r="BB383" i="3"/>
  <c r="BF383" i="3"/>
  <c r="BJ382" i="3" s="1"/>
  <c r="BK382" i="3" s="1"/>
  <c r="BQ383" i="3"/>
  <c r="AQ387" i="3"/>
  <c r="B387" i="3"/>
  <c r="A388" i="3"/>
  <c r="AR387" i="3"/>
  <c r="D387" i="3"/>
  <c r="S387" i="3"/>
  <c r="AK387" i="3"/>
  <c r="AM387" i="3"/>
  <c r="T387" i="3"/>
  <c r="R387" i="3"/>
  <c r="Q387" i="3"/>
  <c r="AD387" i="3"/>
  <c r="P387" i="3"/>
  <c r="O387" i="3"/>
  <c r="M387" i="3"/>
  <c r="AF387" i="3"/>
  <c r="V387" i="3"/>
  <c r="U387" i="3"/>
  <c r="AE387" i="3"/>
  <c r="C387" i="3"/>
  <c r="G387" i="3"/>
  <c r="H387" i="3" s="1"/>
  <c r="F387" i="3"/>
  <c r="AW385" i="3"/>
  <c r="AU385" i="3"/>
  <c r="BA384" i="3"/>
  <c r="Y386" i="3"/>
  <c r="Z386" i="3" s="1"/>
  <c r="BG383" i="3" l="1"/>
  <c r="BH383" i="3" s="1"/>
  <c r="BI383" i="3" s="1"/>
  <c r="BM387" i="3"/>
  <c r="AY385" i="3"/>
  <c r="BN387" i="3"/>
  <c r="BC384" i="3"/>
  <c r="BG384" i="3" s="1"/>
  <c r="BH384" i="3" s="1"/>
  <c r="BI384" i="3" s="1"/>
  <c r="AN387" i="3"/>
  <c r="BA385" i="3"/>
  <c r="BF385" i="3" s="1"/>
  <c r="AU386" i="3"/>
  <c r="AX386" i="3"/>
  <c r="BB384" i="3"/>
  <c r="BF384" i="3"/>
  <c r="BJ383" i="3" s="1"/>
  <c r="BK383" i="3" s="1"/>
  <c r="BQ384" i="3"/>
  <c r="Y387" i="3"/>
  <c r="Z387" i="3" s="1"/>
  <c r="A389" i="3"/>
  <c r="B388" i="3"/>
  <c r="AR388" i="3"/>
  <c r="AQ388" i="3"/>
  <c r="AK388" i="3"/>
  <c r="AM388" i="3"/>
  <c r="T388" i="3"/>
  <c r="R388" i="3"/>
  <c r="Q388" i="3"/>
  <c r="AD388" i="3"/>
  <c r="P388" i="3"/>
  <c r="O388" i="3"/>
  <c r="M388" i="3"/>
  <c r="AF388" i="3"/>
  <c r="V388" i="3"/>
  <c r="AE388" i="3"/>
  <c r="U388" i="3"/>
  <c r="D388" i="3"/>
  <c r="F388" i="3"/>
  <c r="G388" i="3"/>
  <c r="H388" i="3" s="1"/>
  <c r="C388" i="3"/>
  <c r="S388" i="3"/>
  <c r="X387" i="3"/>
  <c r="AH387" i="3"/>
  <c r="AV385" i="3"/>
  <c r="AG387" i="3"/>
  <c r="AO387" i="3"/>
  <c r="AT386" i="3"/>
  <c r="AW386" i="3"/>
  <c r="BN388" i="3" l="1"/>
  <c r="BC385" i="3"/>
  <c r="BG385" i="3" s="1"/>
  <c r="BH385" i="3" s="1"/>
  <c r="BI385" i="3" s="1"/>
  <c r="BD384" i="3"/>
  <c r="AN388" i="3"/>
  <c r="AG388" i="3"/>
  <c r="BQ385" i="3"/>
  <c r="X388" i="3"/>
  <c r="BB385" i="3"/>
  <c r="AY386" i="3"/>
  <c r="AV386" i="3"/>
  <c r="BA386" i="3"/>
  <c r="AR389" i="3"/>
  <c r="B389" i="3"/>
  <c r="AQ389" i="3"/>
  <c r="A390" i="3"/>
  <c r="D389" i="3"/>
  <c r="C389" i="3"/>
  <c r="AK389" i="3"/>
  <c r="S389" i="3"/>
  <c r="Q389" i="3"/>
  <c r="R389" i="3"/>
  <c r="AM389" i="3"/>
  <c r="AD389" i="3"/>
  <c r="P389" i="3"/>
  <c r="O389" i="3"/>
  <c r="AE389" i="3"/>
  <c r="U389" i="3"/>
  <c r="M389" i="3"/>
  <c r="AF389" i="3"/>
  <c r="V389" i="3"/>
  <c r="F389" i="3"/>
  <c r="G389" i="3"/>
  <c r="H389" i="3" s="1"/>
  <c r="BN389" i="3" s="1"/>
  <c r="T389" i="3"/>
  <c r="AX387" i="3"/>
  <c r="AH388" i="3"/>
  <c r="AU387" i="3"/>
  <c r="AW387" i="3"/>
  <c r="AT387" i="3"/>
  <c r="BM388" i="3"/>
  <c r="AO388" i="3"/>
  <c r="BJ384" i="3"/>
  <c r="BK384" i="3" s="1"/>
  <c r="Y388" i="3"/>
  <c r="Z388" i="3" s="1"/>
  <c r="BD385" i="3" l="1"/>
  <c r="BM389" i="3"/>
  <c r="AY387" i="3"/>
  <c r="BC386" i="3"/>
  <c r="BG386" i="3" s="1"/>
  <c r="BH386" i="3" s="1"/>
  <c r="BI386" i="3" s="1"/>
  <c r="AG389" i="3"/>
  <c r="AT388" i="3"/>
  <c r="AX388" i="3"/>
  <c r="AN389" i="3"/>
  <c r="AO389" i="3"/>
  <c r="BA387" i="3"/>
  <c r="AV387" i="3"/>
  <c r="AR390" i="3"/>
  <c r="B390" i="3"/>
  <c r="AQ390" i="3"/>
  <c r="A391" i="3"/>
  <c r="AK390" i="3"/>
  <c r="T390" i="3"/>
  <c r="AM390" i="3"/>
  <c r="S390" i="3"/>
  <c r="Q390" i="3"/>
  <c r="R390" i="3"/>
  <c r="AD390" i="3"/>
  <c r="P390" i="3"/>
  <c r="O390" i="3"/>
  <c r="AF390" i="3"/>
  <c r="U390" i="3"/>
  <c r="M390" i="3"/>
  <c r="AE390" i="3"/>
  <c r="V390" i="3"/>
  <c r="D390" i="3"/>
  <c r="C390" i="3"/>
  <c r="G390" i="3"/>
  <c r="H390" i="3" s="1"/>
  <c r="F390" i="3"/>
  <c r="BQ386" i="3"/>
  <c r="BB386" i="3"/>
  <c r="BF386" i="3"/>
  <c r="BJ385" i="3" s="1"/>
  <c r="BK385" i="3" s="1"/>
  <c r="AU388" i="3"/>
  <c r="AW388" i="3"/>
  <c r="Y389" i="3"/>
  <c r="Z389" i="3" s="1"/>
  <c r="AH389" i="3"/>
  <c r="X389" i="3"/>
  <c r="BM390" i="3" l="1"/>
  <c r="BN390" i="3"/>
  <c r="AN390" i="3"/>
  <c r="BD386" i="3"/>
  <c r="AG390" i="3"/>
  <c r="AX389" i="3"/>
  <c r="BC387" i="3"/>
  <c r="BD387" i="3" s="1"/>
  <c r="AY388" i="3"/>
  <c r="Y390" i="3"/>
  <c r="Z390" i="3" s="1"/>
  <c r="BB387" i="3"/>
  <c r="BF387" i="3"/>
  <c r="BJ386" i="3" s="1"/>
  <c r="BK386" i="3" s="1"/>
  <c r="BQ387" i="3"/>
  <c r="BA388" i="3"/>
  <c r="AV388" i="3"/>
  <c r="AH390" i="3"/>
  <c r="AO390" i="3"/>
  <c r="AU389" i="3"/>
  <c r="AW389" i="3"/>
  <c r="AQ391" i="3"/>
  <c r="B391" i="3"/>
  <c r="A392" i="3"/>
  <c r="AR391" i="3"/>
  <c r="C391" i="3"/>
  <c r="AM391" i="3"/>
  <c r="AK391" i="3"/>
  <c r="S391" i="3"/>
  <c r="R391" i="3"/>
  <c r="AD391" i="3"/>
  <c r="P391" i="3"/>
  <c r="Q391" i="3"/>
  <c r="O391" i="3"/>
  <c r="M391" i="3"/>
  <c r="AE391" i="3"/>
  <c r="V391" i="3"/>
  <c r="U391" i="3"/>
  <c r="AF391" i="3"/>
  <c r="D391" i="3"/>
  <c r="F391" i="3"/>
  <c r="G391" i="3"/>
  <c r="H391" i="3" s="1"/>
  <c r="T391" i="3"/>
  <c r="X390" i="3"/>
  <c r="AT389" i="3"/>
  <c r="BN391" i="3" l="1"/>
  <c r="AT390" i="3"/>
  <c r="AU390" i="3"/>
  <c r="BC388" i="3"/>
  <c r="BG388" i="3" s="1"/>
  <c r="BH388" i="3" s="1"/>
  <c r="BI388" i="3" s="1"/>
  <c r="AY389" i="3"/>
  <c r="BG387" i="3"/>
  <c r="BH387" i="3" s="1"/>
  <c r="BI387" i="3" s="1"/>
  <c r="BM391" i="3"/>
  <c r="AN391" i="3"/>
  <c r="AW390" i="3"/>
  <c r="Y391" i="3"/>
  <c r="Z391" i="3" s="1"/>
  <c r="BA389" i="3"/>
  <c r="AV389" i="3"/>
  <c r="A393" i="3"/>
  <c r="B392" i="3"/>
  <c r="AR392" i="3"/>
  <c r="AQ392" i="3"/>
  <c r="R392" i="3"/>
  <c r="AK392" i="3"/>
  <c r="C392" i="3"/>
  <c r="AM392" i="3"/>
  <c r="S392" i="3"/>
  <c r="Q392" i="3"/>
  <c r="AD392" i="3"/>
  <c r="P392" i="3"/>
  <c r="O392" i="3"/>
  <c r="M392" i="3"/>
  <c r="AF392" i="3"/>
  <c r="AE392" i="3"/>
  <c r="U392" i="3"/>
  <c r="V392" i="3"/>
  <c r="G392" i="3"/>
  <c r="H392" i="3" s="1"/>
  <c r="D392" i="3"/>
  <c r="F392" i="3"/>
  <c r="T392" i="3"/>
  <c r="AG391" i="3"/>
  <c r="AO391" i="3"/>
  <c r="X391" i="3"/>
  <c r="AX390" i="3"/>
  <c r="BQ388" i="3"/>
  <c r="BB388" i="3"/>
  <c r="BF388" i="3"/>
  <c r="BJ387" i="3" s="1"/>
  <c r="BK387" i="3" s="1"/>
  <c r="AH391" i="3"/>
  <c r="BM392" i="3" l="1"/>
  <c r="BD388" i="3"/>
  <c r="BC389" i="3"/>
  <c r="BG389" i="3" s="1"/>
  <c r="BH389" i="3" s="1"/>
  <c r="BI389" i="3" s="1"/>
  <c r="AV390" i="3"/>
  <c r="AY390" i="3"/>
  <c r="AU391" i="3"/>
  <c r="BN392" i="3"/>
  <c r="AT391" i="3"/>
  <c r="AO392" i="3"/>
  <c r="AN392" i="3"/>
  <c r="AX391" i="3"/>
  <c r="AW391" i="3"/>
  <c r="Y392" i="3"/>
  <c r="Z392" i="3" s="1"/>
  <c r="AG392" i="3"/>
  <c r="BA390" i="3"/>
  <c r="A394" i="3"/>
  <c r="B393" i="3"/>
  <c r="AR393" i="3"/>
  <c r="AQ393" i="3"/>
  <c r="D393" i="3"/>
  <c r="AK393" i="3"/>
  <c r="AM393" i="3"/>
  <c r="S393" i="3"/>
  <c r="R393" i="3"/>
  <c r="Q393" i="3"/>
  <c r="AD393" i="3"/>
  <c r="P393" i="3"/>
  <c r="AF393" i="3"/>
  <c r="M393" i="3"/>
  <c r="O393" i="3"/>
  <c r="AE393" i="3"/>
  <c r="U393" i="3"/>
  <c r="V393" i="3"/>
  <c r="C393" i="3"/>
  <c r="F393" i="3"/>
  <c r="G393" i="3"/>
  <c r="H393" i="3" s="1"/>
  <c r="T393" i="3"/>
  <c r="BQ389" i="3"/>
  <c r="BF389" i="3"/>
  <c r="BJ388" i="3" s="1"/>
  <c r="BK388" i="3" s="1"/>
  <c r="BB389" i="3"/>
  <c r="AH392" i="3"/>
  <c r="X392" i="3"/>
  <c r="BN393" i="3" l="1"/>
  <c r="BD389" i="3"/>
  <c r="BC390" i="3"/>
  <c r="BD390" i="3" s="1"/>
  <c r="AV391" i="3"/>
  <c r="AN393" i="3"/>
  <c r="AH393" i="3"/>
  <c r="AT392" i="3"/>
  <c r="AX392" i="3"/>
  <c r="X393" i="3"/>
  <c r="AY391" i="3"/>
  <c r="BF390" i="3"/>
  <c r="BJ389" i="3" s="1"/>
  <c r="BK389" i="3" s="1"/>
  <c r="BB390" i="3"/>
  <c r="BQ390" i="3"/>
  <c r="Y393" i="3"/>
  <c r="Z393" i="3" s="1"/>
  <c r="BM393" i="3"/>
  <c r="AG393" i="3"/>
  <c r="AO393" i="3"/>
  <c r="AW392" i="3"/>
  <c r="AQ394" i="3"/>
  <c r="B394" i="3"/>
  <c r="A395" i="3"/>
  <c r="AR394" i="3"/>
  <c r="AM394" i="3"/>
  <c r="S394" i="3"/>
  <c r="R394" i="3"/>
  <c r="D394" i="3"/>
  <c r="AK394" i="3"/>
  <c r="Q394" i="3"/>
  <c r="AD394" i="3"/>
  <c r="P394" i="3"/>
  <c r="AE394" i="3"/>
  <c r="M394" i="3"/>
  <c r="AF394" i="3"/>
  <c r="V394" i="3"/>
  <c r="O394" i="3"/>
  <c r="U394" i="3"/>
  <c r="G394" i="3"/>
  <c r="H394" i="3" s="1"/>
  <c r="C394" i="3"/>
  <c r="F394" i="3"/>
  <c r="T394" i="3"/>
  <c r="AU392" i="3"/>
  <c r="BA391" i="3"/>
  <c r="AU393" i="3" l="1"/>
  <c r="AO394" i="3"/>
  <c r="BG390" i="3"/>
  <c r="BH390" i="3" s="1"/>
  <c r="BI390" i="3" s="1"/>
  <c r="BC391" i="3"/>
  <c r="BG391" i="3" s="1"/>
  <c r="BH391" i="3" s="1"/>
  <c r="BI391" i="3" s="1"/>
  <c r="AX393" i="3"/>
  <c r="AT393" i="3"/>
  <c r="BM394" i="3"/>
  <c r="BN394" i="3"/>
  <c r="AW393" i="3"/>
  <c r="BA392" i="3"/>
  <c r="BF392" i="3" s="1"/>
  <c r="AY392" i="3"/>
  <c r="BQ391" i="3"/>
  <c r="BF391" i="3"/>
  <c r="BJ390" i="3" s="1"/>
  <c r="BK390" i="3" s="1"/>
  <c r="BB391" i="3"/>
  <c r="Y394" i="3"/>
  <c r="Z394" i="3" s="1"/>
  <c r="X394" i="3"/>
  <c r="AV392" i="3"/>
  <c r="A396" i="3"/>
  <c r="B395" i="3"/>
  <c r="AR395" i="3"/>
  <c r="AQ395" i="3"/>
  <c r="T395" i="3"/>
  <c r="R395" i="3"/>
  <c r="AM395" i="3"/>
  <c r="AK395" i="3"/>
  <c r="S395" i="3"/>
  <c r="Q395" i="3"/>
  <c r="AD395" i="3"/>
  <c r="O395" i="3"/>
  <c r="AE395" i="3"/>
  <c r="M395" i="3"/>
  <c r="V395" i="3"/>
  <c r="AF395" i="3"/>
  <c r="U395" i="3"/>
  <c r="C395" i="3"/>
  <c r="D395" i="3"/>
  <c r="G395" i="3"/>
  <c r="H395" i="3" s="1"/>
  <c r="F395" i="3"/>
  <c r="P395" i="3"/>
  <c r="AG394" i="3"/>
  <c r="AH394" i="3"/>
  <c r="AN394" i="3"/>
  <c r="AV393" i="3" l="1"/>
  <c r="BD391" i="3"/>
  <c r="BA393" i="3"/>
  <c r="BF393" i="3" s="1"/>
  <c r="BJ392" i="3" s="1"/>
  <c r="BK392" i="3" s="1"/>
  <c r="AY393" i="3"/>
  <c r="BQ392" i="3"/>
  <c r="BN395" i="3"/>
  <c r="BB392" i="3"/>
  <c r="AO395" i="3"/>
  <c r="BC392" i="3"/>
  <c r="BG392" i="3" s="1"/>
  <c r="BH392" i="3" s="1"/>
  <c r="BI392" i="3" s="1"/>
  <c r="AX394" i="3"/>
  <c r="BJ391" i="3"/>
  <c r="BK391" i="3" s="1"/>
  <c r="X395" i="3"/>
  <c r="AR396" i="3"/>
  <c r="B396" i="3"/>
  <c r="AQ396" i="3"/>
  <c r="A397" i="3"/>
  <c r="D396" i="3"/>
  <c r="C396" i="3"/>
  <c r="AM396" i="3"/>
  <c r="AK396" i="3"/>
  <c r="R396" i="3"/>
  <c r="S396" i="3"/>
  <c r="Q396" i="3"/>
  <c r="AD396" i="3"/>
  <c r="M396" i="3"/>
  <c r="P396" i="3"/>
  <c r="O396" i="3"/>
  <c r="AF396" i="3"/>
  <c r="AE396" i="3"/>
  <c r="V396" i="3"/>
  <c r="G396" i="3"/>
  <c r="H396" i="3" s="1"/>
  <c r="F396" i="3"/>
  <c r="U396" i="3"/>
  <c r="T396" i="3"/>
  <c r="Y395" i="3"/>
  <c r="Z395" i="3" s="1"/>
  <c r="AW394" i="3"/>
  <c r="BM395" i="3"/>
  <c r="AG395" i="3"/>
  <c r="AH395" i="3"/>
  <c r="AN395" i="3"/>
  <c r="AT394" i="3"/>
  <c r="AU394" i="3"/>
  <c r="BB393" i="3" l="1"/>
  <c r="BN396" i="3"/>
  <c r="BM396" i="3"/>
  <c r="BC393" i="3"/>
  <c r="BD393" i="3" s="1"/>
  <c r="AY394" i="3"/>
  <c r="BQ393" i="3"/>
  <c r="BD392" i="3"/>
  <c r="AN396" i="3"/>
  <c r="AX395" i="3"/>
  <c r="AG396" i="3"/>
  <c r="AU395" i="3"/>
  <c r="AT395" i="3"/>
  <c r="AV394" i="3"/>
  <c r="BA394" i="3"/>
  <c r="AR397" i="3"/>
  <c r="B397" i="3"/>
  <c r="AQ397" i="3"/>
  <c r="A398" i="3"/>
  <c r="C397" i="3"/>
  <c r="AK397" i="3"/>
  <c r="AM397" i="3"/>
  <c r="S397" i="3"/>
  <c r="T397" i="3"/>
  <c r="Q397" i="3"/>
  <c r="R397" i="3"/>
  <c r="AD397" i="3"/>
  <c r="P397" i="3"/>
  <c r="O397" i="3"/>
  <c r="U397" i="3"/>
  <c r="V397" i="3"/>
  <c r="M397" i="3"/>
  <c r="AF397" i="3"/>
  <c r="AE397" i="3"/>
  <c r="G397" i="3"/>
  <c r="H397" i="3" s="1"/>
  <c r="F397" i="3"/>
  <c r="BM397" i="3" s="1"/>
  <c r="D397" i="3"/>
  <c r="AW395" i="3"/>
  <c r="Y396" i="3"/>
  <c r="Z396" i="3" s="1"/>
  <c r="AH396" i="3"/>
  <c r="AO396" i="3"/>
  <c r="X396" i="3"/>
  <c r="BC394" i="3" l="1"/>
  <c r="BD394" i="3" s="1"/>
  <c r="BG393" i="3"/>
  <c r="BH393" i="3" s="1"/>
  <c r="BI393" i="3" s="1"/>
  <c r="AY395" i="3"/>
  <c r="AO397" i="3"/>
  <c r="AW396" i="3"/>
  <c r="AV395" i="3"/>
  <c r="AG397" i="3"/>
  <c r="AN397" i="3"/>
  <c r="X397" i="3"/>
  <c r="AU396" i="3"/>
  <c r="Y397" i="3"/>
  <c r="Z397" i="3" s="1"/>
  <c r="BN397" i="3"/>
  <c r="AQ398" i="3"/>
  <c r="B398" i="3"/>
  <c r="A399" i="3"/>
  <c r="AR398" i="3"/>
  <c r="AK398" i="3"/>
  <c r="S398" i="3"/>
  <c r="AM398" i="3"/>
  <c r="T398" i="3"/>
  <c r="R398" i="3"/>
  <c r="Q398" i="3"/>
  <c r="AD398" i="3"/>
  <c r="P398" i="3"/>
  <c r="O398" i="3"/>
  <c r="AF398" i="3"/>
  <c r="V398" i="3"/>
  <c r="U398" i="3"/>
  <c r="AE398" i="3"/>
  <c r="M398" i="3"/>
  <c r="D398" i="3"/>
  <c r="F398" i="3"/>
  <c r="C398" i="3"/>
  <c r="G398" i="3"/>
  <c r="H398" i="3" s="1"/>
  <c r="BQ394" i="3"/>
  <c r="BF394" i="3"/>
  <c r="BJ393" i="3" s="1"/>
  <c r="BK393" i="3" s="1"/>
  <c r="BB394" i="3"/>
  <c r="AX396" i="3"/>
  <c r="AH397" i="3"/>
  <c r="BA395" i="3"/>
  <c r="AT396" i="3"/>
  <c r="BG394" i="3" l="1"/>
  <c r="BH394" i="3" s="1"/>
  <c r="BI394" i="3" s="1"/>
  <c r="BC395" i="3"/>
  <c r="BG395" i="3" s="1"/>
  <c r="BH395" i="3" s="1"/>
  <c r="BI395" i="3" s="1"/>
  <c r="AN398" i="3"/>
  <c r="AY396" i="3"/>
  <c r="BN398" i="3"/>
  <c r="BM398" i="3"/>
  <c r="AX397" i="3"/>
  <c r="AG398" i="3"/>
  <c r="BQ395" i="3"/>
  <c r="BB395" i="3"/>
  <c r="BF395" i="3"/>
  <c r="BJ394" i="3" s="1"/>
  <c r="BK394" i="3" s="1"/>
  <c r="Y398" i="3"/>
  <c r="Z398" i="3" s="1"/>
  <c r="A400" i="3"/>
  <c r="B399" i="3"/>
  <c r="AR399" i="3"/>
  <c r="AQ399" i="3"/>
  <c r="D399" i="3"/>
  <c r="T399" i="3"/>
  <c r="AM399" i="3"/>
  <c r="AK399" i="3"/>
  <c r="R399" i="3"/>
  <c r="S399" i="3"/>
  <c r="AD399" i="3"/>
  <c r="P399" i="3"/>
  <c r="O399" i="3"/>
  <c r="M399" i="3"/>
  <c r="V399" i="3"/>
  <c r="U399" i="3"/>
  <c r="AF399" i="3"/>
  <c r="AE399" i="3"/>
  <c r="C399" i="3"/>
  <c r="G399" i="3"/>
  <c r="H399" i="3" s="1"/>
  <c r="Q399" i="3"/>
  <c r="F399" i="3"/>
  <c r="X398" i="3"/>
  <c r="AH398" i="3"/>
  <c r="AO398" i="3"/>
  <c r="AU397" i="3"/>
  <c r="BA396" i="3"/>
  <c r="AV396" i="3"/>
  <c r="AT397" i="3"/>
  <c r="AW397" i="3"/>
  <c r="BD395" i="3" l="1"/>
  <c r="BC396" i="3"/>
  <c r="BG396" i="3" s="1"/>
  <c r="BH396" i="3" s="1"/>
  <c r="BI396" i="3" s="1"/>
  <c r="AN399" i="3"/>
  <c r="AV397" i="3"/>
  <c r="AW398" i="3"/>
  <c r="BA397" i="3"/>
  <c r="AY397" i="3"/>
  <c r="BQ396" i="3"/>
  <c r="BB396" i="3"/>
  <c r="BF396" i="3"/>
  <c r="BJ395" i="3" s="1"/>
  <c r="BK395" i="3" s="1"/>
  <c r="AH399" i="3"/>
  <c r="AG399" i="3"/>
  <c r="X399" i="3"/>
  <c r="AT398" i="3"/>
  <c r="AU398" i="3"/>
  <c r="AX398" i="3"/>
  <c r="BM399" i="3"/>
  <c r="BN399" i="3"/>
  <c r="AO399" i="3"/>
  <c r="Y399" i="3"/>
  <c r="Z399" i="3" s="1"/>
  <c r="AR400" i="3"/>
  <c r="B400" i="3"/>
  <c r="AQ400" i="3"/>
  <c r="A401" i="3"/>
  <c r="D400" i="3"/>
  <c r="AK400" i="3"/>
  <c r="T400" i="3"/>
  <c r="S400" i="3"/>
  <c r="AM400" i="3"/>
  <c r="Q400" i="3"/>
  <c r="R400" i="3"/>
  <c r="P400" i="3"/>
  <c r="AD400" i="3"/>
  <c r="M400" i="3"/>
  <c r="O400" i="3"/>
  <c r="AF400" i="3"/>
  <c r="AE400" i="3"/>
  <c r="V400" i="3"/>
  <c r="U400" i="3"/>
  <c r="C400" i="3"/>
  <c r="G400" i="3"/>
  <c r="H400" i="3" s="1"/>
  <c r="BN400" i="3" s="1"/>
  <c r="F400" i="3"/>
  <c r="BD396" i="3" l="1"/>
  <c r="BM400" i="3"/>
  <c r="BC397" i="3"/>
  <c r="BD397" i="3" s="1"/>
  <c r="AY398" i="3"/>
  <c r="AO400" i="3"/>
  <c r="AU399" i="3"/>
  <c r="AT399" i="3"/>
  <c r="AW399" i="3"/>
  <c r="Y400" i="3"/>
  <c r="Z400" i="3" s="1"/>
  <c r="X400" i="3"/>
  <c r="AG400" i="3"/>
  <c r="AH400" i="3"/>
  <c r="AN400" i="3"/>
  <c r="AX399" i="3"/>
  <c r="AR401" i="3"/>
  <c r="B401" i="3"/>
  <c r="AQ401" i="3"/>
  <c r="A402" i="3"/>
  <c r="D401" i="3"/>
  <c r="AM401" i="3"/>
  <c r="S401" i="3"/>
  <c r="Q401" i="3"/>
  <c r="R401" i="3"/>
  <c r="AK401" i="3"/>
  <c r="AD401" i="3"/>
  <c r="P401" i="3"/>
  <c r="O401" i="3"/>
  <c r="AE401" i="3"/>
  <c r="AF401" i="3"/>
  <c r="M401" i="3"/>
  <c r="V401" i="3"/>
  <c r="U401" i="3"/>
  <c r="G401" i="3"/>
  <c r="H401" i="3" s="1"/>
  <c r="F401" i="3"/>
  <c r="C401" i="3"/>
  <c r="T401" i="3"/>
  <c r="AV398" i="3"/>
  <c r="BA398" i="3"/>
  <c r="BQ397" i="3"/>
  <c r="BB397" i="3"/>
  <c r="BF397" i="3"/>
  <c r="BJ396" i="3" s="1"/>
  <c r="BK396" i="3" s="1"/>
  <c r="BN401" i="3" l="1"/>
  <c r="AO401" i="3"/>
  <c r="BG397" i="3"/>
  <c r="BH397" i="3" s="1"/>
  <c r="BI397" i="3" s="1"/>
  <c r="AV399" i="3"/>
  <c r="AY399" i="3"/>
  <c r="BC398" i="3"/>
  <c r="BG398" i="3" s="1"/>
  <c r="BH398" i="3" s="1"/>
  <c r="BI398" i="3" s="1"/>
  <c r="AT400" i="3"/>
  <c r="X401" i="3"/>
  <c r="AH401" i="3"/>
  <c r="BA399" i="3"/>
  <c r="BB399" i="3" s="1"/>
  <c r="AU400" i="3"/>
  <c r="BB398" i="3"/>
  <c r="BQ398" i="3"/>
  <c r="BF398" i="3"/>
  <c r="BJ397" i="3" s="1"/>
  <c r="BK397" i="3" s="1"/>
  <c r="AQ402" i="3"/>
  <c r="B402" i="3"/>
  <c r="A403" i="3"/>
  <c r="AR402" i="3"/>
  <c r="AM402" i="3"/>
  <c r="S402" i="3"/>
  <c r="AK402" i="3"/>
  <c r="T402" i="3"/>
  <c r="Q402" i="3"/>
  <c r="AD402" i="3"/>
  <c r="P402" i="3"/>
  <c r="AE402" i="3"/>
  <c r="U402" i="3"/>
  <c r="V402" i="3"/>
  <c r="O402" i="3"/>
  <c r="M402" i="3"/>
  <c r="AF402" i="3"/>
  <c r="R402" i="3"/>
  <c r="C402" i="3"/>
  <c r="G402" i="3"/>
  <c r="H402" i="3" s="1"/>
  <c r="D402" i="3"/>
  <c r="F402" i="3"/>
  <c r="Y401" i="3"/>
  <c r="Z401" i="3" s="1"/>
  <c r="BM401" i="3"/>
  <c r="AG401" i="3"/>
  <c r="AN401" i="3"/>
  <c r="AX400" i="3"/>
  <c r="AW400" i="3"/>
  <c r="AO402" i="3" l="1"/>
  <c r="BC399" i="3"/>
  <c r="BG399" i="3" s="1"/>
  <c r="BH399" i="3" s="1"/>
  <c r="BI399" i="3" s="1"/>
  <c r="BM402" i="3"/>
  <c r="BD398" i="3"/>
  <c r="AY400" i="3"/>
  <c r="BQ399" i="3"/>
  <c r="AV400" i="3"/>
  <c r="AW401" i="3"/>
  <c r="BF399" i="3"/>
  <c r="BJ398" i="3" s="1"/>
  <c r="BK398" i="3" s="1"/>
  <c r="AH402" i="3"/>
  <c r="Y402" i="3"/>
  <c r="Z402" i="3" s="1"/>
  <c r="A404" i="3"/>
  <c r="B403" i="3"/>
  <c r="AR403" i="3"/>
  <c r="AQ403" i="3"/>
  <c r="D403" i="3"/>
  <c r="AM403" i="3"/>
  <c r="AK403" i="3"/>
  <c r="Q403" i="3"/>
  <c r="R403" i="3"/>
  <c r="S403" i="3"/>
  <c r="AD403" i="3"/>
  <c r="P403" i="3"/>
  <c r="O403" i="3"/>
  <c r="AE403" i="3"/>
  <c r="AF403" i="3"/>
  <c r="M403" i="3"/>
  <c r="V403" i="3"/>
  <c r="U403" i="3"/>
  <c r="G403" i="3"/>
  <c r="H403" i="3" s="1"/>
  <c r="C403" i="3"/>
  <c r="F403" i="3"/>
  <c r="T403" i="3"/>
  <c r="AT401" i="3"/>
  <c r="AX401" i="3"/>
  <c r="AU401" i="3"/>
  <c r="X402" i="3"/>
  <c r="AN402" i="3"/>
  <c r="BA400" i="3"/>
  <c r="BN402" i="3"/>
  <c r="AG402" i="3"/>
  <c r="BN403" i="3" l="1"/>
  <c r="BD399" i="3"/>
  <c r="BC400" i="3"/>
  <c r="BD400" i="3" s="1"/>
  <c r="AW402" i="3"/>
  <c r="AG403" i="3"/>
  <c r="AY401" i="3"/>
  <c r="AN403" i="3"/>
  <c r="AU402" i="3"/>
  <c r="AX402" i="3"/>
  <c r="AT402" i="3"/>
  <c r="Y403" i="3"/>
  <c r="Z403" i="3" s="1"/>
  <c r="X403" i="3"/>
  <c r="BQ400" i="3"/>
  <c r="BF400" i="3"/>
  <c r="BJ399" i="3" s="1"/>
  <c r="BK399" i="3" s="1"/>
  <c r="BB400" i="3"/>
  <c r="BA401" i="3"/>
  <c r="AV401" i="3"/>
  <c r="AR404" i="3"/>
  <c r="B404" i="3"/>
  <c r="AQ404" i="3"/>
  <c r="A405" i="3"/>
  <c r="D404" i="3"/>
  <c r="S404" i="3"/>
  <c r="Q404" i="3"/>
  <c r="AM404" i="3"/>
  <c r="AK404" i="3"/>
  <c r="P404" i="3"/>
  <c r="R404" i="3"/>
  <c r="AD404" i="3"/>
  <c r="M404" i="3"/>
  <c r="O404" i="3"/>
  <c r="AE404" i="3"/>
  <c r="AF404" i="3"/>
  <c r="U404" i="3"/>
  <c r="V404" i="3"/>
  <c r="C404" i="3"/>
  <c r="F404" i="3"/>
  <c r="G404" i="3"/>
  <c r="H404" i="3" s="1"/>
  <c r="T404" i="3"/>
  <c r="BM403" i="3"/>
  <c r="AH403" i="3"/>
  <c r="AO403" i="3"/>
  <c r="BN404" i="3" l="1"/>
  <c r="AV402" i="3"/>
  <c r="BG400" i="3"/>
  <c r="BH400" i="3" s="1"/>
  <c r="BI400" i="3" s="1"/>
  <c r="AO404" i="3"/>
  <c r="AY402" i="3"/>
  <c r="BA402" i="3"/>
  <c r="BF402" i="3" s="1"/>
  <c r="BC401" i="3"/>
  <c r="BD401" i="3" s="1"/>
  <c r="AX403" i="3"/>
  <c r="AW403" i="3"/>
  <c r="AG404" i="3"/>
  <c r="X404" i="3"/>
  <c r="AR405" i="3"/>
  <c r="B405" i="3"/>
  <c r="AQ405" i="3"/>
  <c r="A406" i="3"/>
  <c r="AM405" i="3"/>
  <c r="T405" i="3"/>
  <c r="AK405" i="3"/>
  <c r="C405" i="3"/>
  <c r="S405" i="3"/>
  <c r="Q405" i="3"/>
  <c r="R405" i="3"/>
  <c r="AD405" i="3"/>
  <c r="P405" i="3"/>
  <c r="O405" i="3"/>
  <c r="M405" i="3"/>
  <c r="AF405" i="3"/>
  <c r="U405" i="3"/>
  <c r="V405" i="3"/>
  <c r="AE405" i="3"/>
  <c r="D405" i="3"/>
  <c r="F405" i="3"/>
  <c r="G405" i="3"/>
  <c r="H405" i="3" s="1"/>
  <c r="AU403" i="3"/>
  <c r="AT403" i="3"/>
  <c r="Y404" i="3"/>
  <c r="Z404" i="3" s="1"/>
  <c r="BM404" i="3"/>
  <c r="AH404" i="3"/>
  <c r="AN404" i="3"/>
  <c r="BQ401" i="3"/>
  <c r="BB401" i="3"/>
  <c r="BF401" i="3"/>
  <c r="BJ400" i="3" s="1"/>
  <c r="BK400" i="3" s="1"/>
  <c r="BC402" i="3" l="1"/>
  <c r="BD402" i="3" s="1"/>
  <c r="BN405" i="3"/>
  <c r="BQ402" i="3"/>
  <c r="AO405" i="3"/>
  <c r="BM405" i="3"/>
  <c r="AU404" i="3"/>
  <c r="BB402" i="3"/>
  <c r="BG401" i="3"/>
  <c r="BH401" i="3" s="1"/>
  <c r="BI401" i="3" s="1"/>
  <c r="AG405" i="3"/>
  <c r="AY403" i="3"/>
  <c r="AW404" i="3"/>
  <c r="AT404" i="3"/>
  <c r="AV403" i="3"/>
  <c r="BA403" i="3"/>
  <c r="AN405" i="3"/>
  <c r="BJ401" i="3"/>
  <c r="BK401" i="3" s="1"/>
  <c r="Y405" i="3"/>
  <c r="Z405" i="3" s="1"/>
  <c r="AQ406" i="3"/>
  <c r="B406" i="3"/>
  <c r="A407" i="3"/>
  <c r="AR406" i="3"/>
  <c r="C406" i="3"/>
  <c r="AK406" i="3"/>
  <c r="S406" i="3"/>
  <c r="Q406" i="3"/>
  <c r="AM406" i="3"/>
  <c r="R406" i="3"/>
  <c r="AD406" i="3"/>
  <c r="P406" i="3"/>
  <c r="M406" i="3"/>
  <c r="V406" i="3"/>
  <c r="O406" i="3"/>
  <c r="AF406" i="3"/>
  <c r="AE406" i="3"/>
  <c r="U406" i="3"/>
  <c r="D406" i="3"/>
  <c r="G406" i="3"/>
  <c r="H406" i="3" s="1"/>
  <c r="F406" i="3"/>
  <c r="BM406" i="3" s="1"/>
  <c r="T406" i="3"/>
  <c r="AX404" i="3"/>
  <c r="AH405" i="3"/>
  <c r="X405" i="3"/>
  <c r="AV404" i="3" l="1"/>
  <c r="AY404" i="3"/>
  <c r="BG402" i="3"/>
  <c r="BH402" i="3" s="1"/>
  <c r="BI402" i="3" s="1"/>
  <c r="AX405" i="3"/>
  <c r="BC403" i="3"/>
  <c r="BG403" i="3" s="1"/>
  <c r="BH403" i="3" s="1"/>
  <c r="BI403" i="3" s="1"/>
  <c r="AG406" i="3"/>
  <c r="AN406" i="3"/>
  <c r="AH406" i="3"/>
  <c r="X406" i="3"/>
  <c r="Y406" i="3"/>
  <c r="Z406" i="3" s="1"/>
  <c r="BN406" i="3"/>
  <c r="AO406" i="3"/>
  <c r="BA404" i="3"/>
  <c r="AT405" i="3"/>
  <c r="A408" i="3"/>
  <c r="B407" i="3"/>
  <c r="AR407" i="3"/>
  <c r="AQ407" i="3"/>
  <c r="C407" i="3"/>
  <c r="AM407" i="3"/>
  <c r="Q407" i="3"/>
  <c r="AK407" i="3"/>
  <c r="S407" i="3"/>
  <c r="AD407" i="3"/>
  <c r="T407" i="3"/>
  <c r="R407" i="3"/>
  <c r="P407" i="3"/>
  <c r="O407" i="3"/>
  <c r="U407" i="3"/>
  <c r="M407" i="3"/>
  <c r="AE407" i="3"/>
  <c r="AF407" i="3"/>
  <c r="V407" i="3"/>
  <c r="D407" i="3"/>
  <c r="G407" i="3"/>
  <c r="H407" i="3" s="1"/>
  <c r="F407" i="3"/>
  <c r="BB403" i="3"/>
  <c r="BF403" i="3"/>
  <c r="BJ402" i="3" s="1"/>
  <c r="BK402" i="3" s="1"/>
  <c r="BQ403" i="3"/>
  <c r="AU405" i="3"/>
  <c r="AW405" i="3"/>
  <c r="BC404" i="3" l="1"/>
  <c r="BD404" i="3" s="1"/>
  <c r="AO407" i="3"/>
  <c r="BD403" i="3"/>
  <c r="BN407" i="3"/>
  <c r="AY405" i="3"/>
  <c r="AU406" i="3"/>
  <c r="AW406" i="3"/>
  <c r="AG407" i="3"/>
  <c r="AR408" i="3"/>
  <c r="B408" i="3"/>
  <c r="AQ408" i="3"/>
  <c r="A409" i="3"/>
  <c r="AM408" i="3"/>
  <c r="S408" i="3"/>
  <c r="AK408" i="3"/>
  <c r="D408" i="3"/>
  <c r="Q408" i="3"/>
  <c r="T408" i="3"/>
  <c r="R408" i="3"/>
  <c r="AD408" i="3"/>
  <c r="P408" i="3"/>
  <c r="O408" i="3"/>
  <c r="AE408" i="3"/>
  <c r="AF408" i="3"/>
  <c r="M408" i="3"/>
  <c r="U408" i="3"/>
  <c r="V408" i="3"/>
  <c r="C408" i="3"/>
  <c r="G408" i="3"/>
  <c r="H408" i="3" s="1"/>
  <c r="F408" i="3"/>
  <c r="Y407" i="3"/>
  <c r="Z407" i="3" s="1"/>
  <c r="BA405" i="3"/>
  <c r="AV405" i="3"/>
  <c r="BM407" i="3"/>
  <c r="AH407" i="3"/>
  <c r="AN407" i="3"/>
  <c r="AT406" i="3"/>
  <c r="BF404" i="3"/>
  <c r="BJ403" i="3" s="1"/>
  <c r="BK403" i="3" s="1"/>
  <c r="BB404" i="3"/>
  <c r="BQ404" i="3"/>
  <c r="X407" i="3"/>
  <c r="AX406" i="3"/>
  <c r="BM408" i="3" l="1"/>
  <c r="BG404" i="3"/>
  <c r="BH404" i="3" s="1"/>
  <c r="BI404" i="3" s="1"/>
  <c r="AO408" i="3"/>
  <c r="AY406" i="3"/>
  <c r="BC405" i="3"/>
  <c r="BG405" i="3" s="1"/>
  <c r="BH405" i="3" s="1"/>
  <c r="BI405" i="3" s="1"/>
  <c r="BN408" i="3"/>
  <c r="AU407" i="3"/>
  <c r="AG408" i="3"/>
  <c r="AN408" i="3"/>
  <c r="AW407" i="3"/>
  <c r="Y408" i="3"/>
  <c r="Z408" i="3" s="1"/>
  <c r="AR409" i="3"/>
  <c r="B409" i="3"/>
  <c r="AQ409" i="3"/>
  <c r="A410" i="3"/>
  <c r="AM409" i="3"/>
  <c r="T409" i="3"/>
  <c r="S409" i="3"/>
  <c r="AK409" i="3"/>
  <c r="Q409" i="3"/>
  <c r="P409" i="3"/>
  <c r="AD409" i="3"/>
  <c r="O409" i="3"/>
  <c r="AE409" i="3"/>
  <c r="AF409" i="3"/>
  <c r="V409" i="3"/>
  <c r="M409" i="3"/>
  <c r="U409" i="3"/>
  <c r="R409" i="3"/>
  <c r="F409" i="3"/>
  <c r="C409" i="3"/>
  <c r="D409" i="3"/>
  <c r="G409" i="3"/>
  <c r="H409" i="3" s="1"/>
  <c r="AX407" i="3"/>
  <c r="AT407" i="3"/>
  <c r="X408" i="3"/>
  <c r="AH408" i="3"/>
  <c r="AV406" i="3"/>
  <c r="BA406" i="3"/>
  <c r="BB405" i="3"/>
  <c r="BF405" i="3"/>
  <c r="BQ405" i="3"/>
  <c r="BD405" i="3" l="1"/>
  <c r="BC406" i="3"/>
  <c r="BG406" i="3" s="1"/>
  <c r="BH406" i="3" s="1"/>
  <c r="BI406" i="3" s="1"/>
  <c r="AY407" i="3"/>
  <c r="BN409" i="3"/>
  <c r="AX408" i="3"/>
  <c r="AO409" i="3"/>
  <c r="AW408" i="3"/>
  <c r="AT408" i="3"/>
  <c r="X409" i="3"/>
  <c r="BJ404" i="3"/>
  <c r="BK404" i="3" s="1"/>
  <c r="BF406" i="3"/>
  <c r="BJ405" i="3" s="1"/>
  <c r="BK405" i="3" s="1"/>
  <c r="BB406" i="3"/>
  <c r="BQ406" i="3"/>
  <c r="AV407" i="3"/>
  <c r="BA407" i="3"/>
  <c r="Y409" i="3"/>
  <c r="Z409" i="3" s="1"/>
  <c r="AU408" i="3"/>
  <c r="BM409" i="3"/>
  <c r="AG409" i="3"/>
  <c r="AH409" i="3"/>
  <c r="AN409" i="3"/>
  <c r="AQ410" i="3"/>
  <c r="B410" i="3"/>
  <c r="A411" i="3"/>
  <c r="AR410" i="3"/>
  <c r="D410" i="3"/>
  <c r="C410" i="3"/>
  <c r="AK410" i="3"/>
  <c r="AM410" i="3"/>
  <c r="T410" i="3"/>
  <c r="Q410" i="3"/>
  <c r="S410" i="3"/>
  <c r="R410" i="3"/>
  <c r="AD410" i="3"/>
  <c r="P410" i="3"/>
  <c r="O410" i="3"/>
  <c r="AE410" i="3"/>
  <c r="AF410" i="3"/>
  <c r="M410" i="3"/>
  <c r="U410" i="3"/>
  <c r="V410" i="3"/>
  <c r="F410" i="3"/>
  <c r="G410" i="3"/>
  <c r="H410" i="3" s="1"/>
  <c r="BD406" i="3" l="1"/>
  <c r="AY408" i="3"/>
  <c r="BN410" i="3"/>
  <c r="BC407" i="3"/>
  <c r="BD407" i="3" s="1"/>
  <c r="AN410" i="3"/>
  <c r="BM410" i="3"/>
  <c r="AU409" i="3"/>
  <c r="BA408" i="3"/>
  <c r="BQ408" i="3" s="1"/>
  <c r="AG410" i="3"/>
  <c r="AT409" i="3"/>
  <c r="AV408" i="3"/>
  <c r="BB407" i="3"/>
  <c r="BQ407" i="3"/>
  <c r="BF407" i="3"/>
  <c r="BJ406" i="3" s="1"/>
  <c r="BK406" i="3" s="1"/>
  <c r="X410" i="3"/>
  <c r="AW409" i="3"/>
  <c r="Y410" i="3"/>
  <c r="Z410" i="3" s="1"/>
  <c r="A412" i="3"/>
  <c r="B411" i="3"/>
  <c r="AR411" i="3"/>
  <c r="AQ411" i="3"/>
  <c r="AM411" i="3"/>
  <c r="AK411" i="3"/>
  <c r="AD411" i="3"/>
  <c r="P411" i="3"/>
  <c r="S411" i="3"/>
  <c r="R411" i="3"/>
  <c r="Q411" i="3"/>
  <c r="O411" i="3"/>
  <c r="AE411" i="3"/>
  <c r="U411" i="3"/>
  <c r="AF411" i="3"/>
  <c r="M411" i="3"/>
  <c r="V411" i="3"/>
  <c r="C411" i="3"/>
  <c r="D411" i="3"/>
  <c r="F411" i="3"/>
  <c r="G411" i="3"/>
  <c r="H411" i="3" s="1"/>
  <c r="T411" i="3"/>
  <c r="AH410" i="3"/>
  <c r="AO410" i="3"/>
  <c r="AX409" i="3"/>
  <c r="BN411" i="3" l="1"/>
  <c r="BM411" i="3"/>
  <c r="BC408" i="3"/>
  <c r="BD408" i="3" s="1"/>
  <c r="BG407" i="3"/>
  <c r="BH407" i="3" s="1"/>
  <c r="BI407" i="3" s="1"/>
  <c r="BB408" i="3"/>
  <c r="AV409" i="3"/>
  <c r="BF408" i="3"/>
  <c r="BJ407" i="3" s="1"/>
  <c r="BK407" i="3" s="1"/>
  <c r="AO411" i="3"/>
  <c r="Y411" i="3"/>
  <c r="Z411" i="3" s="1"/>
  <c r="AR412" i="3"/>
  <c r="B412" i="3"/>
  <c r="AQ412" i="3"/>
  <c r="A413" i="3"/>
  <c r="AM412" i="3"/>
  <c r="AK412" i="3"/>
  <c r="T412" i="3"/>
  <c r="S412" i="3"/>
  <c r="Q412" i="3"/>
  <c r="AD412" i="3"/>
  <c r="P412" i="3"/>
  <c r="O412" i="3"/>
  <c r="M412" i="3"/>
  <c r="AE412" i="3"/>
  <c r="AF412" i="3"/>
  <c r="V412" i="3"/>
  <c r="U412" i="3"/>
  <c r="R412" i="3"/>
  <c r="C412" i="3"/>
  <c r="G412" i="3"/>
  <c r="H412" i="3" s="1"/>
  <c r="F412" i="3"/>
  <c r="D412" i="3"/>
  <c r="X411" i="3"/>
  <c r="AX410" i="3"/>
  <c r="AG411" i="3"/>
  <c r="AH411" i="3"/>
  <c r="AN411" i="3"/>
  <c r="AW410" i="3"/>
  <c r="BA409" i="3"/>
  <c r="AY409" i="3"/>
  <c r="AT410" i="3"/>
  <c r="AU410" i="3"/>
  <c r="BM412" i="3" l="1"/>
  <c r="BG408" i="3"/>
  <c r="BH408" i="3" s="1"/>
  <c r="BI408" i="3" s="1"/>
  <c r="AY410" i="3"/>
  <c r="BC409" i="3"/>
  <c r="BD409" i="3" s="1"/>
  <c r="AT411" i="3"/>
  <c r="AN412" i="3"/>
  <c r="AU411" i="3"/>
  <c r="AX411" i="3"/>
  <c r="AV410" i="3"/>
  <c r="BA410" i="3"/>
  <c r="X412" i="3"/>
  <c r="BQ409" i="3"/>
  <c r="BF409" i="3"/>
  <c r="BJ408" i="3" s="1"/>
  <c r="BK408" i="3" s="1"/>
  <c r="BB409" i="3"/>
  <c r="Y412" i="3"/>
  <c r="Z412" i="3" s="1"/>
  <c r="AR413" i="3"/>
  <c r="B413" i="3"/>
  <c r="AQ413" i="3"/>
  <c r="A414" i="3"/>
  <c r="S413" i="3"/>
  <c r="Q413" i="3"/>
  <c r="D413" i="3"/>
  <c r="AM413" i="3"/>
  <c r="AK413" i="3"/>
  <c r="C413" i="3"/>
  <c r="R413" i="3"/>
  <c r="AD413" i="3"/>
  <c r="P413" i="3"/>
  <c r="M413" i="3"/>
  <c r="AE413" i="3"/>
  <c r="AF413" i="3"/>
  <c r="O413" i="3"/>
  <c r="V413" i="3"/>
  <c r="U413" i="3"/>
  <c r="G413" i="3"/>
  <c r="H413" i="3" s="1"/>
  <c r="F413" i="3"/>
  <c r="T413" i="3"/>
  <c r="AW411" i="3"/>
  <c r="BN412" i="3"/>
  <c r="AG412" i="3"/>
  <c r="AH412" i="3"/>
  <c r="AO412" i="3"/>
  <c r="AV411" i="3" l="1"/>
  <c r="BC410" i="3"/>
  <c r="BD410" i="3" s="1"/>
  <c r="AY411" i="3"/>
  <c r="BN413" i="3"/>
  <c r="BG409" i="3"/>
  <c r="BH409" i="3" s="1"/>
  <c r="BI409" i="3" s="1"/>
  <c r="AN413" i="3"/>
  <c r="AH413" i="3"/>
  <c r="Y413" i="3"/>
  <c r="Z413" i="3" s="1"/>
  <c r="X413" i="3"/>
  <c r="AX412" i="3"/>
  <c r="BM413" i="3"/>
  <c r="AG413" i="3"/>
  <c r="AO413" i="3"/>
  <c r="AT412" i="3"/>
  <c r="BA411" i="3"/>
  <c r="AQ414" i="3"/>
  <c r="B414" i="3"/>
  <c r="A415" i="3"/>
  <c r="AR414" i="3"/>
  <c r="D414" i="3"/>
  <c r="AM414" i="3"/>
  <c r="AK414" i="3"/>
  <c r="S414" i="3"/>
  <c r="R414" i="3"/>
  <c r="Q414" i="3"/>
  <c r="AD414" i="3"/>
  <c r="P414" i="3"/>
  <c r="O414" i="3"/>
  <c r="AE414" i="3"/>
  <c r="M414" i="3"/>
  <c r="AF414" i="3"/>
  <c r="V414" i="3"/>
  <c r="U414" i="3"/>
  <c r="F414" i="3"/>
  <c r="C414" i="3"/>
  <c r="G414" i="3"/>
  <c r="H414" i="3" s="1"/>
  <c r="BN414" i="3" s="1"/>
  <c r="T414" i="3"/>
  <c r="BQ410" i="3"/>
  <c r="BF410" i="3"/>
  <c r="BJ409" i="3" s="1"/>
  <c r="BK409" i="3" s="1"/>
  <c r="BB410" i="3"/>
  <c r="AW412" i="3"/>
  <c r="AU412" i="3"/>
  <c r="BC411" i="3" l="1"/>
  <c r="BD411" i="3" s="1"/>
  <c r="AV412" i="3"/>
  <c r="BG410" i="3"/>
  <c r="BH410" i="3" s="1"/>
  <c r="BI410" i="3" s="1"/>
  <c r="AY412" i="3"/>
  <c r="AT413" i="3"/>
  <c r="AN414" i="3"/>
  <c r="AW413" i="3"/>
  <c r="AX413" i="3"/>
  <c r="Y414" i="3"/>
  <c r="Z414" i="3" s="1"/>
  <c r="X414" i="3"/>
  <c r="A416" i="3"/>
  <c r="B415" i="3"/>
  <c r="AR415" i="3"/>
  <c r="AQ415" i="3"/>
  <c r="C415" i="3"/>
  <c r="AK415" i="3"/>
  <c r="AM415" i="3"/>
  <c r="S415" i="3"/>
  <c r="Q415" i="3"/>
  <c r="AD415" i="3"/>
  <c r="O415" i="3"/>
  <c r="M415" i="3"/>
  <c r="AF415" i="3"/>
  <c r="P415" i="3"/>
  <c r="AE415" i="3"/>
  <c r="V415" i="3"/>
  <c r="U415" i="3"/>
  <c r="R415" i="3"/>
  <c r="G415" i="3"/>
  <c r="H415" i="3" s="1"/>
  <c r="D415" i="3"/>
  <c r="F415" i="3"/>
  <c r="BM415" i="3" s="1"/>
  <c r="T415" i="3"/>
  <c r="BM414" i="3"/>
  <c r="AH414" i="3"/>
  <c r="AO414" i="3"/>
  <c r="BA412" i="3"/>
  <c r="AU413" i="3"/>
  <c r="BB411" i="3"/>
  <c r="BQ411" i="3"/>
  <c r="BF411" i="3"/>
  <c r="BJ410" i="3" s="1"/>
  <c r="BK410" i="3" s="1"/>
  <c r="AG414" i="3"/>
  <c r="BG411" i="3" l="1"/>
  <c r="BH411" i="3" s="1"/>
  <c r="BI411" i="3" s="1"/>
  <c r="BC412" i="3"/>
  <c r="BD412" i="3" s="1"/>
  <c r="AO415" i="3"/>
  <c r="AY413" i="3"/>
  <c r="AV413" i="3"/>
  <c r="AT414" i="3"/>
  <c r="BA413" i="3"/>
  <c r="BB413" i="3" s="1"/>
  <c r="AX414" i="3"/>
  <c r="AH415" i="3"/>
  <c r="Y415" i="3"/>
  <c r="Z415" i="3" s="1"/>
  <c r="A417" i="3"/>
  <c r="B416" i="3"/>
  <c r="AQ416" i="3"/>
  <c r="AR416" i="3"/>
  <c r="AM416" i="3"/>
  <c r="AK416" i="3"/>
  <c r="R416" i="3"/>
  <c r="S416" i="3"/>
  <c r="Q416" i="3"/>
  <c r="AD416" i="3"/>
  <c r="P416" i="3"/>
  <c r="O416" i="3"/>
  <c r="AE416" i="3"/>
  <c r="AF416" i="3"/>
  <c r="V416" i="3"/>
  <c r="M416" i="3"/>
  <c r="U416" i="3"/>
  <c r="D416" i="3"/>
  <c r="F416" i="3"/>
  <c r="C416" i="3"/>
  <c r="G416" i="3"/>
  <c r="H416" i="3" s="1"/>
  <c r="T416" i="3"/>
  <c r="AW414" i="3"/>
  <c r="AU414" i="3"/>
  <c r="BN415" i="3"/>
  <c r="AG415" i="3"/>
  <c r="AN415" i="3"/>
  <c r="X415" i="3"/>
  <c r="BF412" i="3"/>
  <c r="BJ411" i="3" s="1"/>
  <c r="BK411" i="3" s="1"/>
  <c r="BQ412" i="3"/>
  <c r="BB412" i="3"/>
  <c r="BG412" i="3" l="1"/>
  <c r="BH412" i="3" s="1"/>
  <c r="BI412" i="3" s="1"/>
  <c r="BC413" i="3"/>
  <c r="BD413" i="3" s="1"/>
  <c r="BN416" i="3"/>
  <c r="BM416" i="3"/>
  <c r="AY414" i="3"/>
  <c r="BF413" i="3"/>
  <c r="BJ412" i="3" s="1"/>
  <c r="BK412" i="3" s="1"/>
  <c r="AV414" i="3"/>
  <c r="AX415" i="3"/>
  <c r="BQ413" i="3"/>
  <c r="AN416" i="3"/>
  <c r="BA414" i="3"/>
  <c r="BB414" i="3" s="1"/>
  <c r="AG416" i="3"/>
  <c r="AT415" i="3"/>
  <c r="AW415" i="3"/>
  <c r="AU415" i="3"/>
  <c r="Y416" i="3"/>
  <c r="Z416" i="3" s="1"/>
  <c r="X416" i="3"/>
  <c r="AH416" i="3"/>
  <c r="AO416" i="3"/>
  <c r="AR417" i="3"/>
  <c r="B417" i="3"/>
  <c r="AQ417" i="3"/>
  <c r="A418" i="3"/>
  <c r="C417" i="3"/>
  <c r="AK417" i="3"/>
  <c r="AM417" i="3"/>
  <c r="S417" i="3"/>
  <c r="Q417" i="3"/>
  <c r="T417" i="3"/>
  <c r="R417" i="3"/>
  <c r="AD417" i="3"/>
  <c r="O417" i="3"/>
  <c r="AE417" i="3"/>
  <c r="M417" i="3"/>
  <c r="P417" i="3"/>
  <c r="U417" i="3"/>
  <c r="AF417" i="3"/>
  <c r="V417" i="3"/>
  <c r="D417" i="3"/>
  <c r="G417" i="3"/>
  <c r="H417" i="3" s="1"/>
  <c r="F417" i="3"/>
  <c r="BC414" i="3" l="1"/>
  <c r="BD414" i="3" s="1"/>
  <c r="BG413" i="3"/>
  <c r="BH413" i="3" s="1"/>
  <c r="BI413" i="3" s="1"/>
  <c r="BM417" i="3"/>
  <c r="AO417" i="3"/>
  <c r="AT416" i="3"/>
  <c r="AU416" i="3"/>
  <c r="AY415" i="3"/>
  <c r="BQ414" i="3"/>
  <c r="AW416" i="3"/>
  <c r="BF414" i="3"/>
  <c r="BJ413" i="3" s="1"/>
  <c r="BK413" i="3" s="1"/>
  <c r="BN417" i="3"/>
  <c r="AN417" i="3"/>
  <c r="X417" i="3"/>
  <c r="AX416" i="3"/>
  <c r="BA415" i="3"/>
  <c r="AV415" i="3"/>
  <c r="Y417" i="3"/>
  <c r="Z417" i="3" s="1"/>
  <c r="AR418" i="3"/>
  <c r="A419" i="3"/>
  <c r="B418" i="3"/>
  <c r="AQ418" i="3"/>
  <c r="D418" i="3"/>
  <c r="S418" i="3"/>
  <c r="R418" i="3"/>
  <c r="Q418" i="3"/>
  <c r="AK418" i="3"/>
  <c r="AM418" i="3"/>
  <c r="P418" i="3"/>
  <c r="AD418" i="3"/>
  <c r="O418" i="3"/>
  <c r="AE418" i="3"/>
  <c r="U418" i="3"/>
  <c r="M418" i="3"/>
  <c r="AF418" i="3"/>
  <c r="V418" i="3"/>
  <c r="C418" i="3"/>
  <c r="G418" i="3"/>
  <c r="H418" i="3" s="1"/>
  <c r="F418" i="3"/>
  <c r="T418" i="3"/>
  <c r="AG417" i="3"/>
  <c r="AH417" i="3"/>
  <c r="BM418" i="3" l="1"/>
  <c r="BG414" i="3"/>
  <c r="BH414" i="3" s="1"/>
  <c r="BI414" i="3" s="1"/>
  <c r="BN418" i="3"/>
  <c r="AV416" i="3"/>
  <c r="BC415" i="3"/>
  <c r="BG415" i="3" s="1"/>
  <c r="BH415" i="3" s="1"/>
  <c r="BI415" i="3" s="1"/>
  <c r="BA416" i="3"/>
  <c r="BB416" i="3" s="1"/>
  <c r="AO418" i="3"/>
  <c r="Y418" i="3"/>
  <c r="Z418" i="3" s="1"/>
  <c r="AN418" i="3"/>
  <c r="AW417" i="3"/>
  <c r="AH418" i="3"/>
  <c r="A420" i="3"/>
  <c r="B419" i="3"/>
  <c r="AR419" i="3"/>
  <c r="AQ419" i="3"/>
  <c r="C419" i="3"/>
  <c r="AM419" i="3"/>
  <c r="T419" i="3"/>
  <c r="AK419" i="3"/>
  <c r="S419" i="3"/>
  <c r="R419" i="3"/>
  <c r="Q419" i="3"/>
  <c r="AD419" i="3"/>
  <c r="P419" i="3"/>
  <c r="M419" i="3"/>
  <c r="V419" i="3"/>
  <c r="U419" i="3"/>
  <c r="O419" i="3"/>
  <c r="AF419" i="3"/>
  <c r="AE419" i="3"/>
  <c r="D419" i="3"/>
  <c r="G419" i="3"/>
  <c r="H419" i="3" s="1"/>
  <c r="F419" i="3"/>
  <c r="AX417" i="3"/>
  <c r="AG418" i="3"/>
  <c r="AU417" i="3"/>
  <c r="AY416" i="3"/>
  <c r="BQ415" i="3"/>
  <c r="BF415" i="3"/>
  <c r="BJ414" i="3" s="1"/>
  <c r="BK414" i="3" s="1"/>
  <c r="BB415" i="3"/>
  <c r="X418" i="3"/>
  <c r="AT417" i="3"/>
  <c r="AO419" i="3" l="1"/>
  <c r="BD415" i="3"/>
  <c r="BQ416" i="3"/>
  <c r="BC416" i="3"/>
  <c r="BD416" i="3" s="1"/>
  <c r="BM419" i="3"/>
  <c r="BN419" i="3"/>
  <c r="AY417" i="3"/>
  <c r="BF416" i="3"/>
  <c r="BJ415" i="3" s="1"/>
  <c r="BK415" i="3" s="1"/>
  <c r="AT418" i="3"/>
  <c r="AW418" i="3"/>
  <c r="BA417" i="3"/>
  <c r="AV417" i="3"/>
  <c r="Y419" i="3"/>
  <c r="Z419" i="3" s="1"/>
  <c r="AH419" i="3"/>
  <c r="AN419" i="3"/>
  <c r="A421" i="3"/>
  <c r="B420" i="3"/>
  <c r="AQ420" i="3"/>
  <c r="AR420" i="3"/>
  <c r="C420" i="3"/>
  <c r="AM420" i="3"/>
  <c r="AK420" i="3"/>
  <c r="T420" i="3"/>
  <c r="S420" i="3"/>
  <c r="R420" i="3"/>
  <c r="Q420" i="3"/>
  <c r="AD420" i="3"/>
  <c r="P420" i="3"/>
  <c r="M420" i="3"/>
  <c r="AF420" i="3"/>
  <c r="V420" i="3"/>
  <c r="O420" i="3"/>
  <c r="AE420" i="3"/>
  <c r="U420" i="3"/>
  <c r="G420" i="3"/>
  <c r="H420" i="3" s="1"/>
  <c r="D420" i="3"/>
  <c r="F420" i="3"/>
  <c r="AX418" i="3"/>
  <c r="AU418" i="3"/>
  <c r="AG419" i="3"/>
  <c r="X419" i="3"/>
  <c r="AV418" i="3" l="1"/>
  <c r="BG416" i="3"/>
  <c r="BH416" i="3" s="1"/>
  <c r="BI416" i="3" s="1"/>
  <c r="BM420" i="3"/>
  <c r="BN420" i="3"/>
  <c r="BC417" i="3"/>
  <c r="BG417" i="3" s="1"/>
  <c r="BH417" i="3" s="1"/>
  <c r="BI417" i="3" s="1"/>
  <c r="AG420" i="3"/>
  <c r="AW419" i="3"/>
  <c r="AY418" i="3"/>
  <c r="AO420" i="3"/>
  <c r="AN420" i="3"/>
  <c r="AT419" i="3"/>
  <c r="Y420" i="3"/>
  <c r="Z420" i="3" s="1"/>
  <c r="AR421" i="3"/>
  <c r="B421" i="3"/>
  <c r="AQ421" i="3"/>
  <c r="A422" i="3"/>
  <c r="C421" i="3"/>
  <c r="AK421" i="3"/>
  <c r="AM421" i="3"/>
  <c r="S421" i="3"/>
  <c r="R421" i="3"/>
  <c r="Q421" i="3"/>
  <c r="AD421" i="3"/>
  <c r="P421" i="3"/>
  <c r="O421" i="3"/>
  <c r="M421" i="3"/>
  <c r="AF421" i="3"/>
  <c r="AE421" i="3"/>
  <c r="U421" i="3"/>
  <c r="V421" i="3"/>
  <c r="D421" i="3"/>
  <c r="F421" i="3"/>
  <c r="G421" i="3"/>
  <c r="H421" i="3" s="1"/>
  <c r="T421" i="3"/>
  <c r="BQ417" i="3"/>
  <c r="BF417" i="3"/>
  <c r="BJ416" i="3" s="1"/>
  <c r="BK416" i="3" s="1"/>
  <c r="BB417" i="3"/>
  <c r="X420" i="3"/>
  <c r="BA418" i="3"/>
  <c r="AH420" i="3"/>
  <c r="AU419" i="3"/>
  <c r="AX419" i="3"/>
  <c r="BN421" i="3" l="1"/>
  <c r="BD417" i="3"/>
  <c r="BC418" i="3"/>
  <c r="BD418" i="3" s="1"/>
  <c r="BM421" i="3"/>
  <c r="AY419" i="3"/>
  <c r="AX420" i="3"/>
  <c r="AV419" i="3"/>
  <c r="AN421" i="3"/>
  <c r="BB418" i="3"/>
  <c r="BF418" i="3"/>
  <c r="BJ417" i="3" s="1"/>
  <c r="BK417" i="3" s="1"/>
  <c r="BQ418" i="3"/>
  <c r="AR422" i="3"/>
  <c r="A423" i="3"/>
  <c r="B422" i="3"/>
  <c r="AQ422" i="3"/>
  <c r="AM422" i="3"/>
  <c r="AK422" i="3"/>
  <c r="S422" i="3"/>
  <c r="AD422" i="3"/>
  <c r="T422" i="3"/>
  <c r="Q422" i="3"/>
  <c r="R422" i="3"/>
  <c r="P422" i="3"/>
  <c r="M422" i="3"/>
  <c r="AE422" i="3"/>
  <c r="O422" i="3"/>
  <c r="AF422" i="3"/>
  <c r="U422" i="3"/>
  <c r="V422" i="3"/>
  <c r="C422" i="3"/>
  <c r="F422" i="3"/>
  <c r="D422" i="3"/>
  <c r="G422" i="3"/>
  <c r="H422" i="3" s="1"/>
  <c r="AT420" i="3"/>
  <c r="AW420" i="3"/>
  <c r="Y421" i="3"/>
  <c r="Z421" i="3" s="1"/>
  <c r="AG421" i="3"/>
  <c r="AO421" i="3"/>
  <c r="BA419" i="3"/>
  <c r="AU420" i="3"/>
  <c r="AH421" i="3"/>
  <c r="X421" i="3"/>
  <c r="BG418" i="3" l="1"/>
  <c r="BH418" i="3" s="1"/>
  <c r="BI418" i="3" s="1"/>
  <c r="BC419" i="3"/>
  <c r="BD419" i="3" s="1"/>
  <c r="AY420" i="3"/>
  <c r="BN422" i="3"/>
  <c r="AN422" i="3"/>
  <c r="AX421" i="3"/>
  <c r="AU421" i="3"/>
  <c r="AW421" i="3"/>
  <c r="AT421" i="3"/>
  <c r="X422" i="3"/>
  <c r="BF419" i="3"/>
  <c r="BJ418" i="3" s="1"/>
  <c r="BK418" i="3" s="1"/>
  <c r="BB419" i="3"/>
  <c r="BQ419" i="3"/>
  <c r="A424" i="3"/>
  <c r="B423" i="3"/>
  <c r="AR423" i="3"/>
  <c r="AQ423" i="3"/>
  <c r="AK423" i="3"/>
  <c r="S423" i="3"/>
  <c r="AM423" i="3"/>
  <c r="R423" i="3"/>
  <c r="Q423" i="3"/>
  <c r="P423" i="3"/>
  <c r="AD423" i="3"/>
  <c r="O423" i="3"/>
  <c r="AE423" i="3"/>
  <c r="M423" i="3"/>
  <c r="V423" i="3"/>
  <c r="AF423" i="3"/>
  <c r="U423" i="3"/>
  <c r="D423" i="3"/>
  <c r="G423" i="3"/>
  <c r="H423" i="3" s="1"/>
  <c r="C423" i="3"/>
  <c r="F423" i="3"/>
  <c r="T423" i="3"/>
  <c r="BM422" i="3"/>
  <c r="AG422" i="3"/>
  <c r="AH422" i="3"/>
  <c r="AO422" i="3"/>
  <c r="AV420" i="3"/>
  <c r="BA420" i="3"/>
  <c r="Y422" i="3"/>
  <c r="Z422" i="3" s="1"/>
  <c r="AV421" i="3" l="1"/>
  <c r="AN423" i="3"/>
  <c r="BC420" i="3"/>
  <c r="BD420" i="3" s="1"/>
  <c r="BG419" i="3"/>
  <c r="BH419" i="3" s="1"/>
  <c r="BI419" i="3" s="1"/>
  <c r="AY421" i="3"/>
  <c r="AG423" i="3"/>
  <c r="BM423" i="3"/>
  <c r="BN423" i="3"/>
  <c r="BA421" i="3"/>
  <c r="BB421" i="3" s="1"/>
  <c r="A425" i="3"/>
  <c r="B424" i="3"/>
  <c r="AQ424" i="3"/>
  <c r="AR424" i="3"/>
  <c r="C424" i="3"/>
  <c r="D424" i="3"/>
  <c r="AK424" i="3"/>
  <c r="AM424" i="3"/>
  <c r="R424" i="3"/>
  <c r="S424" i="3"/>
  <c r="P424" i="3"/>
  <c r="Q424" i="3"/>
  <c r="AD424" i="3"/>
  <c r="M424" i="3"/>
  <c r="AF424" i="3"/>
  <c r="AE424" i="3"/>
  <c r="U424" i="3"/>
  <c r="V424" i="3"/>
  <c r="O424" i="3"/>
  <c r="G424" i="3"/>
  <c r="H424" i="3" s="1"/>
  <c r="F424" i="3"/>
  <c r="BM424" i="3" s="1"/>
  <c r="T424" i="3"/>
  <c r="AH423" i="3"/>
  <c r="AO423" i="3"/>
  <c r="BB420" i="3"/>
  <c r="BQ420" i="3"/>
  <c r="BF420" i="3"/>
  <c r="BJ419" i="3" s="1"/>
  <c r="BK419" i="3" s="1"/>
  <c r="AW422" i="3"/>
  <c r="AT422" i="3"/>
  <c r="AU422" i="3"/>
  <c r="AX422" i="3"/>
  <c r="Y423" i="3"/>
  <c r="Z423" i="3" s="1"/>
  <c r="X423" i="3"/>
  <c r="BN424" i="3" l="1"/>
  <c r="BC421" i="3"/>
  <c r="BD421" i="3" s="1"/>
  <c r="AU423" i="3"/>
  <c r="BG420" i="3"/>
  <c r="BH420" i="3" s="1"/>
  <c r="BI420" i="3" s="1"/>
  <c r="BQ421" i="3"/>
  <c r="BF421" i="3"/>
  <c r="BJ420" i="3" s="1"/>
  <c r="BK420" i="3" s="1"/>
  <c r="AN424" i="3"/>
  <c r="AW423" i="3"/>
  <c r="AG424" i="3"/>
  <c r="AR425" i="3"/>
  <c r="B425" i="3"/>
  <c r="AQ425" i="3"/>
  <c r="A426" i="3"/>
  <c r="AK425" i="3"/>
  <c r="R425" i="3"/>
  <c r="AM425" i="3"/>
  <c r="AD425" i="3"/>
  <c r="S425" i="3"/>
  <c r="M425" i="3"/>
  <c r="O425" i="3"/>
  <c r="P425" i="3"/>
  <c r="AE425" i="3"/>
  <c r="AF425" i="3"/>
  <c r="V425" i="3"/>
  <c r="U425" i="3"/>
  <c r="Q425" i="3"/>
  <c r="C425" i="3"/>
  <c r="D425" i="3"/>
  <c r="G425" i="3"/>
  <c r="H425" i="3" s="1"/>
  <c r="F425" i="3"/>
  <c r="T425" i="3"/>
  <c r="Y424" i="3"/>
  <c r="Z424" i="3" s="1"/>
  <c r="AV422" i="3"/>
  <c r="AY422" i="3"/>
  <c r="AX423" i="3"/>
  <c r="AH424" i="3"/>
  <c r="AO424" i="3"/>
  <c r="X424" i="3"/>
  <c r="AT423" i="3"/>
  <c r="BA422" i="3"/>
  <c r="BG421" i="3" l="1"/>
  <c r="BH421" i="3" s="1"/>
  <c r="BI421" i="3" s="1"/>
  <c r="AN425" i="3"/>
  <c r="BM425" i="3"/>
  <c r="AT424" i="3"/>
  <c r="AY423" i="3"/>
  <c r="AO425" i="3"/>
  <c r="AG425" i="3"/>
  <c r="AU424" i="3"/>
  <c r="BC422" i="3"/>
  <c r="BD422" i="3" s="1"/>
  <c r="AV423" i="3"/>
  <c r="BA423" i="3"/>
  <c r="AR426" i="3"/>
  <c r="A427" i="3"/>
  <c r="B426" i="3"/>
  <c r="AQ426" i="3"/>
  <c r="C426" i="3"/>
  <c r="AK426" i="3"/>
  <c r="S426" i="3"/>
  <c r="R426" i="3"/>
  <c r="D426" i="3"/>
  <c r="AM426" i="3"/>
  <c r="AD426" i="3"/>
  <c r="M426" i="3"/>
  <c r="P426" i="3"/>
  <c r="AE426" i="3"/>
  <c r="V426" i="3"/>
  <c r="O426" i="3"/>
  <c r="AF426" i="3"/>
  <c r="U426" i="3"/>
  <c r="Q426" i="3"/>
  <c r="G426" i="3"/>
  <c r="H426" i="3" s="1"/>
  <c r="F426" i="3"/>
  <c r="T426" i="3"/>
  <c r="AX424" i="3"/>
  <c r="AW424" i="3"/>
  <c r="Y425" i="3"/>
  <c r="Z425" i="3" s="1"/>
  <c r="BN425" i="3"/>
  <c r="X425" i="3"/>
  <c r="AH425" i="3"/>
  <c r="BB422" i="3"/>
  <c r="BQ422" i="3"/>
  <c r="BF422" i="3"/>
  <c r="BJ421" i="3" s="1"/>
  <c r="BK421" i="3" s="1"/>
  <c r="BM426" i="3" l="1"/>
  <c r="AV424" i="3"/>
  <c r="BC423" i="3"/>
  <c r="BD423" i="3" s="1"/>
  <c r="AN426" i="3"/>
  <c r="AT425" i="3"/>
  <c r="BG422" i="3"/>
  <c r="BH422" i="3" s="1"/>
  <c r="BI422" i="3" s="1"/>
  <c r="AY424" i="3"/>
  <c r="A428" i="3"/>
  <c r="B427" i="3"/>
  <c r="AR427" i="3"/>
  <c r="AQ427" i="3"/>
  <c r="D427" i="3"/>
  <c r="AM427" i="3"/>
  <c r="AK427" i="3"/>
  <c r="R427" i="3"/>
  <c r="T427" i="3"/>
  <c r="S427" i="3"/>
  <c r="AD427" i="3"/>
  <c r="Q427" i="3"/>
  <c r="O427" i="3"/>
  <c r="AE427" i="3"/>
  <c r="AF427" i="3"/>
  <c r="V427" i="3"/>
  <c r="M427" i="3"/>
  <c r="U427" i="3"/>
  <c r="C427" i="3"/>
  <c r="F427" i="3"/>
  <c r="G427" i="3"/>
  <c r="H427" i="3" s="1"/>
  <c r="BN427" i="3" s="1"/>
  <c r="P427" i="3"/>
  <c r="BQ423" i="3"/>
  <c r="BB423" i="3"/>
  <c r="BF423" i="3"/>
  <c r="BJ422" i="3" s="1"/>
  <c r="BK422" i="3" s="1"/>
  <c r="AW425" i="3"/>
  <c r="Y426" i="3"/>
  <c r="Z426" i="3" s="1"/>
  <c r="BN426" i="3"/>
  <c r="AG426" i="3"/>
  <c r="AO426" i="3"/>
  <c r="BA424" i="3"/>
  <c r="AU425" i="3"/>
  <c r="AX425" i="3"/>
  <c r="AH426" i="3"/>
  <c r="X426" i="3"/>
  <c r="BC424" i="3" l="1"/>
  <c r="BD424" i="3" s="1"/>
  <c r="BG423" i="3"/>
  <c r="BH423" i="3" s="1"/>
  <c r="BI423" i="3" s="1"/>
  <c r="BM427" i="3"/>
  <c r="AN427" i="3"/>
  <c r="AG427" i="3"/>
  <c r="BA425" i="3"/>
  <c r="BB425" i="3" s="1"/>
  <c r="Y427" i="3"/>
  <c r="Z427" i="3" s="1"/>
  <c r="AT426" i="3"/>
  <c r="AX426" i="3"/>
  <c r="A429" i="3"/>
  <c r="B428" i="3"/>
  <c r="AQ428" i="3"/>
  <c r="AR428" i="3"/>
  <c r="C428" i="3"/>
  <c r="S428" i="3"/>
  <c r="R428" i="3"/>
  <c r="D428" i="3"/>
  <c r="AK428" i="3"/>
  <c r="AM428" i="3"/>
  <c r="Q428" i="3"/>
  <c r="AD428" i="3"/>
  <c r="O428" i="3"/>
  <c r="AE428" i="3"/>
  <c r="M428" i="3"/>
  <c r="AF428" i="3"/>
  <c r="U428" i="3"/>
  <c r="P428" i="3"/>
  <c r="V428" i="3"/>
  <c r="F428" i="3"/>
  <c r="G428" i="3"/>
  <c r="H428" i="3" s="1"/>
  <c r="T428" i="3"/>
  <c r="AU426" i="3"/>
  <c r="AW426" i="3"/>
  <c r="X427" i="3"/>
  <c r="AH427" i="3"/>
  <c r="AO427" i="3"/>
  <c r="AV425" i="3"/>
  <c r="BQ424" i="3"/>
  <c r="BF424" i="3"/>
  <c r="BJ423" i="3" s="1"/>
  <c r="BK423" i="3" s="1"/>
  <c r="BB424" i="3"/>
  <c r="AY425" i="3"/>
  <c r="AY426" i="3" l="1"/>
  <c r="BG424" i="3"/>
  <c r="BH424" i="3" s="1"/>
  <c r="BI424" i="3" s="1"/>
  <c r="BQ425" i="3"/>
  <c r="BN428" i="3"/>
  <c r="AU427" i="3"/>
  <c r="AO428" i="3"/>
  <c r="BF425" i="3"/>
  <c r="BJ424" i="3" s="1"/>
  <c r="BK424" i="3" s="1"/>
  <c r="AW427" i="3"/>
  <c r="AT427" i="3"/>
  <c r="BC425" i="3"/>
  <c r="AX427" i="3"/>
  <c r="Y428" i="3"/>
  <c r="Z428" i="3" s="1"/>
  <c r="BM428" i="3"/>
  <c r="AG428" i="3"/>
  <c r="AH428" i="3"/>
  <c r="AN428" i="3"/>
  <c r="BA426" i="3"/>
  <c r="AR429" i="3"/>
  <c r="B429" i="3"/>
  <c r="AQ429" i="3"/>
  <c r="A430" i="3"/>
  <c r="D429" i="3"/>
  <c r="AK429" i="3"/>
  <c r="T429" i="3"/>
  <c r="C429" i="3"/>
  <c r="AM429" i="3"/>
  <c r="S429" i="3"/>
  <c r="Q429" i="3"/>
  <c r="AD429" i="3"/>
  <c r="P429" i="3"/>
  <c r="R429" i="3"/>
  <c r="M429" i="3"/>
  <c r="AE429" i="3"/>
  <c r="O429" i="3"/>
  <c r="V429" i="3"/>
  <c r="AF429" i="3"/>
  <c r="U429" i="3"/>
  <c r="G429" i="3"/>
  <c r="H429" i="3" s="1"/>
  <c r="F429" i="3"/>
  <c r="X428" i="3"/>
  <c r="AV426" i="3"/>
  <c r="BN429" i="3" l="1"/>
  <c r="BC426" i="3"/>
  <c r="BD426" i="3" s="1"/>
  <c r="BM429" i="3"/>
  <c r="AV427" i="3"/>
  <c r="AT428" i="3"/>
  <c r="AN429" i="3"/>
  <c r="AU428" i="3"/>
  <c r="BA427" i="3"/>
  <c r="BB427" i="3" s="1"/>
  <c r="AR430" i="3"/>
  <c r="A431" i="3"/>
  <c r="B430" i="3"/>
  <c r="AQ430" i="3"/>
  <c r="C430" i="3"/>
  <c r="AK430" i="3"/>
  <c r="T430" i="3"/>
  <c r="S430" i="3"/>
  <c r="D430" i="3"/>
  <c r="AM430" i="3"/>
  <c r="Q430" i="3"/>
  <c r="R430" i="3"/>
  <c r="AD430" i="3"/>
  <c r="P430" i="3"/>
  <c r="O430" i="3"/>
  <c r="M430" i="3"/>
  <c r="AF430" i="3"/>
  <c r="V430" i="3"/>
  <c r="AE430" i="3"/>
  <c r="U430" i="3"/>
  <c r="G430" i="3"/>
  <c r="H430" i="3" s="1"/>
  <c r="F430" i="3"/>
  <c r="AG429" i="3"/>
  <c r="AH429" i="3"/>
  <c r="X429" i="3"/>
  <c r="AO429" i="3"/>
  <c r="AW428" i="3"/>
  <c r="AY427" i="3"/>
  <c r="Y429" i="3"/>
  <c r="Z429" i="3" s="1"/>
  <c r="BQ426" i="3"/>
  <c r="BF426" i="3"/>
  <c r="BJ425" i="3" s="1"/>
  <c r="BK425" i="3" s="1"/>
  <c r="BB426" i="3"/>
  <c r="BD425" i="3"/>
  <c r="BG425" i="3"/>
  <c r="BH425" i="3" s="1"/>
  <c r="BI425" i="3" s="1"/>
  <c r="AX428" i="3"/>
  <c r="BN430" i="3" l="1"/>
  <c r="BG426" i="3"/>
  <c r="BH426" i="3" s="1"/>
  <c r="BI426" i="3" s="1"/>
  <c r="BC427" i="3"/>
  <c r="BD427" i="3" s="1"/>
  <c r="AV428" i="3"/>
  <c r="AG430" i="3"/>
  <c r="BM430" i="3"/>
  <c r="AN430" i="3"/>
  <c r="AU429" i="3"/>
  <c r="AT429" i="3"/>
  <c r="BQ427" i="3"/>
  <c r="BF427" i="3"/>
  <c r="BJ426" i="3" s="1"/>
  <c r="BK426" i="3" s="1"/>
  <c r="A432" i="3"/>
  <c r="B431" i="3"/>
  <c r="AR431" i="3"/>
  <c r="AQ431" i="3"/>
  <c r="C431" i="3"/>
  <c r="D431" i="3"/>
  <c r="AM431" i="3"/>
  <c r="S431" i="3"/>
  <c r="R431" i="3"/>
  <c r="AK431" i="3"/>
  <c r="T431" i="3"/>
  <c r="Q431" i="3"/>
  <c r="AD431" i="3"/>
  <c r="P431" i="3"/>
  <c r="M431" i="3"/>
  <c r="AF431" i="3"/>
  <c r="AE431" i="3"/>
  <c r="V431" i="3"/>
  <c r="O431" i="3"/>
  <c r="U431" i="3"/>
  <c r="G431" i="3"/>
  <c r="H431" i="3" s="1"/>
  <c r="F431" i="3"/>
  <c r="AX429" i="3"/>
  <c r="AO430" i="3"/>
  <c r="Y430" i="3"/>
  <c r="Z430" i="3" s="1"/>
  <c r="AY428" i="3"/>
  <c r="AW429" i="3"/>
  <c r="BA428" i="3"/>
  <c r="AH430" i="3"/>
  <c r="X430" i="3"/>
  <c r="BG427" i="3" l="1"/>
  <c r="BH427" i="3" s="1"/>
  <c r="BI427" i="3" s="1"/>
  <c r="BC428" i="3"/>
  <c r="BD428" i="3" s="1"/>
  <c r="AV429" i="3"/>
  <c r="AX430" i="3"/>
  <c r="BM431" i="3"/>
  <c r="BN431" i="3"/>
  <c r="AO431" i="3"/>
  <c r="AY429" i="3"/>
  <c r="A433" i="3"/>
  <c r="B432" i="3"/>
  <c r="AQ432" i="3"/>
  <c r="AR432" i="3"/>
  <c r="D432" i="3"/>
  <c r="C432" i="3"/>
  <c r="AK432" i="3"/>
  <c r="AM432" i="3"/>
  <c r="T432" i="3"/>
  <c r="Q432" i="3"/>
  <c r="S432" i="3"/>
  <c r="P432" i="3"/>
  <c r="R432" i="3"/>
  <c r="AD432" i="3"/>
  <c r="O432" i="3"/>
  <c r="M432" i="3"/>
  <c r="U432" i="3"/>
  <c r="AE432" i="3"/>
  <c r="AF432" i="3"/>
  <c r="V432" i="3"/>
  <c r="G432" i="3"/>
  <c r="H432" i="3" s="1"/>
  <c r="BN432" i="3" s="1"/>
  <c r="F432" i="3"/>
  <c r="BM432" i="3" s="1"/>
  <c r="AT430" i="3"/>
  <c r="AW430" i="3"/>
  <c r="AG431" i="3"/>
  <c r="AH431" i="3"/>
  <c r="AN431" i="3"/>
  <c r="X431" i="3"/>
  <c r="BB428" i="3"/>
  <c r="BF428" i="3"/>
  <c r="BJ427" i="3" s="1"/>
  <c r="BK427" i="3" s="1"/>
  <c r="BQ428" i="3"/>
  <c r="Y431" i="3"/>
  <c r="Z431" i="3" s="1"/>
  <c r="AU430" i="3"/>
  <c r="BA429" i="3"/>
  <c r="AY430" i="3" l="1"/>
  <c r="BG428" i="3"/>
  <c r="BH428" i="3" s="1"/>
  <c r="BI428" i="3" s="1"/>
  <c r="BC429" i="3"/>
  <c r="BD429" i="3" s="1"/>
  <c r="AN432" i="3"/>
  <c r="AU431" i="3"/>
  <c r="AG432" i="3"/>
  <c r="AX431" i="3"/>
  <c r="BB429" i="3"/>
  <c r="BQ429" i="3"/>
  <c r="BF429" i="3"/>
  <c r="BJ428" i="3" s="1"/>
  <c r="BK428" i="3" s="1"/>
  <c r="AV430" i="3"/>
  <c r="BA430" i="3"/>
  <c r="Y432" i="3"/>
  <c r="Z432" i="3" s="1"/>
  <c r="AR433" i="3"/>
  <c r="B433" i="3"/>
  <c r="AQ433" i="3"/>
  <c r="A434" i="3"/>
  <c r="C433" i="3"/>
  <c r="D433" i="3"/>
  <c r="AK433" i="3"/>
  <c r="R433" i="3"/>
  <c r="AM433" i="3"/>
  <c r="S433" i="3"/>
  <c r="AD433" i="3"/>
  <c r="P433" i="3"/>
  <c r="Q433" i="3"/>
  <c r="O433" i="3"/>
  <c r="AE433" i="3"/>
  <c r="V433" i="3"/>
  <c r="U433" i="3"/>
  <c r="M433" i="3"/>
  <c r="AF433" i="3"/>
  <c r="F433" i="3"/>
  <c r="G433" i="3"/>
  <c r="H433" i="3" s="1"/>
  <c r="T433" i="3"/>
  <c r="AT431" i="3"/>
  <c r="AW431" i="3"/>
  <c r="AH432" i="3"/>
  <c r="AO432" i="3"/>
  <c r="X432" i="3"/>
  <c r="BG429" i="3" l="1"/>
  <c r="BH429" i="3" s="1"/>
  <c r="BI429" i="3" s="1"/>
  <c r="AY431" i="3"/>
  <c r="AN433" i="3"/>
  <c r="BC430" i="3"/>
  <c r="BG430" i="3" s="1"/>
  <c r="BH430" i="3" s="1"/>
  <c r="BI430" i="3" s="1"/>
  <c r="BM433" i="3"/>
  <c r="BN433" i="3"/>
  <c r="AU432" i="3"/>
  <c r="AX432" i="3"/>
  <c r="BA431" i="3"/>
  <c r="AV431" i="3"/>
  <c r="AR434" i="3"/>
  <c r="A435" i="3"/>
  <c r="B434" i="3"/>
  <c r="AQ434" i="3"/>
  <c r="AM434" i="3"/>
  <c r="T434" i="3"/>
  <c r="D434" i="3"/>
  <c r="AK434" i="3"/>
  <c r="C434" i="3"/>
  <c r="S434" i="3"/>
  <c r="Q434" i="3"/>
  <c r="P434" i="3"/>
  <c r="AD434" i="3"/>
  <c r="O434" i="3"/>
  <c r="AE434" i="3"/>
  <c r="U434" i="3"/>
  <c r="V434" i="3"/>
  <c r="M434" i="3"/>
  <c r="AF434" i="3"/>
  <c r="G434" i="3"/>
  <c r="H434" i="3" s="1"/>
  <c r="R434" i="3"/>
  <c r="F434" i="3"/>
  <c r="BF430" i="3"/>
  <c r="BJ429" i="3" s="1"/>
  <c r="BK429" i="3" s="1"/>
  <c r="BQ430" i="3"/>
  <c r="BB430" i="3"/>
  <c r="AT432" i="3"/>
  <c r="AW432" i="3"/>
  <c r="Y433" i="3"/>
  <c r="Z433" i="3" s="1"/>
  <c r="AG433" i="3"/>
  <c r="AH433" i="3"/>
  <c r="AO433" i="3"/>
  <c r="X433" i="3"/>
  <c r="BC431" i="3" l="1"/>
  <c r="BD431" i="3" s="1"/>
  <c r="BD430" i="3"/>
  <c r="BM434" i="3"/>
  <c r="AO434" i="3"/>
  <c r="BN434" i="3"/>
  <c r="AY432" i="3"/>
  <c r="AH434" i="3"/>
  <c r="AT433" i="3"/>
  <c r="AX433" i="3"/>
  <c r="Y434" i="3"/>
  <c r="Z434" i="3" s="1"/>
  <c r="BF431" i="3"/>
  <c r="BJ430" i="3" s="1"/>
  <c r="BK430" i="3" s="1"/>
  <c r="BB431" i="3"/>
  <c r="BQ431" i="3"/>
  <c r="AU433" i="3"/>
  <c r="AW433" i="3"/>
  <c r="AG434" i="3"/>
  <c r="X434" i="3"/>
  <c r="AN434" i="3"/>
  <c r="AV432" i="3"/>
  <c r="BA432" i="3"/>
  <c r="A436" i="3"/>
  <c r="B435" i="3"/>
  <c r="AR435" i="3"/>
  <c r="AQ435" i="3"/>
  <c r="C435" i="3"/>
  <c r="AK435" i="3"/>
  <c r="AM435" i="3"/>
  <c r="D435" i="3"/>
  <c r="S435" i="3"/>
  <c r="Q435" i="3"/>
  <c r="AD435" i="3"/>
  <c r="R435" i="3"/>
  <c r="P435" i="3"/>
  <c r="AF435" i="3"/>
  <c r="M435" i="3"/>
  <c r="U435" i="3"/>
  <c r="O435" i="3"/>
  <c r="AE435" i="3"/>
  <c r="V435" i="3"/>
  <c r="G435" i="3"/>
  <c r="H435" i="3" s="1"/>
  <c r="F435" i="3"/>
  <c r="T435" i="3"/>
  <c r="BN435" i="3" l="1"/>
  <c r="BG431" i="3"/>
  <c r="BH431" i="3" s="1"/>
  <c r="BI431" i="3" s="1"/>
  <c r="AY433" i="3"/>
  <c r="BM435" i="3"/>
  <c r="BC432" i="3"/>
  <c r="BG432" i="3" s="1"/>
  <c r="BH432" i="3" s="1"/>
  <c r="BI432" i="3" s="1"/>
  <c r="AO435" i="3"/>
  <c r="AX434" i="3"/>
  <c r="AU434" i="3"/>
  <c r="AG435" i="3"/>
  <c r="Y435" i="3"/>
  <c r="Z435" i="3" s="1"/>
  <c r="BA433" i="3"/>
  <c r="BB433" i="3" s="1"/>
  <c r="BF432" i="3"/>
  <c r="BJ431" i="3" s="1"/>
  <c r="BK431" i="3" s="1"/>
  <c r="BB432" i="3"/>
  <c r="BQ432" i="3"/>
  <c r="A437" i="3"/>
  <c r="B436" i="3"/>
  <c r="AQ436" i="3"/>
  <c r="AR436" i="3"/>
  <c r="D436" i="3"/>
  <c r="C436" i="3"/>
  <c r="S436" i="3"/>
  <c r="Q436" i="3"/>
  <c r="AK436" i="3"/>
  <c r="AM436" i="3"/>
  <c r="R436" i="3"/>
  <c r="P436" i="3"/>
  <c r="AD436" i="3"/>
  <c r="O436" i="3"/>
  <c r="M436" i="3"/>
  <c r="AF436" i="3"/>
  <c r="U436" i="3"/>
  <c r="AE436" i="3"/>
  <c r="V436" i="3"/>
  <c r="F436" i="3"/>
  <c r="G436" i="3"/>
  <c r="H436" i="3" s="1"/>
  <c r="T436" i="3"/>
  <c r="AH435" i="3"/>
  <c r="AN435" i="3"/>
  <c r="X435" i="3"/>
  <c r="AV433" i="3"/>
  <c r="AT434" i="3"/>
  <c r="AW434" i="3"/>
  <c r="BN436" i="3" l="1"/>
  <c r="AU435" i="3"/>
  <c r="BM436" i="3"/>
  <c r="BC433" i="3"/>
  <c r="BD433" i="3" s="1"/>
  <c r="BD432" i="3"/>
  <c r="AN436" i="3"/>
  <c r="AY434" i="3"/>
  <c r="AG436" i="3"/>
  <c r="AX435" i="3"/>
  <c r="BF433" i="3"/>
  <c r="BJ432" i="3" s="1"/>
  <c r="BK432" i="3" s="1"/>
  <c r="BQ433" i="3"/>
  <c r="Y436" i="3"/>
  <c r="Z436" i="3" s="1"/>
  <c r="AV434" i="3"/>
  <c r="BA434" i="3"/>
  <c r="AR437" i="3"/>
  <c r="B437" i="3"/>
  <c r="AQ437" i="3"/>
  <c r="A438" i="3"/>
  <c r="D437" i="3"/>
  <c r="C437" i="3"/>
  <c r="S437" i="3"/>
  <c r="AK437" i="3"/>
  <c r="AM437" i="3"/>
  <c r="T437" i="3"/>
  <c r="Q437" i="3"/>
  <c r="AD437" i="3"/>
  <c r="R437" i="3"/>
  <c r="O437" i="3"/>
  <c r="P437" i="3"/>
  <c r="M437" i="3"/>
  <c r="V437" i="3"/>
  <c r="AE437" i="3"/>
  <c r="AF437" i="3"/>
  <c r="U437" i="3"/>
  <c r="G437" i="3"/>
  <c r="H437" i="3" s="1"/>
  <c r="F437" i="3"/>
  <c r="BM437" i="3" s="1"/>
  <c r="X436" i="3"/>
  <c r="AT435" i="3"/>
  <c r="AW435" i="3"/>
  <c r="AH436" i="3"/>
  <c r="AO436" i="3"/>
  <c r="BG433" i="3" l="1"/>
  <c r="BH433" i="3" s="1"/>
  <c r="BI433" i="3" s="1"/>
  <c r="BC434" i="3"/>
  <c r="BG434" i="3" s="1"/>
  <c r="BH434" i="3" s="1"/>
  <c r="BI434" i="3" s="1"/>
  <c r="BN437" i="3"/>
  <c r="AT436" i="3"/>
  <c r="AG437" i="3"/>
  <c r="AU436" i="3"/>
  <c r="AY435" i="3"/>
  <c r="AO437" i="3"/>
  <c r="AW436" i="3"/>
  <c r="AV435" i="3"/>
  <c r="BA435" i="3"/>
  <c r="Y437" i="3"/>
  <c r="Z437" i="3" s="1"/>
  <c r="AX436" i="3"/>
  <c r="AN437" i="3"/>
  <c r="AR438" i="3"/>
  <c r="A439" i="3"/>
  <c r="B438" i="3"/>
  <c r="AQ438" i="3"/>
  <c r="D438" i="3"/>
  <c r="C438" i="3"/>
  <c r="AM438" i="3"/>
  <c r="AK438" i="3"/>
  <c r="S438" i="3"/>
  <c r="R438" i="3"/>
  <c r="P438" i="3"/>
  <c r="Q438" i="3"/>
  <c r="AD438" i="3"/>
  <c r="O438" i="3"/>
  <c r="M438" i="3"/>
  <c r="AF438" i="3"/>
  <c r="V438" i="3"/>
  <c r="AE438" i="3"/>
  <c r="U438" i="3"/>
  <c r="F438" i="3"/>
  <c r="G438" i="3"/>
  <c r="H438" i="3" s="1"/>
  <c r="T438" i="3"/>
  <c r="BB434" i="3"/>
  <c r="BF434" i="3"/>
  <c r="BJ433" i="3" s="1"/>
  <c r="BK433" i="3" s="1"/>
  <c r="BQ434" i="3"/>
  <c r="AH437" i="3"/>
  <c r="X437" i="3"/>
  <c r="BN438" i="3" l="1"/>
  <c r="BM438" i="3"/>
  <c r="BD434" i="3"/>
  <c r="AY436" i="3"/>
  <c r="AV436" i="3"/>
  <c r="AT437" i="3"/>
  <c r="BC435" i="3"/>
  <c r="BG435" i="3" s="1"/>
  <c r="BH435" i="3" s="1"/>
  <c r="BI435" i="3" s="1"/>
  <c r="AO438" i="3"/>
  <c r="Y438" i="3"/>
  <c r="Z438" i="3" s="1"/>
  <c r="BA436" i="3"/>
  <c r="BF436" i="3" s="1"/>
  <c r="AW437" i="3"/>
  <c r="AH438" i="3"/>
  <c r="AN438" i="3"/>
  <c r="AU437" i="3"/>
  <c r="A440" i="3"/>
  <c r="B439" i="3"/>
  <c r="AR439" i="3"/>
  <c r="AQ439" i="3"/>
  <c r="C439" i="3"/>
  <c r="AK439" i="3"/>
  <c r="AM439" i="3"/>
  <c r="T439" i="3"/>
  <c r="S439" i="3"/>
  <c r="D439" i="3"/>
  <c r="Q439" i="3"/>
  <c r="R439" i="3"/>
  <c r="AD439" i="3"/>
  <c r="P439" i="3"/>
  <c r="O439" i="3"/>
  <c r="AE439" i="3"/>
  <c r="M439" i="3"/>
  <c r="AF439" i="3"/>
  <c r="V439" i="3"/>
  <c r="U439" i="3"/>
  <c r="F439" i="3"/>
  <c r="BM439" i="3" s="1"/>
  <c r="G439" i="3"/>
  <c r="H439" i="3" s="1"/>
  <c r="BQ435" i="3"/>
  <c r="BB435" i="3"/>
  <c r="BF435" i="3"/>
  <c r="BJ434" i="3" s="1"/>
  <c r="BK434" i="3" s="1"/>
  <c r="AG438" i="3"/>
  <c r="X438" i="3"/>
  <c r="AX437" i="3"/>
  <c r="BN439" i="3" l="1"/>
  <c r="BD435" i="3"/>
  <c r="BC436" i="3"/>
  <c r="BG436" i="3" s="1"/>
  <c r="BH436" i="3" s="1"/>
  <c r="BI436" i="3" s="1"/>
  <c r="BQ436" i="3"/>
  <c r="AH439" i="3"/>
  <c r="AW438" i="3"/>
  <c r="AN439" i="3"/>
  <c r="AU438" i="3"/>
  <c r="AT438" i="3"/>
  <c r="BB436" i="3"/>
  <c r="BA437" i="3"/>
  <c r="BQ437" i="3" s="1"/>
  <c r="Y439" i="3"/>
  <c r="Z439" i="3" s="1"/>
  <c r="BJ435" i="3"/>
  <c r="BK435" i="3" s="1"/>
  <c r="AG439" i="3"/>
  <c r="AO439" i="3"/>
  <c r="AY437" i="3"/>
  <c r="AV437" i="3"/>
  <c r="A441" i="3"/>
  <c r="B440" i="3"/>
  <c r="AQ440" i="3"/>
  <c r="AR440" i="3"/>
  <c r="D440" i="3"/>
  <c r="T440" i="3"/>
  <c r="C440" i="3"/>
  <c r="AK440" i="3"/>
  <c r="AM440" i="3"/>
  <c r="S440" i="3"/>
  <c r="R440" i="3"/>
  <c r="AD440" i="3"/>
  <c r="P440" i="3"/>
  <c r="O440" i="3"/>
  <c r="AE440" i="3"/>
  <c r="AF440" i="3"/>
  <c r="U440" i="3"/>
  <c r="M440" i="3"/>
  <c r="V440" i="3"/>
  <c r="Q440" i="3"/>
  <c r="F440" i="3"/>
  <c r="G440" i="3"/>
  <c r="H440" i="3" s="1"/>
  <c r="X439" i="3"/>
  <c r="AX438" i="3"/>
  <c r="BM440" i="3" l="1"/>
  <c r="BD436" i="3"/>
  <c r="BN440" i="3"/>
  <c r="AV438" i="3"/>
  <c r="AU439" i="3"/>
  <c r="AT439" i="3"/>
  <c r="AO440" i="3"/>
  <c r="AW439" i="3"/>
  <c r="BA438" i="3"/>
  <c r="BF438" i="3" s="1"/>
  <c r="BF437" i="3"/>
  <c r="BJ436" i="3" s="1"/>
  <c r="BK436" i="3" s="1"/>
  <c r="BB437" i="3"/>
  <c r="Y440" i="3"/>
  <c r="Z440" i="3" s="1"/>
  <c r="AR441" i="3"/>
  <c r="B441" i="3"/>
  <c r="AQ441" i="3"/>
  <c r="A442" i="3"/>
  <c r="D441" i="3"/>
  <c r="C441" i="3"/>
  <c r="AK441" i="3"/>
  <c r="AM441" i="3"/>
  <c r="Q441" i="3"/>
  <c r="S441" i="3"/>
  <c r="AD441" i="3"/>
  <c r="P441" i="3"/>
  <c r="T441" i="3"/>
  <c r="O441" i="3"/>
  <c r="M441" i="3"/>
  <c r="AE441" i="3"/>
  <c r="AF441" i="3"/>
  <c r="U441" i="3"/>
  <c r="V441" i="3"/>
  <c r="G441" i="3"/>
  <c r="H441" i="3" s="1"/>
  <c r="R441" i="3"/>
  <c r="F441" i="3"/>
  <c r="BM441" i="3" s="1"/>
  <c r="AH440" i="3"/>
  <c r="AY438" i="3"/>
  <c r="AG440" i="3"/>
  <c r="AN440" i="3"/>
  <c r="X440" i="3"/>
  <c r="BC437" i="3"/>
  <c r="AX439" i="3"/>
  <c r="BC438" i="3" l="1"/>
  <c r="BD438" i="3" s="1"/>
  <c r="AV439" i="3"/>
  <c r="BJ437" i="3"/>
  <c r="BK437" i="3" s="1"/>
  <c r="BB438" i="3"/>
  <c r="BQ438" i="3"/>
  <c r="BA439" i="3"/>
  <c r="BB439" i="3" s="1"/>
  <c r="AO441" i="3"/>
  <c r="AT440" i="3"/>
  <c r="AU440" i="3"/>
  <c r="AY439" i="3"/>
  <c r="BD437" i="3"/>
  <c r="BG437" i="3"/>
  <c r="BH437" i="3" s="1"/>
  <c r="BI437" i="3" s="1"/>
  <c r="AR442" i="3"/>
  <c r="AQ442" i="3"/>
  <c r="B442" i="3"/>
  <c r="A443" i="3"/>
  <c r="C442" i="3"/>
  <c r="AK442" i="3"/>
  <c r="S442" i="3"/>
  <c r="AM442" i="3"/>
  <c r="D442" i="3"/>
  <c r="T442" i="3"/>
  <c r="Q442" i="3"/>
  <c r="R442" i="3"/>
  <c r="AD442" i="3"/>
  <c r="P442" i="3"/>
  <c r="O442" i="3"/>
  <c r="U442" i="3"/>
  <c r="AF442" i="3"/>
  <c r="M442" i="3"/>
  <c r="AE442" i="3"/>
  <c r="V442" i="3"/>
  <c r="G442" i="3"/>
  <c r="H442" i="3" s="1"/>
  <c r="F442" i="3"/>
  <c r="AH441" i="3"/>
  <c r="AW440" i="3"/>
  <c r="BN441" i="3"/>
  <c r="AG441" i="3"/>
  <c r="AN441" i="3"/>
  <c r="X441" i="3"/>
  <c r="Y441" i="3"/>
  <c r="Z441" i="3" s="1"/>
  <c r="AX440" i="3"/>
  <c r="BN442" i="3" l="1"/>
  <c r="BG438" i="3"/>
  <c r="BH438" i="3" s="1"/>
  <c r="BI438" i="3" s="1"/>
  <c r="BC439" i="3"/>
  <c r="BG439" i="3" s="1"/>
  <c r="BH439" i="3" s="1"/>
  <c r="BI439" i="3" s="1"/>
  <c r="AG442" i="3"/>
  <c r="BQ439" i="3"/>
  <c r="AT441" i="3"/>
  <c r="BF439" i="3"/>
  <c r="BJ438" i="3" s="1"/>
  <c r="BK438" i="3" s="1"/>
  <c r="AV440" i="3"/>
  <c r="AN442" i="3"/>
  <c r="AR443" i="3"/>
  <c r="B443" i="3"/>
  <c r="AQ443" i="3"/>
  <c r="A444" i="3"/>
  <c r="D443" i="3"/>
  <c r="C443" i="3"/>
  <c r="AM443" i="3"/>
  <c r="AK443" i="3"/>
  <c r="S443" i="3"/>
  <c r="R443" i="3"/>
  <c r="Q443" i="3"/>
  <c r="AD443" i="3"/>
  <c r="P443" i="3"/>
  <c r="AE443" i="3"/>
  <c r="O443" i="3"/>
  <c r="U443" i="3"/>
  <c r="M443" i="3"/>
  <c r="AF443" i="3"/>
  <c r="V443" i="3"/>
  <c r="G443" i="3"/>
  <c r="H443" i="3" s="1"/>
  <c r="F443" i="3"/>
  <c r="T443" i="3"/>
  <c r="AX441" i="3"/>
  <c r="AU441" i="3"/>
  <c r="AW441" i="3"/>
  <c r="AY440" i="3"/>
  <c r="BM442" i="3"/>
  <c r="AO442" i="3"/>
  <c r="AH442" i="3"/>
  <c r="Y442" i="3"/>
  <c r="Z442" i="3" s="1"/>
  <c r="X442" i="3"/>
  <c r="BA440" i="3"/>
  <c r="BD439" i="3" l="1"/>
  <c r="AY441" i="3"/>
  <c r="BN443" i="3"/>
  <c r="BC440" i="3"/>
  <c r="BG440" i="3" s="1"/>
  <c r="BH440" i="3" s="1"/>
  <c r="BI440" i="3" s="1"/>
  <c r="AX442" i="3"/>
  <c r="AO443" i="3"/>
  <c r="BA441" i="3"/>
  <c r="BQ441" i="3" s="1"/>
  <c r="AG443" i="3"/>
  <c r="AT442" i="3"/>
  <c r="AW442" i="3"/>
  <c r="AU442" i="3"/>
  <c r="BM443" i="3"/>
  <c r="AN443" i="3"/>
  <c r="AV441" i="3"/>
  <c r="BQ440" i="3"/>
  <c r="BF440" i="3"/>
  <c r="BJ439" i="3" s="1"/>
  <c r="BK439" i="3" s="1"/>
  <c r="BB440" i="3"/>
  <c r="AQ444" i="3"/>
  <c r="AR444" i="3"/>
  <c r="B444" i="3"/>
  <c r="A445" i="3"/>
  <c r="D444" i="3"/>
  <c r="C444" i="3"/>
  <c r="AK444" i="3"/>
  <c r="AM444" i="3"/>
  <c r="T444" i="3"/>
  <c r="S444" i="3"/>
  <c r="Q444" i="3"/>
  <c r="AD444" i="3"/>
  <c r="P444" i="3"/>
  <c r="M444" i="3"/>
  <c r="AE444" i="3"/>
  <c r="AF444" i="3"/>
  <c r="V444" i="3"/>
  <c r="O444" i="3"/>
  <c r="U444" i="3"/>
  <c r="F444" i="3"/>
  <c r="G444" i="3"/>
  <c r="H444" i="3" s="1"/>
  <c r="BN444" i="3" s="1"/>
  <c r="R444" i="3"/>
  <c r="Y443" i="3"/>
  <c r="Z443" i="3" s="1"/>
  <c r="AH443" i="3"/>
  <c r="X443" i="3"/>
  <c r="BC441" i="3" l="1"/>
  <c r="BG441" i="3" s="1"/>
  <c r="BH441" i="3" s="1"/>
  <c r="BI441" i="3" s="1"/>
  <c r="BM444" i="3"/>
  <c r="BD440" i="3"/>
  <c r="AY442" i="3"/>
  <c r="AX443" i="3"/>
  <c r="BF441" i="3"/>
  <c r="BJ440" i="3" s="1"/>
  <c r="BK440" i="3" s="1"/>
  <c r="AH444" i="3"/>
  <c r="BB441" i="3"/>
  <c r="AN444" i="3"/>
  <c r="AO444" i="3"/>
  <c r="Y444" i="3"/>
  <c r="Z444" i="3" s="1"/>
  <c r="AG444" i="3"/>
  <c r="AU443" i="3"/>
  <c r="AW443" i="3"/>
  <c r="A446" i="3"/>
  <c r="AQ445" i="3"/>
  <c r="B445" i="3"/>
  <c r="AR445" i="3"/>
  <c r="C445" i="3"/>
  <c r="AK445" i="3"/>
  <c r="AM445" i="3"/>
  <c r="S445" i="3"/>
  <c r="D445" i="3"/>
  <c r="R445" i="3"/>
  <c r="Q445" i="3"/>
  <c r="P445" i="3"/>
  <c r="AD445" i="3"/>
  <c r="O445" i="3"/>
  <c r="M445" i="3"/>
  <c r="AE445" i="3"/>
  <c r="U445" i="3"/>
  <c r="AF445" i="3"/>
  <c r="V445" i="3"/>
  <c r="G445" i="3"/>
  <c r="H445" i="3" s="1"/>
  <c r="F445" i="3"/>
  <c r="T445" i="3"/>
  <c r="BA442" i="3"/>
  <c r="AV442" i="3"/>
  <c r="X444" i="3"/>
  <c r="AT443" i="3"/>
  <c r="BM445" i="3" l="1"/>
  <c r="BD441" i="3"/>
  <c r="BC442" i="3"/>
  <c r="BG442" i="3" s="1"/>
  <c r="BH442" i="3" s="1"/>
  <c r="BI442" i="3" s="1"/>
  <c r="AT444" i="3"/>
  <c r="BN445" i="3"/>
  <c r="AY443" i="3"/>
  <c r="AO445" i="3"/>
  <c r="AW444" i="3"/>
  <c r="AN445" i="3"/>
  <c r="Y445" i="3"/>
  <c r="Z445" i="3" s="1"/>
  <c r="BA443" i="3"/>
  <c r="BB443" i="3" s="1"/>
  <c r="AG445" i="3"/>
  <c r="AU444" i="3"/>
  <c r="AX444" i="3"/>
  <c r="BB442" i="3"/>
  <c r="BF442" i="3"/>
  <c r="BJ441" i="3" s="1"/>
  <c r="BK441" i="3" s="1"/>
  <c r="BQ442" i="3"/>
  <c r="B446" i="3"/>
  <c r="A447" i="3"/>
  <c r="AQ446" i="3"/>
  <c r="AR446" i="3"/>
  <c r="C446" i="3"/>
  <c r="D446" i="3"/>
  <c r="S446" i="3"/>
  <c r="R446" i="3"/>
  <c r="AM446" i="3"/>
  <c r="AK446" i="3"/>
  <c r="P446" i="3"/>
  <c r="Q446" i="3"/>
  <c r="AD446" i="3"/>
  <c r="AE446" i="3"/>
  <c r="O446" i="3"/>
  <c r="AF446" i="3"/>
  <c r="M446" i="3"/>
  <c r="V446" i="3"/>
  <c r="U446" i="3"/>
  <c r="G446" i="3"/>
  <c r="H446" i="3" s="1"/>
  <c r="F446" i="3"/>
  <c r="BM446" i="3" s="1"/>
  <c r="T446" i="3"/>
  <c r="AH445" i="3"/>
  <c r="X445" i="3"/>
  <c r="AV443" i="3"/>
  <c r="BD442" i="3" l="1"/>
  <c r="BC443" i="3"/>
  <c r="BD443" i="3" s="1"/>
  <c r="BN446" i="3"/>
  <c r="AV444" i="3"/>
  <c r="AY444" i="3"/>
  <c r="BF443" i="3"/>
  <c r="BJ442" i="3" s="1"/>
  <c r="BK442" i="3" s="1"/>
  <c r="AX445" i="3"/>
  <c r="AO446" i="3"/>
  <c r="BQ443" i="3"/>
  <c r="BA444" i="3"/>
  <c r="BQ444" i="3" s="1"/>
  <c r="AH446" i="3"/>
  <c r="Y446" i="3"/>
  <c r="Z446" i="3" s="1"/>
  <c r="B447" i="3"/>
  <c r="AQ447" i="3"/>
  <c r="AR447" i="3"/>
  <c r="A448" i="3"/>
  <c r="C447" i="3"/>
  <c r="D447" i="3"/>
  <c r="S447" i="3"/>
  <c r="Q447" i="3"/>
  <c r="AM447" i="3"/>
  <c r="AK447" i="3"/>
  <c r="AD447" i="3"/>
  <c r="P447" i="3"/>
  <c r="O447" i="3"/>
  <c r="AE447" i="3"/>
  <c r="U447" i="3"/>
  <c r="M447" i="3"/>
  <c r="AF447" i="3"/>
  <c r="V447" i="3"/>
  <c r="F447" i="3"/>
  <c r="R447" i="3"/>
  <c r="G447" i="3"/>
  <c r="H447" i="3" s="1"/>
  <c r="T447" i="3"/>
  <c r="AG446" i="3"/>
  <c r="AU445" i="3"/>
  <c r="AW445" i="3"/>
  <c r="AN446" i="3"/>
  <c r="X446" i="3"/>
  <c r="AT445" i="3"/>
  <c r="BG443" i="3" l="1"/>
  <c r="BH443" i="3" s="1"/>
  <c r="BI443" i="3" s="1"/>
  <c r="BM447" i="3"/>
  <c r="AU446" i="3"/>
  <c r="AX446" i="3"/>
  <c r="BC444" i="3"/>
  <c r="BD444" i="3" s="1"/>
  <c r="AO447" i="3"/>
  <c r="AY445" i="3"/>
  <c r="BB444" i="3"/>
  <c r="AT446" i="3"/>
  <c r="AG447" i="3"/>
  <c r="BF444" i="3"/>
  <c r="BJ443" i="3" s="1"/>
  <c r="BK443" i="3" s="1"/>
  <c r="Y447" i="3"/>
  <c r="Z447" i="3" s="1"/>
  <c r="AV445" i="3"/>
  <c r="BA445" i="3"/>
  <c r="AW446" i="3"/>
  <c r="BN447" i="3"/>
  <c r="AH447" i="3"/>
  <c r="AN447" i="3"/>
  <c r="X447" i="3"/>
  <c r="AR448" i="3"/>
  <c r="B448" i="3"/>
  <c r="AQ448" i="3"/>
  <c r="A449" i="3"/>
  <c r="AM448" i="3"/>
  <c r="AK448" i="3"/>
  <c r="S448" i="3"/>
  <c r="D448" i="3"/>
  <c r="C448" i="3"/>
  <c r="Q448" i="3"/>
  <c r="R448" i="3"/>
  <c r="AD448" i="3"/>
  <c r="P448" i="3"/>
  <c r="V448" i="3"/>
  <c r="U448" i="3"/>
  <c r="O448" i="3"/>
  <c r="AE448" i="3"/>
  <c r="AF448" i="3"/>
  <c r="M448" i="3"/>
  <c r="G448" i="3"/>
  <c r="H448" i="3" s="1"/>
  <c r="F448" i="3"/>
  <c r="T448" i="3"/>
  <c r="BM448" i="3" l="1"/>
  <c r="BN448" i="3"/>
  <c r="AV446" i="3"/>
  <c r="AT447" i="3"/>
  <c r="AY446" i="3"/>
  <c r="BC445" i="3"/>
  <c r="BG445" i="3" s="1"/>
  <c r="BH445" i="3" s="1"/>
  <c r="BI445" i="3" s="1"/>
  <c r="BG444" i="3"/>
  <c r="BH444" i="3" s="1"/>
  <c r="BI444" i="3" s="1"/>
  <c r="AO448" i="3"/>
  <c r="AW447" i="3"/>
  <c r="AU447" i="3"/>
  <c r="Y448" i="3"/>
  <c r="Z448" i="3" s="1"/>
  <c r="AH448" i="3"/>
  <c r="AG448" i="3"/>
  <c r="X448" i="3"/>
  <c r="AN448" i="3"/>
  <c r="AX447" i="3"/>
  <c r="BA446" i="3"/>
  <c r="AQ449" i="3"/>
  <c r="B449" i="3"/>
  <c r="A450" i="3"/>
  <c r="AR449" i="3"/>
  <c r="C449" i="3"/>
  <c r="AK449" i="3"/>
  <c r="T449" i="3"/>
  <c r="Q449" i="3"/>
  <c r="D449" i="3"/>
  <c r="AM449" i="3"/>
  <c r="R449" i="3"/>
  <c r="S449" i="3"/>
  <c r="AD449" i="3"/>
  <c r="P449" i="3"/>
  <c r="AE449" i="3"/>
  <c r="M449" i="3"/>
  <c r="AF449" i="3"/>
  <c r="U449" i="3"/>
  <c r="O449" i="3"/>
  <c r="V449" i="3"/>
  <c r="G449" i="3"/>
  <c r="H449" i="3" s="1"/>
  <c r="F449" i="3"/>
  <c r="BB445" i="3"/>
  <c r="BF445" i="3"/>
  <c r="BJ444" i="3" s="1"/>
  <c r="BK444" i="3" s="1"/>
  <c r="BQ445" i="3"/>
  <c r="BN449" i="3" l="1"/>
  <c r="AV447" i="3"/>
  <c r="BC446" i="3"/>
  <c r="BD446" i="3" s="1"/>
  <c r="BD445" i="3"/>
  <c r="AU448" i="3"/>
  <c r="AX448" i="3"/>
  <c r="AN449" i="3"/>
  <c r="BM449" i="3"/>
  <c r="AH449" i="3"/>
  <c r="AT448" i="3"/>
  <c r="BA447" i="3"/>
  <c r="BB447" i="3" s="1"/>
  <c r="AY447" i="3"/>
  <c r="Y449" i="3"/>
  <c r="Z449" i="3" s="1"/>
  <c r="AQ450" i="3"/>
  <c r="B450" i="3"/>
  <c r="A451" i="3"/>
  <c r="AR450" i="3"/>
  <c r="C450" i="3"/>
  <c r="D450" i="3"/>
  <c r="S450" i="3"/>
  <c r="AM450" i="3"/>
  <c r="AK450" i="3"/>
  <c r="Q450" i="3"/>
  <c r="R450" i="3"/>
  <c r="AD450" i="3"/>
  <c r="P450" i="3"/>
  <c r="M450" i="3"/>
  <c r="O450" i="3"/>
  <c r="AF450" i="3"/>
  <c r="AE450" i="3"/>
  <c r="U450" i="3"/>
  <c r="V450" i="3"/>
  <c r="F450" i="3"/>
  <c r="G450" i="3"/>
  <c r="H450" i="3" s="1"/>
  <c r="T450" i="3"/>
  <c r="AG449" i="3"/>
  <c r="X449" i="3"/>
  <c r="BQ446" i="3"/>
  <c r="BF446" i="3"/>
  <c r="BJ445" i="3" s="1"/>
  <c r="BK445" i="3" s="1"/>
  <c r="BB446" i="3"/>
  <c r="AO449" i="3"/>
  <c r="AW448" i="3"/>
  <c r="BC447" i="3" l="1"/>
  <c r="BD447" i="3" s="1"/>
  <c r="AT449" i="3"/>
  <c r="BG446" i="3"/>
  <c r="BH446" i="3" s="1"/>
  <c r="BI446" i="3" s="1"/>
  <c r="AV448" i="3"/>
  <c r="AY448" i="3"/>
  <c r="BN450" i="3"/>
  <c r="BF447" i="3"/>
  <c r="BJ446" i="3" s="1"/>
  <c r="BK446" i="3" s="1"/>
  <c r="BQ447" i="3"/>
  <c r="AX449" i="3"/>
  <c r="AO450" i="3"/>
  <c r="AU449" i="3"/>
  <c r="AG450" i="3"/>
  <c r="BA448" i="3"/>
  <c r="BB448" i="3" s="1"/>
  <c r="AW449" i="3"/>
  <c r="Y450" i="3"/>
  <c r="Z450" i="3" s="1"/>
  <c r="BM450" i="3"/>
  <c r="AH450" i="3"/>
  <c r="AN450" i="3"/>
  <c r="AR451" i="3"/>
  <c r="B451" i="3"/>
  <c r="AQ451" i="3"/>
  <c r="A452" i="3"/>
  <c r="D451" i="3"/>
  <c r="C451" i="3"/>
  <c r="AK451" i="3"/>
  <c r="AM451" i="3"/>
  <c r="S451" i="3"/>
  <c r="Q451" i="3"/>
  <c r="R451" i="3"/>
  <c r="T451" i="3"/>
  <c r="AD451" i="3"/>
  <c r="P451" i="3"/>
  <c r="O451" i="3"/>
  <c r="AE451" i="3"/>
  <c r="AF451" i="3"/>
  <c r="V451" i="3"/>
  <c r="U451" i="3"/>
  <c r="M451" i="3"/>
  <c r="F451" i="3"/>
  <c r="G451" i="3"/>
  <c r="H451" i="3" s="1"/>
  <c r="X450" i="3"/>
  <c r="BG447" i="3" l="1"/>
  <c r="BH447" i="3" s="1"/>
  <c r="BI447" i="3" s="1"/>
  <c r="AV449" i="3"/>
  <c r="BC448" i="3"/>
  <c r="BG448" i="3" s="1"/>
  <c r="BH448" i="3" s="1"/>
  <c r="BI448" i="3" s="1"/>
  <c r="BF448" i="3"/>
  <c r="BJ447" i="3" s="1"/>
  <c r="BK447" i="3" s="1"/>
  <c r="BM451" i="3"/>
  <c r="AO451" i="3"/>
  <c r="BQ448" i="3"/>
  <c r="AT450" i="3"/>
  <c r="AY449" i="3"/>
  <c r="AU450" i="3"/>
  <c r="AW450" i="3"/>
  <c r="Y451" i="3"/>
  <c r="Z451" i="3" s="1"/>
  <c r="AQ452" i="3"/>
  <c r="AR452" i="3"/>
  <c r="B452" i="3"/>
  <c r="A453" i="3"/>
  <c r="D452" i="3"/>
  <c r="C452" i="3"/>
  <c r="AM452" i="3"/>
  <c r="AK452" i="3"/>
  <c r="Q452" i="3"/>
  <c r="R452" i="3"/>
  <c r="T452" i="3"/>
  <c r="S452" i="3"/>
  <c r="AD452" i="3"/>
  <c r="P452" i="3"/>
  <c r="O452" i="3"/>
  <c r="AE452" i="3"/>
  <c r="M452" i="3"/>
  <c r="AF452" i="3"/>
  <c r="U452" i="3"/>
  <c r="V452" i="3"/>
  <c r="G452" i="3"/>
  <c r="H452" i="3" s="1"/>
  <c r="BN452" i="3" s="1"/>
  <c r="F452" i="3"/>
  <c r="BM452" i="3" s="1"/>
  <c r="AH451" i="3"/>
  <c r="BN451" i="3"/>
  <c r="AG451" i="3"/>
  <c r="AN451" i="3"/>
  <c r="X451" i="3"/>
  <c r="AX450" i="3"/>
  <c r="BA449" i="3"/>
  <c r="BC449" i="3" l="1"/>
  <c r="BG449" i="3" s="1"/>
  <c r="BH449" i="3" s="1"/>
  <c r="BI449" i="3" s="1"/>
  <c r="BD448" i="3"/>
  <c r="AV450" i="3"/>
  <c r="AO452" i="3"/>
  <c r="BA450" i="3"/>
  <c r="BQ450" i="3" s="1"/>
  <c r="AG452" i="3"/>
  <c r="AU451" i="3"/>
  <c r="A454" i="3"/>
  <c r="AQ453" i="3"/>
  <c r="B453" i="3"/>
  <c r="AR453" i="3"/>
  <c r="C453" i="3"/>
  <c r="S453" i="3"/>
  <c r="R453" i="3"/>
  <c r="D453" i="3"/>
  <c r="AK453" i="3"/>
  <c r="AM453" i="3"/>
  <c r="AD453" i="3"/>
  <c r="Q453" i="3"/>
  <c r="P453" i="3"/>
  <c r="AE453" i="3"/>
  <c r="O453" i="3"/>
  <c r="M453" i="3"/>
  <c r="AF453" i="3"/>
  <c r="U453" i="3"/>
  <c r="V453" i="3"/>
  <c r="F453" i="3"/>
  <c r="G453" i="3"/>
  <c r="H453" i="3" s="1"/>
  <c r="T453" i="3"/>
  <c r="Y452" i="3"/>
  <c r="Z452" i="3" s="1"/>
  <c r="AH452" i="3"/>
  <c r="AY450" i="3"/>
  <c r="AN452" i="3"/>
  <c r="BF449" i="3"/>
  <c r="BJ448" i="3" s="1"/>
  <c r="BK448" i="3" s="1"/>
  <c r="BB449" i="3"/>
  <c r="BQ449" i="3"/>
  <c r="AT451" i="3"/>
  <c r="AW451" i="3"/>
  <c r="AX451" i="3"/>
  <c r="X452" i="3"/>
  <c r="BD449" i="3" l="1"/>
  <c r="BC450" i="3"/>
  <c r="BD450" i="3" s="1"/>
  <c r="BN453" i="3"/>
  <c r="BM453" i="3"/>
  <c r="BF450" i="3"/>
  <c r="BJ449" i="3" s="1"/>
  <c r="BK449" i="3" s="1"/>
  <c r="BB450" i="3"/>
  <c r="AX452" i="3"/>
  <c r="AU452" i="3"/>
  <c r="AO453" i="3"/>
  <c r="AT452" i="3"/>
  <c r="AW452" i="3"/>
  <c r="AY451" i="3"/>
  <c r="AV451" i="3"/>
  <c r="BA451" i="3"/>
  <c r="Y453" i="3"/>
  <c r="Z453" i="3" s="1"/>
  <c r="AG453" i="3"/>
  <c r="AN453" i="3"/>
  <c r="B454" i="3"/>
  <c r="A455" i="3"/>
  <c r="AQ454" i="3"/>
  <c r="AR454" i="3"/>
  <c r="C454" i="3"/>
  <c r="D454" i="3"/>
  <c r="AK454" i="3"/>
  <c r="T454" i="3"/>
  <c r="AM454" i="3"/>
  <c r="S454" i="3"/>
  <c r="R454" i="3"/>
  <c r="Q454" i="3"/>
  <c r="AD454" i="3"/>
  <c r="P454" i="3"/>
  <c r="M454" i="3"/>
  <c r="AE454" i="3"/>
  <c r="O454" i="3"/>
  <c r="AF454" i="3"/>
  <c r="U454" i="3"/>
  <c r="V454" i="3"/>
  <c r="F454" i="3"/>
  <c r="G454" i="3"/>
  <c r="H454" i="3" s="1"/>
  <c r="AH453" i="3"/>
  <c r="X453" i="3"/>
  <c r="BN454" i="3" l="1"/>
  <c r="BM454" i="3"/>
  <c r="AV452" i="3"/>
  <c r="AY452" i="3"/>
  <c r="BG450" i="3"/>
  <c r="BH450" i="3" s="1"/>
  <c r="BI450" i="3" s="1"/>
  <c r="BA452" i="3"/>
  <c r="BF452" i="3" s="1"/>
  <c r="AN454" i="3"/>
  <c r="BC451" i="3"/>
  <c r="BG451" i="3" s="1"/>
  <c r="BH451" i="3" s="1"/>
  <c r="BI451" i="3" s="1"/>
  <c r="AU453" i="3"/>
  <c r="AX453" i="3"/>
  <c r="AH454" i="3"/>
  <c r="AO454" i="3"/>
  <c r="X454" i="3"/>
  <c r="AW453" i="3"/>
  <c r="Y454" i="3"/>
  <c r="Z454" i="3" s="1"/>
  <c r="B455" i="3"/>
  <c r="AQ455" i="3"/>
  <c r="AR455" i="3"/>
  <c r="A456" i="3"/>
  <c r="AK455" i="3"/>
  <c r="S455" i="3"/>
  <c r="D455" i="3"/>
  <c r="C455" i="3"/>
  <c r="AM455" i="3"/>
  <c r="R455" i="3"/>
  <c r="AD455" i="3"/>
  <c r="P455" i="3"/>
  <c r="O455" i="3"/>
  <c r="AE455" i="3"/>
  <c r="V455" i="3"/>
  <c r="AF455" i="3"/>
  <c r="M455" i="3"/>
  <c r="U455" i="3"/>
  <c r="Q455" i="3"/>
  <c r="G455" i="3"/>
  <c r="H455" i="3" s="1"/>
  <c r="F455" i="3"/>
  <c r="T455" i="3"/>
  <c r="BB451" i="3"/>
  <c r="BQ451" i="3"/>
  <c r="BF451" i="3"/>
  <c r="BJ450" i="3" s="1"/>
  <c r="BK450" i="3" s="1"/>
  <c r="AG454" i="3"/>
  <c r="AT453" i="3"/>
  <c r="BC452" i="3" l="1"/>
  <c r="BD452" i="3" s="1"/>
  <c r="AN455" i="3"/>
  <c r="BM455" i="3"/>
  <c r="BN455" i="3"/>
  <c r="BB452" i="3"/>
  <c r="BQ452" i="3"/>
  <c r="BD451" i="3"/>
  <c r="AW454" i="3"/>
  <c r="AH455" i="3"/>
  <c r="BA453" i="3"/>
  <c r="AV453" i="3"/>
  <c r="AR456" i="3"/>
  <c r="B456" i="3"/>
  <c r="AQ456" i="3"/>
  <c r="A457" i="3"/>
  <c r="C456" i="3"/>
  <c r="D456" i="3"/>
  <c r="AK456" i="3"/>
  <c r="S456" i="3"/>
  <c r="R456" i="3"/>
  <c r="AM456" i="3"/>
  <c r="Q456" i="3"/>
  <c r="AD456" i="3"/>
  <c r="P456" i="3"/>
  <c r="O456" i="3"/>
  <c r="M456" i="3"/>
  <c r="V456" i="3"/>
  <c r="AE456" i="3"/>
  <c r="AF456" i="3"/>
  <c r="U456" i="3"/>
  <c r="G456" i="3"/>
  <c r="H456" i="3" s="1"/>
  <c r="F456" i="3"/>
  <c r="BM456" i="3" s="1"/>
  <c r="T456" i="3"/>
  <c r="AT454" i="3"/>
  <c r="BJ451" i="3"/>
  <c r="BK451" i="3" s="1"/>
  <c r="Y455" i="3"/>
  <c r="Z455" i="3" s="1"/>
  <c r="AG455" i="3"/>
  <c r="X455" i="3"/>
  <c r="AX454" i="3"/>
  <c r="AO455" i="3"/>
  <c r="AU454" i="3"/>
  <c r="AY453" i="3"/>
  <c r="AU455" i="3" l="1"/>
  <c r="BN456" i="3"/>
  <c r="BG452" i="3"/>
  <c r="BH452" i="3" s="1"/>
  <c r="BI452" i="3" s="1"/>
  <c r="AO456" i="3"/>
  <c r="AY454" i="3"/>
  <c r="Y456" i="3"/>
  <c r="Z456" i="3" s="1"/>
  <c r="AT455" i="3"/>
  <c r="AX455" i="3"/>
  <c r="AG456" i="3"/>
  <c r="BQ453" i="3"/>
  <c r="BB453" i="3"/>
  <c r="BF453" i="3"/>
  <c r="BJ452" i="3" s="1"/>
  <c r="BK452" i="3" s="1"/>
  <c r="AV454" i="3"/>
  <c r="X456" i="3"/>
  <c r="AQ457" i="3"/>
  <c r="B457" i="3"/>
  <c r="A458" i="3"/>
  <c r="AR457" i="3"/>
  <c r="D457" i="3"/>
  <c r="AK457" i="3"/>
  <c r="C457" i="3"/>
  <c r="AM457" i="3"/>
  <c r="S457" i="3"/>
  <c r="Q457" i="3"/>
  <c r="R457" i="3"/>
  <c r="AD457" i="3"/>
  <c r="P457" i="3"/>
  <c r="O457" i="3"/>
  <c r="AE457" i="3"/>
  <c r="AF457" i="3"/>
  <c r="M457" i="3"/>
  <c r="V457" i="3"/>
  <c r="U457" i="3"/>
  <c r="F457" i="3"/>
  <c r="G457" i="3"/>
  <c r="H457" i="3" s="1"/>
  <c r="BN457" i="3" s="1"/>
  <c r="T457" i="3"/>
  <c r="BA454" i="3"/>
  <c r="AW455" i="3"/>
  <c r="AH456" i="3"/>
  <c r="AN456" i="3"/>
  <c r="BC453" i="3"/>
  <c r="AV455" i="3" l="1"/>
  <c r="AN457" i="3"/>
  <c r="BM457" i="3"/>
  <c r="BC454" i="3"/>
  <c r="BG454" i="3" s="1"/>
  <c r="BH454" i="3" s="1"/>
  <c r="BI454" i="3" s="1"/>
  <c r="AY455" i="3"/>
  <c r="Y457" i="3"/>
  <c r="Z457" i="3" s="1"/>
  <c r="AT456" i="3"/>
  <c r="BD453" i="3"/>
  <c r="BG453" i="3"/>
  <c r="BH453" i="3" s="1"/>
  <c r="BI453" i="3" s="1"/>
  <c r="AH457" i="3"/>
  <c r="AO457" i="3"/>
  <c r="BA455" i="3"/>
  <c r="BF454" i="3"/>
  <c r="BJ453" i="3" s="1"/>
  <c r="BK453" i="3" s="1"/>
  <c r="BQ454" i="3"/>
  <c r="BB454" i="3"/>
  <c r="AQ458" i="3"/>
  <c r="B458" i="3"/>
  <c r="A459" i="3"/>
  <c r="AR458" i="3"/>
  <c r="C458" i="3"/>
  <c r="D458" i="3"/>
  <c r="S458" i="3"/>
  <c r="R458" i="3"/>
  <c r="AK458" i="3"/>
  <c r="AM458" i="3"/>
  <c r="Q458" i="3"/>
  <c r="AD458" i="3"/>
  <c r="P458" i="3"/>
  <c r="M458" i="3"/>
  <c r="AE458" i="3"/>
  <c r="V458" i="3"/>
  <c r="O458" i="3"/>
  <c r="AF458" i="3"/>
  <c r="U458" i="3"/>
  <c r="G458" i="3"/>
  <c r="H458" i="3" s="1"/>
  <c r="F458" i="3"/>
  <c r="BM458" i="3" s="1"/>
  <c r="T458" i="3"/>
  <c r="AX456" i="3"/>
  <c r="AG457" i="3"/>
  <c r="X457" i="3"/>
  <c r="AU456" i="3"/>
  <c r="AW456" i="3"/>
  <c r="BC455" i="3" l="1"/>
  <c r="BG455" i="3" s="1"/>
  <c r="BH455" i="3" s="1"/>
  <c r="BI455" i="3" s="1"/>
  <c r="BN458" i="3"/>
  <c r="BD454" i="3"/>
  <c r="AO458" i="3"/>
  <c r="AG458" i="3"/>
  <c r="AU457" i="3"/>
  <c r="AY456" i="3"/>
  <c r="AW457" i="3"/>
  <c r="BA456" i="3"/>
  <c r="BF456" i="3" s="1"/>
  <c r="AR459" i="3"/>
  <c r="B459" i="3"/>
  <c r="AQ459" i="3"/>
  <c r="A460" i="3"/>
  <c r="D459" i="3"/>
  <c r="C459" i="3"/>
  <c r="AM459" i="3"/>
  <c r="AK459" i="3"/>
  <c r="T459" i="3"/>
  <c r="R459" i="3"/>
  <c r="S459" i="3"/>
  <c r="Q459" i="3"/>
  <c r="AD459" i="3"/>
  <c r="O459" i="3"/>
  <c r="AE459" i="3"/>
  <c r="V459" i="3"/>
  <c r="P459" i="3"/>
  <c r="M459" i="3"/>
  <c r="AF459" i="3"/>
  <c r="U459" i="3"/>
  <c r="G459" i="3"/>
  <c r="H459" i="3" s="1"/>
  <c r="F459" i="3"/>
  <c r="Y458" i="3"/>
  <c r="Z458" i="3" s="1"/>
  <c r="AH458" i="3"/>
  <c r="AN458" i="3"/>
  <c r="AT457" i="3"/>
  <c r="AX457" i="3"/>
  <c r="AV456" i="3"/>
  <c r="BB455" i="3"/>
  <c r="BF455" i="3"/>
  <c r="BJ454" i="3" s="1"/>
  <c r="BK454" i="3" s="1"/>
  <c r="BQ455" i="3"/>
  <c r="X458" i="3"/>
  <c r="BD455" i="3" l="1"/>
  <c r="BN459" i="3"/>
  <c r="BM459" i="3"/>
  <c r="AY457" i="3"/>
  <c r="BC456" i="3"/>
  <c r="BD456" i="3" s="1"/>
  <c r="AN459" i="3"/>
  <c r="AH459" i="3"/>
  <c r="AX458" i="3"/>
  <c r="BB456" i="3"/>
  <c r="BQ456" i="3"/>
  <c r="BA457" i="3"/>
  <c r="AV457" i="3"/>
  <c r="Y459" i="3"/>
  <c r="Z459" i="3" s="1"/>
  <c r="AQ460" i="3"/>
  <c r="AR460" i="3"/>
  <c r="B460" i="3"/>
  <c r="A461" i="3"/>
  <c r="C460" i="3"/>
  <c r="D460" i="3"/>
  <c r="AM460" i="3"/>
  <c r="AK460" i="3"/>
  <c r="Q460" i="3"/>
  <c r="S460" i="3"/>
  <c r="R460" i="3"/>
  <c r="P460" i="3"/>
  <c r="AD460" i="3"/>
  <c r="O460" i="3"/>
  <c r="AF460" i="3"/>
  <c r="M460" i="3"/>
  <c r="AE460" i="3"/>
  <c r="V460" i="3"/>
  <c r="U460" i="3"/>
  <c r="G460" i="3"/>
  <c r="H460" i="3" s="1"/>
  <c r="F460" i="3"/>
  <c r="BM460" i="3" s="1"/>
  <c r="T460" i="3"/>
  <c r="AU458" i="3"/>
  <c r="AW458" i="3"/>
  <c r="AT458" i="3"/>
  <c r="AO459" i="3"/>
  <c r="X459" i="3"/>
  <c r="BJ455" i="3"/>
  <c r="BK455" i="3" s="1"/>
  <c r="AG459" i="3"/>
  <c r="BN460" i="3" l="1"/>
  <c r="BC457" i="3"/>
  <c r="BD457" i="3" s="1"/>
  <c r="AG460" i="3"/>
  <c r="BG456" i="3"/>
  <c r="BH456" i="3" s="1"/>
  <c r="BI456" i="3" s="1"/>
  <c r="AO460" i="3"/>
  <c r="AY458" i="3"/>
  <c r="AW459" i="3"/>
  <c r="AV458" i="3"/>
  <c r="BA458" i="3"/>
  <c r="BF457" i="3"/>
  <c r="BJ456" i="3" s="1"/>
  <c r="BK456" i="3" s="1"/>
  <c r="BB457" i="3"/>
  <c r="BQ457" i="3"/>
  <c r="Y460" i="3"/>
  <c r="Z460" i="3" s="1"/>
  <c r="AU459" i="3"/>
  <c r="AX459" i="3"/>
  <c r="AH460" i="3"/>
  <c r="AN460" i="3"/>
  <c r="X460" i="3"/>
  <c r="A462" i="3"/>
  <c r="AQ461" i="3"/>
  <c r="B461" i="3"/>
  <c r="AR461" i="3"/>
  <c r="C461" i="3"/>
  <c r="Q461" i="3"/>
  <c r="AM461" i="3"/>
  <c r="D461" i="3"/>
  <c r="AK461" i="3"/>
  <c r="T461" i="3"/>
  <c r="R461" i="3"/>
  <c r="AD461" i="3"/>
  <c r="S461" i="3"/>
  <c r="P461" i="3"/>
  <c r="AE461" i="3"/>
  <c r="AF461" i="3"/>
  <c r="V461" i="3"/>
  <c r="U461" i="3"/>
  <c r="O461" i="3"/>
  <c r="M461" i="3"/>
  <c r="G461" i="3"/>
  <c r="H461" i="3" s="1"/>
  <c r="F461" i="3"/>
  <c r="AT459" i="3"/>
  <c r="AY459" i="3" l="1"/>
  <c r="AO461" i="3"/>
  <c r="BG457" i="3"/>
  <c r="BH457" i="3" s="1"/>
  <c r="BI457" i="3" s="1"/>
  <c r="AT460" i="3"/>
  <c r="BM461" i="3"/>
  <c r="BC458" i="3"/>
  <c r="BG458" i="3" s="1"/>
  <c r="BH458" i="3" s="1"/>
  <c r="BI458" i="3" s="1"/>
  <c r="BN461" i="3"/>
  <c r="AG461" i="3"/>
  <c r="AX460" i="3"/>
  <c r="B462" i="3"/>
  <c r="A463" i="3"/>
  <c r="AQ462" i="3"/>
  <c r="AR462" i="3"/>
  <c r="D462" i="3"/>
  <c r="AM462" i="3"/>
  <c r="S462" i="3"/>
  <c r="Q462" i="3"/>
  <c r="AK462" i="3"/>
  <c r="C462" i="3"/>
  <c r="R462" i="3"/>
  <c r="T462" i="3"/>
  <c r="AD462" i="3"/>
  <c r="P462" i="3"/>
  <c r="AE462" i="3"/>
  <c r="M462" i="3"/>
  <c r="O462" i="3"/>
  <c r="V462" i="3"/>
  <c r="AF462" i="3"/>
  <c r="U462" i="3"/>
  <c r="F462" i="3"/>
  <c r="G462" i="3"/>
  <c r="H462" i="3" s="1"/>
  <c r="AN461" i="3"/>
  <c r="X461" i="3"/>
  <c r="AV459" i="3"/>
  <c r="BA459" i="3"/>
  <c r="Y461" i="3"/>
  <c r="Z461" i="3" s="1"/>
  <c r="BQ458" i="3"/>
  <c r="BF458" i="3"/>
  <c r="BJ457" i="3" s="1"/>
  <c r="BK457" i="3" s="1"/>
  <c r="BB458" i="3"/>
  <c r="AH461" i="3"/>
  <c r="AU460" i="3"/>
  <c r="AW460" i="3"/>
  <c r="BC459" i="3" l="1"/>
  <c r="BG459" i="3" s="1"/>
  <c r="BH459" i="3" s="1"/>
  <c r="BI459" i="3" s="1"/>
  <c r="AV460" i="3"/>
  <c r="BD458" i="3"/>
  <c r="AX461" i="3"/>
  <c r="AO462" i="3"/>
  <c r="BM462" i="3"/>
  <c r="AY460" i="3"/>
  <c r="AU461" i="3"/>
  <c r="BF459" i="3"/>
  <c r="BJ458" i="3" s="1"/>
  <c r="BK458" i="3" s="1"/>
  <c r="BQ459" i="3"/>
  <c r="BB459" i="3"/>
  <c r="B463" i="3"/>
  <c r="AQ463" i="3"/>
  <c r="AR463" i="3"/>
  <c r="A464" i="3"/>
  <c r="C463" i="3"/>
  <c r="D463" i="3"/>
  <c r="AK463" i="3"/>
  <c r="AM463" i="3"/>
  <c r="T463" i="3"/>
  <c r="Q463" i="3"/>
  <c r="S463" i="3"/>
  <c r="R463" i="3"/>
  <c r="AD463" i="3"/>
  <c r="O463" i="3"/>
  <c r="P463" i="3"/>
  <c r="AE463" i="3"/>
  <c r="AF463" i="3"/>
  <c r="U463" i="3"/>
  <c r="V463" i="3"/>
  <c r="M463" i="3"/>
  <c r="G463" i="3"/>
  <c r="H463" i="3" s="1"/>
  <c r="F463" i="3"/>
  <c r="AG462" i="3"/>
  <c r="AT461" i="3"/>
  <c r="BN462" i="3"/>
  <c r="X462" i="3"/>
  <c r="AN462" i="3"/>
  <c r="Y462" i="3"/>
  <c r="Z462" i="3" s="1"/>
  <c r="BA460" i="3"/>
  <c r="AW461" i="3"/>
  <c r="AH462" i="3"/>
  <c r="BD459" i="3" l="1"/>
  <c r="BC460" i="3"/>
  <c r="BD460" i="3" s="1"/>
  <c r="AY461" i="3"/>
  <c r="AO463" i="3"/>
  <c r="BN463" i="3"/>
  <c r="AH463" i="3"/>
  <c r="AX462" i="3"/>
  <c r="AV461" i="3"/>
  <c r="Y463" i="3"/>
  <c r="Z463" i="3" s="1"/>
  <c r="AR464" i="3"/>
  <c r="B464" i="3"/>
  <c r="AQ464" i="3"/>
  <c r="A465" i="3"/>
  <c r="D464" i="3"/>
  <c r="C464" i="3"/>
  <c r="T464" i="3"/>
  <c r="Q464" i="3"/>
  <c r="AM464" i="3"/>
  <c r="AK464" i="3"/>
  <c r="R464" i="3"/>
  <c r="AD464" i="3"/>
  <c r="S464" i="3"/>
  <c r="O464" i="3"/>
  <c r="AE464" i="3"/>
  <c r="AF464" i="3"/>
  <c r="U464" i="3"/>
  <c r="P464" i="3"/>
  <c r="M464" i="3"/>
  <c r="V464" i="3"/>
  <c r="G464" i="3"/>
  <c r="H464" i="3" s="1"/>
  <c r="BN464" i="3" s="1"/>
  <c r="F464" i="3"/>
  <c r="AU462" i="3"/>
  <c r="AT462" i="3"/>
  <c r="BA461" i="3"/>
  <c r="BM463" i="3"/>
  <c r="AG463" i="3"/>
  <c r="AN463" i="3"/>
  <c r="BQ460" i="3"/>
  <c r="BF460" i="3"/>
  <c r="BJ459" i="3" s="1"/>
  <c r="BK459" i="3" s="1"/>
  <c r="BB460" i="3"/>
  <c r="AW462" i="3"/>
  <c r="X463" i="3"/>
  <c r="BM464" i="3" l="1"/>
  <c r="BG460" i="3"/>
  <c r="BH460" i="3" s="1"/>
  <c r="BI460" i="3" s="1"/>
  <c r="BC461" i="3"/>
  <c r="BG461" i="3" s="1"/>
  <c r="BH461" i="3" s="1"/>
  <c r="BI461" i="3" s="1"/>
  <c r="AW463" i="3"/>
  <c r="AN464" i="3"/>
  <c r="AG464" i="3"/>
  <c r="AO464" i="3"/>
  <c r="AU463" i="3"/>
  <c r="BA462" i="3"/>
  <c r="AY462" i="3"/>
  <c r="BB461" i="3"/>
  <c r="BF461" i="3"/>
  <c r="BQ461" i="3"/>
  <c r="Y464" i="3"/>
  <c r="Z464" i="3" s="1"/>
  <c r="AQ465" i="3"/>
  <c r="B465" i="3"/>
  <c r="A466" i="3"/>
  <c r="AR465" i="3"/>
  <c r="D465" i="3"/>
  <c r="AK465" i="3"/>
  <c r="R465" i="3"/>
  <c r="C465" i="3"/>
  <c r="AM465" i="3"/>
  <c r="S465" i="3"/>
  <c r="Q465" i="3"/>
  <c r="P465" i="3"/>
  <c r="AD465" i="3"/>
  <c r="O465" i="3"/>
  <c r="AE465" i="3"/>
  <c r="V465" i="3"/>
  <c r="U465" i="3"/>
  <c r="AF465" i="3"/>
  <c r="M465" i="3"/>
  <c r="F465" i="3"/>
  <c r="G465" i="3"/>
  <c r="H465" i="3" s="1"/>
  <c r="T465" i="3"/>
  <c r="AT463" i="3"/>
  <c r="AX463" i="3"/>
  <c r="AV462" i="3"/>
  <c r="AH464" i="3"/>
  <c r="X464" i="3"/>
  <c r="BM465" i="3" l="1"/>
  <c r="BD461" i="3"/>
  <c r="BN465" i="3"/>
  <c r="AY463" i="3"/>
  <c r="AX464" i="3"/>
  <c r="AG465" i="3"/>
  <c r="AV463" i="3"/>
  <c r="AN465" i="3"/>
  <c r="BC462" i="3"/>
  <c r="BD462" i="3" s="1"/>
  <c r="BF462" i="3"/>
  <c r="BJ461" i="3" s="1"/>
  <c r="BK461" i="3" s="1"/>
  <c r="BB462" i="3"/>
  <c r="BQ462" i="3"/>
  <c r="BA463" i="3"/>
  <c r="AH465" i="3"/>
  <c r="Y465" i="3"/>
  <c r="Z465" i="3" s="1"/>
  <c r="X465" i="3"/>
  <c r="AO465" i="3"/>
  <c r="AT464" i="3"/>
  <c r="AW464" i="3"/>
  <c r="AQ466" i="3"/>
  <c r="B466" i="3"/>
  <c r="A467" i="3"/>
  <c r="AR466" i="3"/>
  <c r="D466" i="3"/>
  <c r="C466" i="3"/>
  <c r="AM466" i="3"/>
  <c r="Q466" i="3"/>
  <c r="AK466" i="3"/>
  <c r="S466" i="3"/>
  <c r="T466" i="3"/>
  <c r="AD466" i="3"/>
  <c r="P466" i="3"/>
  <c r="AF466" i="3"/>
  <c r="V466" i="3"/>
  <c r="O466" i="3"/>
  <c r="M466" i="3"/>
  <c r="AE466" i="3"/>
  <c r="U466" i="3"/>
  <c r="R466" i="3"/>
  <c r="G466" i="3"/>
  <c r="H466" i="3" s="1"/>
  <c r="BN466" i="3" s="1"/>
  <c r="F466" i="3"/>
  <c r="BM466" i="3" s="1"/>
  <c r="BJ460" i="3"/>
  <c r="BK460" i="3" s="1"/>
  <c r="AU464" i="3"/>
  <c r="BC463" i="3" l="1"/>
  <c r="BD463" i="3" s="1"/>
  <c r="AY464" i="3"/>
  <c r="AG466" i="3"/>
  <c r="AX465" i="3"/>
  <c r="AU465" i="3"/>
  <c r="AT465" i="3"/>
  <c r="BG462" i="3"/>
  <c r="BH462" i="3" s="1"/>
  <c r="BI462" i="3" s="1"/>
  <c r="AO466" i="3"/>
  <c r="AN466" i="3"/>
  <c r="Y466" i="3"/>
  <c r="Z466" i="3" s="1"/>
  <c r="AR467" i="3"/>
  <c r="B467" i="3"/>
  <c r="AQ467" i="3"/>
  <c r="A468" i="3"/>
  <c r="D467" i="3"/>
  <c r="AM467" i="3"/>
  <c r="S467" i="3"/>
  <c r="C467" i="3"/>
  <c r="AK467" i="3"/>
  <c r="R467" i="3"/>
  <c r="Q467" i="3"/>
  <c r="AD467" i="3"/>
  <c r="P467" i="3"/>
  <c r="M467" i="3"/>
  <c r="AE467" i="3"/>
  <c r="O467" i="3"/>
  <c r="U467" i="3"/>
  <c r="AF467" i="3"/>
  <c r="V467" i="3"/>
  <c r="G467" i="3"/>
  <c r="H467" i="3" s="1"/>
  <c r="F467" i="3"/>
  <c r="T467" i="3"/>
  <c r="AV464" i="3"/>
  <c r="BA464" i="3"/>
  <c r="AW465" i="3"/>
  <c r="BF463" i="3"/>
  <c r="BJ462" i="3" s="1"/>
  <c r="BK462" i="3" s="1"/>
  <c r="BB463" i="3"/>
  <c r="BQ463" i="3"/>
  <c r="AH466" i="3"/>
  <c r="X466" i="3"/>
  <c r="BG463" i="3" l="1"/>
  <c r="BH463" i="3" s="1"/>
  <c r="BI463" i="3" s="1"/>
  <c r="BC464" i="3"/>
  <c r="BD464" i="3" s="1"/>
  <c r="BN467" i="3"/>
  <c r="AY465" i="3"/>
  <c r="AV465" i="3"/>
  <c r="AX466" i="3"/>
  <c r="AN467" i="3"/>
  <c r="AW466" i="3"/>
  <c r="AT466" i="3"/>
  <c r="BF464" i="3"/>
  <c r="BJ463" i="3" s="1"/>
  <c r="BK463" i="3" s="1"/>
  <c r="BQ464" i="3"/>
  <c r="BB464" i="3"/>
  <c r="BA465" i="3"/>
  <c r="Y467" i="3"/>
  <c r="Z467" i="3" s="1"/>
  <c r="AU466" i="3"/>
  <c r="BM467" i="3"/>
  <c r="AG467" i="3"/>
  <c r="AO467" i="3"/>
  <c r="AQ468" i="3"/>
  <c r="AR468" i="3"/>
  <c r="B468" i="3"/>
  <c r="A469" i="3"/>
  <c r="D468" i="3"/>
  <c r="AK468" i="3"/>
  <c r="S468" i="3"/>
  <c r="C468" i="3"/>
  <c r="AM468" i="3"/>
  <c r="AD468" i="3"/>
  <c r="P468" i="3"/>
  <c r="Q468" i="3"/>
  <c r="R468" i="3"/>
  <c r="M468" i="3"/>
  <c r="O468" i="3"/>
  <c r="AE468" i="3"/>
  <c r="U468" i="3"/>
  <c r="AF468" i="3"/>
  <c r="V468" i="3"/>
  <c r="F468" i="3"/>
  <c r="G468" i="3"/>
  <c r="H468" i="3" s="1"/>
  <c r="T468" i="3"/>
  <c r="AH467" i="3"/>
  <c r="X467" i="3"/>
  <c r="BM468" i="3" l="1"/>
  <c r="BN468" i="3"/>
  <c r="BG464" i="3"/>
  <c r="BH464" i="3" s="1"/>
  <c r="BI464" i="3" s="1"/>
  <c r="AY466" i="3"/>
  <c r="BC465" i="3"/>
  <c r="BD465" i="3" s="1"/>
  <c r="AN468" i="3"/>
  <c r="AV466" i="3"/>
  <c r="Y468" i="3"/>
  <c r="Z468" i="3" s="1"/>
  <c r="AT467" i="3"/>
  <c r="AX467" i="3"/>
  <c r="BQ465" i="3"/>
  <c r="BB465" i="3"/>
  <c r="BF465" i="3"/>
  <c r="BJ464" i="3" s="1"/>
  <c r="BK464" i="3" s="1"/>
  <c r="AW467" i="3"/>
  <c r="BA466" i="3"/>
  <c r="A470" i="3"/>
  <c r="AQ469" i="3"/>
  <c r="B469" i="3"/>
  <c r="AR469" i="3"/>
  <c r="C469" i="3"/>
  <c r="D469" i="3"/>
  <c r="AM469" i="3"/>
  <c r="T469" i="3"/>
  <c r="AK469" i="3"/>
  <c r="R469" i="3"/>
  <c r="S469" i="3"/>
  <c r="AD469" i="3"/>
  <c r="AE469" i="3"/>
  <c r="M469" i="3"/>
  <c r="O469" i="3"/>
  <c r="AF469" i="3"/>
  <c r="U469" i="3"/>
  <c r="V469" i="3"/>
  <c r="P469" i="3"/>
  <c r="Q469" i="3"/>
  <c r="G469" i="3"/>
  <c r="H469" i="3" s="1"/>
  <c r="F469" i="3"/>
  <c r="AG468" i="3"/>
  <c r="AH468" i="3"/>
  <c r="X468" i="3"/>
  <c r="AO468" i="3"/>
  <c r="AU467" i="3"/>
  <c r="BC466" i="3" l="1"/>
  <c r="AO469" i="3"/>
  <c r="BN469" i="3"/>
  <c r="AG469" i="3"/>
  <c r="BG465" i="3"/>
  <c r="BH465" i="3" s="1"/>
  <c r="BI465" i="3" s="1"/>
  <c r="AY467" i="3"/>
  <c r="AW468" i="3"/>
  <c r="AT468" i="3"/>
  <c r="AX468" i="3"/>
  <c r="Y469" i="3"/>
  <c r="Z469" i="3" s="1"/>
  <c r="BF466" i="3"/>
  <c r="BJ465" i="3" s="1"/>
  <c r="BK465" i="3" s="1"/>
  <c r="BQ466" i="3"/>
  <c r="BB466" i="3"/>
  <c r="BA467" i="3"/>
  <c r="AV467" i="3"/>
  <c r="AN469" i="3"/>
  <c r="BM469" i="3"/>
  <c r="AH469" i="3"/>
  <c r="AU468" i="3"/>
  <c r="B470" i="3"/>
  <c r="A471" i="3"/>
  <c r="AQ470" i="3"/>
  <c r="AR470" i="3"/>
  <c r="D470" i="3"/>
  <c r="C470" i="3"/>
  <c r="AM470" i="3"/>
  <c r="AK470" i="3"/>
  <c r="R470" i="3"/>
  <c r="AD470" i="3"/>
  <c r="P470" i="3"/>
  <c r="S470" i="3"/>
  <c r="Q470" i="3"/>
  <c r="O470" i="3"/>
  <c r="M470" i="3"/>
  <c r="V470" i="3"/>
  <c r="AF470" i="3"/>
  <c r="AE470" i="3"/>
  <c r="G470" i="3"/>
  <c r="H470" i="3" s="1"/>
  <c r="U470" i="3"/>
  <c r="F470" i="3"/>
  <c r="T470" i="3"/>
  <c r="X469" i="3"/>
  <c r="BN470" i="3" l="1"/>
  <c r="AX469" i="3"/>
  <c r="BG466" i="3"/>
  <c r="BH466" i="3" s="1"/>
  <c r="BI466" i="3" s="1"/>
  <c r="BD466" i="3"/>
  <c r="AN470" i="3"/>
  <c r="BM470" i="3"/>
  <c r="BC467" i="3"/>
  <c r="BD467" i="3" s="1"/>
  <c r="AY468" i="3"/>
  <c r="BB467" i="3"/>
  <c r="BQ467" i="3"/>
  <c r="BF467" i="3"/>
  <c r="BJ466" i="3" s="1"/>
  <c r="BK466" i="3" s="1"/>
  <c r="B471" i="3"/>
  <c r="AQ471" i="3"/>
  <c r="AR471" i="3"/>
  <c r="A472" i="3"/>
  <c r="C471" i="3"/>
  <c r="AK471" i="3"/>
  <c r="S471" i="3"/>
  <c r="D471" i="3"/>
  <c r="AM471" i="3"/>
  <c r="T471" i="3"/>
  <c r="R471" i="3"/>
  <c r="Q471" i="3"/>
  <c r="AD471" i="3"/>
  <c r="P471" i="3"/>
  <c r="O471" i="3"/>
  <c r="M471" i="3"/>
  <c r="AE471" i="3"/>
  <c r="U471" i="3"/>
  <c r="AF471" i="3"/>
  <c r="V471" i="3"/>
  <c r="F471" i="3"/>
  <c r="G471" i="3"/>
  <c r="H471" i="3" s="1"/>
  <c r="AV468" i="3"/>
  <c r="BA468" i="3"/>
  <c r="AU469" i="3"/>
  <c r="Y470" i="3"/>
  <c r="Z470" i="3" s="1"/>
  <c r="AG470" i="3"/>
  <c r="AH470" i="3"/>
  <c r="AO470" i="3"/>
  <c r="X470" i="3"/>
  <c r="AT469" i="3"/>
  <c r="AW469" i="3"/>
  <c r="BM471" i="3" l="1"/>
  <c r="BN471" i="3"/>
  <c r="BC468" i="3"/>
  <c r="BG468" i="3" s="1"/>
  <c r="BH468" i="3" s="1"/>
  <c r="BI468" i="3" s="1"/>
  <c r="AV469" i="3"/>
  <c r="BG467" i="3"/>
  <c r="BH467" i="3" s="1"/>
  <c r="BI467" i="3" s="1"/>
  <c r="AG471" i="3"/>
  <c r="AN471" i="3"/>
  <c r="AX470" i="3"/>
  <c r="BA469" i="3"/>
  <c r="AY469" i="3"/>
  <c r="AT470" i="3"/>
  <c r="AW470" i="3"/>
  <c r="BQ468" i="3"/>
  <c r="BF468" i="3"/>
  <c r="BJ467" i="3" s="1"/>
  <c r="BK467" i="3" s="1"/>
  <c r="BB468" i="3"/>
  <c r="Y471" i="3"/>
  <c r="Z471" i="3" s="1"/>
  <c r="AR472" i="3"/>
  <c r="B472" i="3"/>
  <c r="AQ472" i="3"/>
  <c r="A473" i="3"/>
  <c r="D472" i="3"/>
  <c r="C472" i="3"/>
  <c r="S472" i="3"/>
  <c r="AM472" i="3"/>
  <c r="AK472" i="3"/>
  <c r="T472" i="3"/>
  <c r="Q472" i="3"/>
  <c r="R472" i="3"/>
  <c r="P472" i="3"/>
  <c r="AD472" i="3"/>
  <c r="O472" i="3"/>
  <c r="AF472" i="3"/>
  <c r="AE472" i="3"/>
  <c r="M472" i="3"/>
  <c r="U472" i="3"/>
  <c r="V472" i="3"/>
  <c r="G472" i="3"/>
  <c r="H472" i="3" s="1"/>
  <c r="F472" i="3"/>
  <c r="BM472" i="3" s="1"/>
  <c r="AU470" i="3"/>
  <c r="AH471" i="3"/>
  <c r="AO471" i="3"/>
  <c r="X471" i="3"/>
  <c r="BN472" i="3" l="1"/>
  <c r="BD468" i="3"/>
  <c r="BC469" i="3"/>
  <c r="BG469" i="3" s="1"/>
  <c r="BH469" i="3" s="1"/>
  <c r="BI469" i="3" s="1"/>
  <c r="AY470" i="3"/>
  <c r="AO472" i="3"/>
  <c r="AX471" i="3"/>
  <c r="AG472" i="3"/>
  <c r="Y472" i="3"/>
  <c r="Z472" i="3" s="1"/>
  <c r="AQ473" i="3"/>
  <c r="B473" i="3"/>
  <c r="A474" i="3"/>
  <c r="AR473" i="3"/>
  <c r="C473" i="3"/>
  <c r="D473" i="3"/>
  <c r="AM473" i="3"/>
  <c r="AK473" i="3"/>
  <c r="T473" i="3"/>
  <c r="S473" i="3"/>
  <c r="AD473" i="3"/>
  <c r="P473" i="3"/>
  <c r="Q473" i="3"/>
  <c r="O473" i="3"/>
  <c r="AE473" i="3"/>
  <c r="M473" i="3"/>
  <c r="V473" i="3"/>
  <c r="AF473" i="3"/>
  <c r="U473" i="3"/>
  <c r="R473" i="3"/>
  <c r="G473" i="3"/>
  <c r="H473" i="3" s="1"/>
  <c r="F473" i="3"/>
  <c r="BA470" i="3"/>
  <c r="AV470" i="3"/>
  <c r="BF469" i="3"/>
  <c r="BJ468" i="3" s="1"/>
  <c r="BK468" i="3" s="1"/>
  <c r="BQ469" i="3"/>
  <c r="BB469" i="3"/>
  <c r="AW471" i="3"/>
  <c r="AH472" i="3"/>
  <c r="AN472" i="3"/>
  <c r="X472" i="3"/>
  <c r="AT471" i="3"/>
  <c r="AU471" i="3"/>
  <c r="BC470" i="3" l="1"/>
  <c r="BD470" i="3" s="1"/>
  <c r="BD469" i="3"/>
  <c r="AU472" i="3"/>
  <c r="AY471" i="3"/>
  <c r="BN473" i="3"/>
  <c r="BM473" i="3"/>
  <c r="AO473" i="3"/>
  <c r="BA471" i="3"/>
  <c r="BF471" i="3" s="1"/>
  <c r="BQ470" i="3"/>
  <c r="BB470" i="3"/>
  <c r="BF470" i="3"/>
  <c r="BJ469" i="3" s="1"/>
  <c r="BK469" i="3" s="1"/>
  <c r="AQ474" i="3"/>
  <c r="B474" i="3"/>
  <c r="A475" i="3"/>
  <c r="AR474" i="3"/>
  <c r="C474" i="3"/>
  <c r="AM474" i="3"/>
  <c r="T474" i="3"/>
  <c r="S474" i="3"/>
  <c r="D474" i="3"/>
  <c r="AK474" i="3"/>
  <c r="Q474" i="3"/>
  <c r="R474" i="3"/>
  <c r="AD474" i="3"/>
  <c r="O474" i="3"/>
  <c r="AE474" i="3"/>
  <c r="M474" i="3"/>
  <c r="AF474" i="3"/>
  <c r="P474" i="3"/>
  <c r="U474" i="3"/>
  <c r="V474" i="3"/>
  <c r="F474" i="3"/>
  <c r="BM474" i="3" s="1"/>
  <c r="G474" i="3"/>
  <c r="H474" i="3" s="1"/>
  <c r="AX472" i="3"/>
  <c r="AT472" i="3"/>
  <c r="AG473" i="3"/>
  <c r="AH473" i="3"/>
  <c r="AN473" i="3"/>
  <c r="X473" i="3"/>
  <c r="Y473" i="3"/>
  <c r="Z473" i="3" s="1"/>
  <c r="AV471" i="3"/>
  <c r="AW472" i="3"/>
  <c r="BG470" i="3" l="1"/>
  <c r="BH470" i="3" s="1"/>
  <c r="BI470" i="3" s="1"/>
  <c r="AO474" i="3"/>
  <c r="BC471" i="3"/>
  <c r="BD471" i="3" s="1"/>
  <c r="BQ471" i="3"/>
  <c r="BN474" i="3"/>
  <c r="BB471" i="3"/>
  <c r="AU473" i="3"/>
  <c r="AT473" i="3"/>
  <c r="BJ470" i="3"/>
  <c r="BK470" i="3" s="1"/>
  <c r="AW473" i="3"/>
  <c r="BA472" i="3"/>
  <c r="AV472" i="3"/>
  <c r="AY472" i="3"/>
  <c r="AX473" i="3"/>
  <c r="AN474" i="3"/>
  <c r="Y474" i="3"/>
  <c r="Z474" i="3" s="1"/>
  <c r="AR475" i="3"/>
  <c r="B475" i="3"/>
  <c r="AQ475" i="3"/>
  <c r="A476" i="3"/>
  <c r="C475" i="3"/>
  <c r="D475" i="3"/>
  <c r="AK475" i="3"/>
  <c r="AM475" i="3"/>
  <c r="S475" i="3"/>
  <c r="R475" i="3"/>
  <c r="Q475" i="3"/>
  <c r="AD475" i="3"/>
  <c r="P475" i="3"/>
  <c r="O475" i="3"/>
  <c r="AF475" i="3"/>
  <c r="M475" i="3"/>
  <c r="AE475" i="3"/>
  <c r="V475" i="3"/>
  <c r="U475" i="3"/>
  <c r="G475" i="3"/>
  <c r="H475" i="3" s="1"/>
  <c r="F475" i="3"/>
  <c r="BM475" i="3" s="1"/>
  <c r="T475" i="3"/>
  <c r="AG474" i="3"/>
  <c r="AH474" i="3"/>
  <c r="X474" i="3"/>
  <c r="BN475" i="3" l="1"/>
  <c r="BG471" i="3"/>
  <c r="BH471" i="3" s="1"/>
  <c r="BI471" i="3" s="1"/>
  <c r="AV473" i="3"/>
  <c r="AO475" i="3"/>
  <c r="AW474" i="3"/>
  <c r="AG475" i="3"/>
  <c r="Y475" i="3"/>
  <c r="Z475" i="3" s="1"/>
  <c r="BA473" i="3"/>
  <c r="BF473" i="3" s="1"/>
  <c r="BF472" i="3"/>
  <c r="BJ471" i="3" s="1"/>
  <c r="BK471" i="3" s="1"/>
  <c r="BB472" i="3"/>
  <c r="BQ472" i="3"/>
  <c r="X475" i="3"/>
  <c r="AY473" i="3"/>
  <c r="B476" i="3"/>
  <c r="AQ476" i="3"/>
  <c r="AR476" i="3"/>
  <c r="A477" i="3"/>
  <c r="D476" i="3"/>
  <c r="AM476" i="3"/>
  <c r="C476" i="3"/>
  <c r="AK476" i="3"/>
  <c r="T476" i="3"/>
  <c r="S476" i="3"/>
  <c r="AD476" i="3"/>
  <c r="Q476" i="3"/>
  <c r="P476" i="3"/>
  <c r="O476" i="3"/>
  <c r="M476" i="3"/>
  <c r="V476" i="3"/>
  <c r="U476" i="3"/>
  <c r="AE476" i="3"/>
  <c r="AF476" i="3"/>
  <c r="R476" i="3"/>
  <c r="G476" i="3"/>
  <c r="H476" i="3" s="1"/>
  <c r="BN476" i="3" s="1"/>
  <c r="F476" i="3"/>
  <c r="AU474" i="3"/>
  <c r="AX474" i="3"/>
  <c r="AH475" i="3"/>
  <c r="AN475" i="3"/>
  <c r="AT474" i="3"/>
  <c r="BC472" i="3"/>
  <c r="BC473" i="3" l="1"/>
  <c r="BD473" i="3" s="1"/>
  <c r="AO476" i="3"/>
  <c r="BM476" i="3"/>
  <c r="BB473" i="3"/>
  <c r="AY474" i="3"/>
  <c r="AW475" i="3"/>
  <c r="BQ473" i="3"/>
  <c r="AV474" i="3"/>
  <c r="BA474" i="3"/>
  <c r="AQ477" i="3"/>
  <c r="B477" i="3"/>
  <c r="A478" i="3"/>
  <c r="AR477" i="3"/>
  <c r="C477" i="3"/>
  <c r="D477" i="3"/>
  <c r="AK477" i="3"/>
  <c r="AM477" i="3"/>
  <c r="S477" i="3"/>
  <c r="Q477" i="3"/>
  <c r="R477" i="3"/>
  <c r="AD477" i="3"/>
  <c r="P477" i="3"/>
  <c r="M477" i="3"/>
  <c r="AE477" i="3"/>
  <c r="AF477" i="3"/>
  <c r="U477" i="3"/>
  <c r="O477" i="3"/>
  <c r="V477" i="3"/>
  <c r="G477" i="3"/>
  <c r="H477" i="3" s="1"/>
  <c r="F477" i="3"/>
  <c r="BM477" i="3" s="1"/>
  <c r="T477" i="3"/>
  <c r="AG476" i="3"/>
  <c r="AN476" i="3"/>
  <c r="AU475" i="3"/>
  <c r="BJ472" i="3"/>
  <c r="BK472" i="3" s="1"/>
  <c r="BD472" i="3"/>
  <c r="BG472" i="3"/>
  <c r="BH472" i="3" s="1"/>
  <c r="BI472" i="3" s="1"/>
  <c r="Y476" i="3"/>
  <c r="Z476" i="3" s="1"/>
  <c r="AX475" i="3"/>
  <c r="AH476" i="3"/>
  <c r="X476" i="3"/>
  <c r="AT475" i="3"/>
  <c r="BN477" i="3" l="1"/>
  <c r="BG473" i="3"/>
  <c r="BH473" i="3" s="1"/>
  <c r="BI473" i="3" s="1"/>
  <c r="AX476" i="3"/>
  <c r="AY475" i="3"/>
  <c r="AN477" i="3"/>
  <c r="BC474" i="3"/>
  <c r="BD474" i="3" s="1"/>
  <c r="Y477" i="3"/>
  <c r="Z477" i="3" s="1"/>
  <c r="AV475" i="3"/>
  <c r="BA475" i="3"/>
  <c r="AT476" i="3"/>
  <c r="AW476" i="3"/>
  <c r="BF474" i="3"/>
  <c r="BJ473" i="3" s="1"/>
  <c r="BK473" i="3" s="1"/>
  <c r="BB474" i="3"/>
  <c r="BQ474" i="3"/>
  <c r="B478" i="3"/>
  <c r="A479" i="3"/>
  <c r="AQ478" i="3"/>
  <c r="AR478" i="3"/>
  <c r="C478" i="3"/>
  <c r="D478" i="3"/>
  <c r="S478" i="3"/>
  <c r="R478" i="3"/>
  <c r="AK478" i="3"/>
  <c r="AM478" i="3"/>
  <c r="Q478" i="3"/>
  <c r="AD478" i="3"/>
  <c r="P478" i="3"/>
  <c r="O478" i="3"/>
  <c r="AE478" i="3"/>
  <c r="AF478" i="3"/>
  <c r="M478" i="3"/>
  <c r="V478" i="3"/>
  <c r="U478" i="3"/>
  <c r="G478" i="3"/>
  <c r="H478" i="3" s="1"/>
  <c r="F478" i="3"/>
  <c r="T478" i="3"/>
  <c r="AU476" i="3"/>
  <c r="AH477" i="3"/>
  <c r="AG477" i="3"/>
  <c r="AO477" i="3"/>
  <c r="X477" i="3"/>
  <c r="BM478" i="3" l="1"/>
  <c r="AY476" i="3"/>
  <c r="BN478" i="3"/>
  <c r="BC475" i="3"/>
  <c r="BD475" i="3" s="1"/>
  <c r="AO478" i="3"/>
  <c r="BG474" i="3"/>
  <c r="BH474" i="3" s="1"/>
  <c r="BI474" i="3" s="1"/>
  <c r="AU477" i="3"/>
  <c r="AG478" i="3"/>
  <c r="BB475" i="3"/>
  <c r="BF475" i="3"/>
  <c r="BJ474" i="3" s="1"/>
  <c r="BK474" i="3" s="1"/>
  <c r="BQ475" i="3"/>
  <c r="AR479" i="3"/>
  <c r="B479" i="3"/>
  <c r="AQ479" i="3"/>
  <c r="A480" i="3"/>
  <c r="C479" i="3"/>
  <c r="AM479" i="3"/>
  <c r="S479" i="3"/>
  <c r="D479" i="3"/>
  <c r="AK479" i="3"/>
  <c r="Q479" i="3"/>
  <c r="AD479" i="3"/>
  <c r="P479" i="3"/>
  <c r="O479" i="3"/>
  <c r="AF479" i="3"/>
  <c r="M479" i="3"/>
  <c r="AE479" i="3"/>
  <c r="U479" i="3"/>
  <c r="V479" i="3"/>
  <c r="R479" i="3"/>
  <c r="G479" i="3"/>
  <c r="H479" i="3" s="1"/>
  <c r="BN479" i="3" s="1"/>
  <c r="F479" i="3"/>
  <c r="BM479" i="3" s="1"/>
  <c r="T479" i="3"/>
  <c r="AV476" i="3"/>
  <c r="BA476" i="3"/>
  <c r="X478" i="3"/>
  <c r="AW477" i="3"/>
  <c r="AT477" i="3"/>
  <c r="AX477" i="3"/>
  <c r="Y478" i="3"/>
  <c r="Z478" i="3" s="1"/>
  <c r="AH478" i="3"/>
  <c r="AN478" i="3"/>
  <c r="BC476" i="3" l="1"/>
  <c r="BD476" i="3" s="1"/>
  <c r="BG475" i="3"/>
  <c r="BH475" i="3" s="1"/>
  <c r="BI475" i="3" s="1"/>
  <c r="AO479" i="3"/>
  <c r="AX478" i="3"/>
  <c r="AH479" i="3"/>
  <c r="AV477" i="3"/>
  <c r="BA477" i="3"/>
  <c r="BQ476" i="3"/>
  <c r="BF476" i="3"/>
  <c r="BJ475" i="3" s="1"/>
  <c r="BK475" i="3" s="1"/>
  <c r="BB476" i="3"/>
  <c r="B480" i="3"/>
  <c r="AQ480" i="3"/>
  <c r="AR480" i="3"/>
  <c r="A481" i="3"/>
  <c r="C480" i="3"/>
  <c r="D480" i="3"/>
  <c r="AK480" i="3"/>
  <c r="Q480" i="3"/>
  <c r="AM480" i="3"/>
  <c r="R480" i="3"/>
  <c r="S480" i="3"/>
  <c r="AD480" i="3"/>
  <c r="P480" i="3"/>
  <c r="O480" i="3"/>
  <c r="AE480" i="3"/>
  <c r="V480" i="3"/>
  <c r="M480" i="3"/>
  <c r="AF480" i="3"/>
  <c r="U480" i="3"/>
  <c r="F480" i="3"/>
  <c r="G480" i="3"/>
  <c r="H480" i="3" s="1"/>
  <c r="T480" i="3"/>
  <c r="AT478" i="3"/>
  <c r="Y479" i="3"/>
  <c r="Z479" i="3" s="1"/>
  <c r="AG479" i="3"/>
  <c r="AN479" i="3"/>
  <c r="AY477" i="3"/>
  <c r="AU478" i="3"/>
  <c r="AW478" i="3"/>
  <c r="X479" i="3"/>
  <c r="BG476" i="3" l="1"/>
  <c r="BH476" i="3" s="1"/>
  <c r="BI476" i="3" s="1"/>
  <c r="AN480" i="3"/>
  <c r="BN480" i="3"/>
  <c r="AY478" i="3"/>
  <c r="BC477" i="3"/>
  <c r="BD477" i="3" s="1"/>
  <c r="AG480" i="3"/>
  <c r="AX479" i="3"/>
  <c r="AU479" i="3"/>
  <c r="AW479" i="3"/>
  <c r="AV478" i="3"/>
  <c r="BA478" i="3"/>
  <c r="AQ481" i="3"/>
  <c r="B481" i="3"/>
  <c r="A482" i="3"/>
  <c r="AR481" i="3"/>
  <c r="D481" i="3"/>
  <c r="AM481" i="3"/>
  <c r="S481" i="3"/>
  <c r="Q481" i="3"/>
  <c r="C481" i="3"/>
  <c r="AK481" i="3"/>
  <c r="R481" i="3"/>
  <c r="T481" i="3"/>
  <c r="AD481" i="3"/>
  <c r="P481" i="3"/>
  <c r="M481" i="3"/>
  <c r="AE481" i="3"/>
  <c r="O481" i="3"/>
  <c r="AF481" i="3"/>
  <c r="V481" i="3"/>
  <c r="U481" i="3"/>
  <c r="G481" i="3"/>
  <c r="H481" i="3" s="1"/>
  <c r="BN481" i="3" s="1"/>
  <c r="F481" i="3"/>
  <c r="AO480" i="3"/>
  <c r="X480" i="3"/>
  <c r="AT479" i="3"/>
  <c r="Y480" i="3"/>
  <c r="Z480" i="3" s="1"/>
  <c r="BM480" i="3"/>
  <c r="AH480" i="3"/>
  <c r="BF477" i="3"/>
  <c r="BJ476" i="3" s="1"/>
  <c r="BK476" i="3" s="1"/>
  <c r="BB477" i="3"/>
  <c r="BQ477" i="3"/>
  <c r="AO481" i="3" l="1"/>
  <c r="AY479" i="3"/>
  <c r="BC478" i="3"/>
  <c r="BG478" i="3" s="1"/>
  <c r="BH478" i="3" s="1"/>
  <c r="BI478" i="3" s="1"/>
  <c r="AU480" i="3"/>
  <c r="BM481" i="3"/>
  <c r="BG477" i="3"/>
  <c r="BH477" i="3" s="1"/>
  <c r="BI477" i="3" s="1"/>
  <c r="AT480" i="3"/>
  <c r="Y481" i="3"/>
  <c r="Z481" i="3" s="1"/>
  <c r="B482" i="3"/>
  <c r="A483" i="3"/>
  <c r="AQ482" i="3"/>
  <c r="AR482" i="3"/>
  <c r="C482" i="3"/>
  <c r="AM482" i="3"/>
  <c r="S482" i="3"/>
  <c r="R482" i="3"/>
  <c r="D482" i="3"/>
  <c r="AK482" i="3"/>
  <c r="Q482" i="3"/>
  <c r="AD482" i="3"/>
  <c r="P482" i="3"/>
  <c r="M482" i="3"/>
  <c r="AF482" i="3"/>
  <c r="O482" i="3"/>
  <c r="AE482" i="3"/>
  <c r="V482" i="3"/>
  <c r="U482" i="3"/>
  <c r="F482" i="3"/>
  <c r="G482" i="3"/>
  <c r="H482" i="3" s="1"/>
  <c r="T482" i="3"/>
  <c r="AX480" i="3"/>
  <c r="AW480" i="3"/>
  <c r="AH481" i="3"/>
  <c r="X481" i="3"/>
  <c r="AV479" i="3"/>
  <c r="BA479" i="3"/>
  <c r="BQ478" i="3"/>
  <c r="BF478" i="3"/>
  <c r="BJ477" i="3" s="1"/>
  <c r="BK477" i="3" s="1"/>
  <c r="BB478" i="3"/>
  <c r="AG481" i="3"/>
  <c r="AN481" i="3"/>
  <c r="BD478" i="3" l="1"/>
  <c r="BN482" i="3"/>
  <c r="BC479" i="3"/>
  <c r="BD479" i="3" s="1"/>
  <c r="AO482" i="3"/>
  <c r="AV480" i="3"/>
  <c r="BM482" i="3"/>
  <c r="AT481" i="3"/>
  <c r="Y482" i="3"/>
  <c r="Z482" i="3" s="1"/>
  <c r="AH482" i="3"/>
  <c r="AY480" i="3"/>
  <c r="AG482" i="3"/>
  <c r="BF479" i="3"/>
  <c r="BJ478" i="3" s="1"/>
  <c r="BK478" i="3" s="1"/>
  <c r="BB479" i="3"/>
  <c r="BQ479" i="3"/>
  <c r="AW481" i="3"/>
  <c r="AU481" i="3"/>
  <c r="AX481" i="3"/>
  <c r="X482" i="3"/>
  <c r="BA480" i="3"/>
  <c r="AR483" i="3"/>
  <c r="B483" i="3"/>
  <c r="AQ483" i="3"/>
  <c r="A484" i="3"/>
  <c r="C483" i="3"/>
  <c r="AK483" i="3"/>
  <c r="T483" i="3"/>
  <c r="Q483" i="3"/>
  <c r="D483" i="3"/>
  <c r="AM483" i="3"/>
  <c r="R483" i="3"/>
  <c r="AD483" i="3"/>
  <c r="S483" i="3"/>
  <c r="P483" i="3"/>
  <c r="O483" i="3"/>
  <c r="AF483" i="3"/>
  <c r="AE483" i="3"/>
  <c r="V483" i="3"/>
  <c r="M483" i="3"/>
  <c r="U483" i="3"/>
  <c r="G483" i="3"/>
  <c r="H483" i="3" s="1"/>
  <c r="F483" i="3"/>
  <c r="AN482" i="3"/>
  <c r="BN483" i="3" l="1"/>
  <c r="BG479" i="3"/>
  <c r="BH479" i="3" s="1"/>
  <c r="BI479" i="3" s="1"/>
  <c r="AU482" i="3"/>
  <c r="AT482" i="3"/>
  <c r="AN483" i="3"/>
  <c r="BC480" i="3"/>
  <c r="BD480" i="3" s="1"/>
  <c r="BM483" i="3"/>
  <c r="AW482" i="3"/>
  <c r="AG483" i="3"/>
  <c r="BA481" i="3"/>
  <c r="BQ481" i="3" s="1"/>
  <c r="B484" i="3"/>
  <c r="AQ484" i="3"/>
  <c r="AR484" i="3"/>
  <c r="A485" i="3"/>
  <c r="C484" i="3"/>
  <c r="D484" i="3"/>
  <c r="AM484" i="3"/>
  <c r="T484" i="3"/>
  <c r="AK484" i="3"/>
  <c r="S484" i="3"/>
  <c r="R484" i="3"/>
  <c r="Q484" i="3"/>
  <c r="AD484" i="3"/>
  <c r="P484" i="3"/>
  <c r="O484" i="3"/>
  <c r="M484" i="3"/>
  <c r="AE484" i="3"/>
  <c r="V484" i="3"/>
  <c r="AF484" i="3"/>
  <c r="U484" i="3"/>
  <c r="G484" i="3"/>
  <c r="H484" i="3" s="1"/>
  <c r="F484" i="3"/>
  <c r="BQ480" i="3"/>
  <c r="BF480" i="3"/>
  <c r="BJ479" i="3" s="1"/>
  <c r="BK479" i="3" s="1"/>
  <c r="BB480" i="3"/>
  <c r="AH483" i="3"/>
  <c r="AO483" i="3"/>
  <c r="AX482" i="3"/>
  <c r="AV481" i="3"/>
  <c r="Y483" i="3"/>
  <c r="Z483" i="3" s="1"/>
  <c r="X483" i="3"/>
  <c r="AY481" i="3"/>
  <c r="AV482" i="3" l="1"/>
  <c r="AY482" i="3"/>
  <c r="BG480" i="3"/>
  <c r="BH480" i="3" s="1"/>
  <c r="BI480" i="3" s="1"/>
  <c r="BN484" i="3"/>
  <c r="BM484" i="3"/>
  <c r="AT483" i="3"/>
  <c r="AW483" i="3"/>
  <c r="AU483" i="3"/>
  <c r="AX483" i="3"/>
  <c r="BC481" i="3"/>
  <c r="BG481" i="3" s="1"/>
  <c r="BH481" i="3" s="1"/>
  <c r="BI481" i="3" s="1"/>
  <c r="BF481" i="3"/>
  <c r="BJ480" i="3" s="1"/>
  <c r="BK480" i="3" s="1"/>
  <c r="BB481" i="3"/>
  <c r="BA482" i="3"/>
  <c r="BF482" i="3" s="1"/>
  <c r="AO484" i="3"/>
  <c r="AN484" i="3"/>
  <c r="AG484" i="3"/>
  <c r="AH484" i="3"/>
  <c r="X484" i="3"/>
  <c r="Y484" i="3"/>
  <c r="Z484" i="3" s="1"/>
  <c r="AQ485" i="3"/>
  <c r="B485" i="3"/>
  <c r="A486" i="3"/>
  <c r="AR485" i="3"/>
  <c r="D485" i="3"/>
  <c r="C485" i="3"/>
  <c r="AK485" i="3"/>
  <c r="S485" i="3"/>
  <c r="R485" i="3"/>
  <c r="AM485" i="3"/>
  <c r="Q485" i="3"/>
  <c r="AD485" i="3"/>
  <c r="P485" i="3"/>
  <c r="AE485" i="3"/>
  <c r="M485" i="3"/>
  <c r="U485" i="3"/>
  <c r="O485" i="3"/>
  <c r="AF485" i="3"/>
  <c r="V485" i="3"/>
  <c r="G485" i="3"/>
  <c r="H485" i="3" s="1"/>
  <c r="F485" i="3"/>
  <c r="T485" i="3"/>
  <c r="BC482" i="3" l="1"/>
  <c r="BG482" i="3" s="1"/>
  <c r="BH482" i="3" s="1"/>
  <c r="BI482" i="3" s="1"/>
  <c r="AY483" i="3"/>
  <c r="BJ481" i="3"/>
  <c r="BK481" i="3" s="1"/>
  <c r="BD481" i="3"/>
  <c r="BM485" i="3"/>
  <c r="BA483" i="3"/>
  <c r="BF483" i="3" s="1"/>
  <c r="BJ482" i="3" s="1"/>
  <c r="BK482" i="3" s="1"/>
  <c r="AV483" i="3"/>
  <c r="AO485" i="3"/>
  <c r="AT484" i="3"/>
  <c r="AU484" i="3"/>
  <c r="BQ482" i="3"/>
  <c r="BB482" i="3"/>
  <c r="B486" i="3"/>
  <c r="A487" i="3"/>
  <c r="AQ486" i="3"/>
  <c r="AR486" i="3"/>
  <c r="D486" i="3"/>
  <c r="C486" i="3"/>
  <c r="AM486" i="3"/>
  <c r="AK486" i="3"/>
  <c r="T486" i="3"/>
  <c r="S486" i="3"/>
  <c r="R486" i="3"/>
  <c r="AD486" i="3"/>
  <c r="P486" i="3"/>
  <c r="O486" i="3"/>
  <c r="M486" i="3"/>
  <c r="AE486" i="3"/>
  <c r="U486" i="3"/>
  <c r="AF486" i="3"/>
  <c r="V486" i="3"/>
  <c r="G486" i="3"/>
  <c r="H486" i="3" s="1"/>
  <c r="Q486" i="3"/>
  <c r="F486" i="3"/>
  <c r="BM486" i="3" s="1"/>
  <c r="Y485" i="3"/>
  <c r="Z485" i="3" s="1"/>
  <c r="BN485" i="3"/>
  <c r="AG485" i="3"/>
  <c r="AH485" i="3"/>
  <c r="AN485" i="3"/>
  <c r="X485" i="3"/>
  <c r="AX484" i="3"/>
  <c r="AW484" i="3"/>
  <c r="BC483" i="3" l="1"/>
  <c r="BG483" i="3" s="1"/>
  <c r="BH483" i="3" s="1"/>
  <c r="BI483" i="3" s="1"/>
  <c r="BD482" i="3"/>
  <c r="AH486" i="3"/>
  <c r="AO486" i="3"/>
  <c r="BN486" i="3"/>
  <c r="BQ483" i="3"/>
  <c r="BB483" i="3"/>
  <c r="AV484" i="3"/>
  <c r="AY484" i="3"/>
  <c r="AW485" i="3"/>
  <c r="AU485" i="3"/>
  <c r="AT485" i="3"/>
  <c r="AR487" i="3"/>
  <c r="B487" i="3"/>
  <c r="AQ487" i="3"/>
  <c r="A488" i="3"/>
  <c r="D487" i="3"/>
  <c r="AK487" i="3"/>
  <c r="S487" i="3"/>
  <c r="C487" i="3"/>
  <c r="AM487" i="3"/>
  <c r="R487" i="3"/>
  <c r="Q487" i="3"/>
  <c r="P487" i="3"/>
  <c r="AD487" i="3"/>
  <c r="AE487" i="3"/>
  <c r="AF487" i="3"/>
  <c r="V487" i="3"/>
  <c r="O487" i="3"/>
  <c r="M487" i="3"/>
  <c r="U487" i="3"/>
  <c r="G487" i="3"/>
  <c r="H487" i="3" s="1"/>
  <c r="F487" i="3"/>
  <c r="T487" i="3"/>
  <c r="AG486" i="3"/>
  <c r="X486" i="3"/>
  <c r="BA484" i="3"/>
  <c r="Y486" i="3"/>
  <c r="Z486" i="3" s="1"/>
  <c r="AX485" i="3"/>
  <c r="AN486" i="3"/>
  <c r="AU486" i="3" l="1"/>
  <c r="AT486" i="3"/>
  <c r="BD483" i="3"/>
  <c r="BC484" i="3"/>
  <c r="BG484" i="3" s="1"/>
  <c r="BH484" i="3" s="1"/>
  <c r="BI484" i="3" s="1"/>
  <c r="BM487" i="3"/>
  <c r="AY485" i="3"/>
  <c r="AN487" i="3"/>
  <c r="Y487" i="3"/>
  <c r="Z487" i="3" s="1"/>
  <c r="BN487" i="3"/>
  <c r="AX486" i="3"/>
  <c r="AV485" i="3"/>
  <c r="BA485" i="3"/>
  <c r="AW486" i="3"/>
  <c r="AH487" i="3"/>
  <c r="BQ484" i="3"/>
  <c r="BB484" i="3"/>
  <c r="BF484" i="3"/>
  <c r="BJ483" i="3" s="1"/>
  <c r="BK483" i="3" s="1"/>
  <c r="B488" i="3"/>
  <c r="AQ488" i="3"/>
  <c r="AR488" i="3"/>
  <c r="A489" i="3"/>
  <c r="C488" i="3"/>
  <c r="D488" i="3"/>
  <c r="AK488" i="3"/>
  <c r="S488" i="3"/>
  <c r="R488" i="3"/>
  <c r="AM488" i="3"/>
  <c r="Q488" i="3"/>
  <c r="AD488" i="3"/>
  <c r="P488" i="3"/>
  <c r="O488" i="3"/>
  <c r="M488" i="3"/>
  <c r="AF488" i="3"/>
  <c r="U488" i="3"/>
  <c r="V488" i="3"/>
  <c r="AE488" i="3"/>
  <c r="F488" i="3"/>
  <c r="G488" i="3"/>
  <c r="H488" i="3" s="1"/>
  <c r="T488" i="3"/>
  <c r="AG487" i="3"/>
  <c r="X487" i="3"/>
  <c r="AO487" i="3"/>
  <c r="BD484" i="3" l="1"/>
  <c r="AV486" i="3"/>
  <c r="BC485" i="3"/>
  <c r="BD485" i="3" s="1"/>
  <c r="BM488" i="3"/>
  <c r="Y488" i="3"/>
  <c r="Z488" i="3" s="1"/>
  <c r="AN488" i="3"/>
  <c r="AY486" i="3"/>
  <c r="AT487" i="3"/>
  <c r="BA486" i="3"/>
  <c r="BB486" i="3" s="1"/>
  <c r="BB485" i="3"/>
  <c r="BF485" i="3"/>
  <c r="BJ484" i="3" s="1"/>
  <c r="BK484" i="3" s="1"/>
  <c r="BQ485" i="3"/>
  <c r="AH488" i="3"/>
  <c r="BN488" i="3"/>
  <c r="AG488" i="3"/>
  <c r="AO488" i="3"/>
  <c r="X488" i="3"/>
  <c r="AQ489" i="3"/>
  <c r="B489" i="3"/>
  <c r="A490" i="3"/>
  <c r="AR489" i="3"/>
  <c r="D489" i="3"/>
  <c r="S489" i="3"/>
  <c r="R489" i="3"/>
  <c r="C489" i="3"/>
  <c r="AM489" i="3"/>
  <c r="AK489" i="3"/>
  <c r="Q489" i="3"/>
  <c r="AD489" i="3"/>
  <c r="P489" i="3"/>
  <c r="AE489" i="3"/>
  <c r="M489" i="3"/>
  <c r="U489" i="3"/>
  <c r="O489" i="3"/>
  <c r="AF489" i="3"/>
  <c r="V489" i="3"/>
  <c r="F489" i="3"/>
  <c r="G489" i="3"/>
  <c r="H489" i="3" s="1"/>
  <c r="T489" i="3"/>
  <c r="AW487" i="3"/>
  <c r="AU487" i="3"/>
  <c r="AX487" i="3"/>
  <c r="BM489" i="3" l="1"/>
  <c r="BN489" i="3"/>
  <c r="BG485" i="3"/>
  <c r="BH485" i="3" s="1"/>
  <c r="BI485" i="3" s="1"/>
  <c r="BC486" i="3"/>
  <c r="BD486" i="3" s="1"/>
  <c r="AO489" i="3"/>
  <c r="AV487" i="3"/>
  <c r="AH489" i="3"/>
  <c r="AT488" i="3"/>
  <c r="BQ486" i="3"/>
  <c r="BF486" i="3"/>
  <c r="BJ485" i="3" s="1"/>
  <c r="BK485" i="3" s="1"/>
  <c r="AY487" i="3"/>
  <c r="Y489" i="3"/>
  <c r="Z489" i="3" s="1"/>
  <c r="AG489" i="3"/>
  <c r="X489" i="3"/>
  <c r="AX488" i="3"/>
  <c r="BA487" i="3"/>
  <c r="B490" i="3"/>
  <c r="A491" i="3"/>
  <c r="AQ490" i="3"/>
  <c r="AR490" i="3"/>
  <c r="D490" i="3"/>
  <c r="AK490" i="3"/>
  <c r="AM490" i="3"/>
  <c r="R490" i="3"/>
  <c r="C490" i="3"/>
  <c r="Q490" i="3"/>
  <c r="AD490" i="3"/>
  <c r="S490" i="3"/>
  <c r="P490" i="3"/>
  <c r="O490" i="3"/>
  <c r="AE490" i="3"/>
  <c r="AF490" i="3"/>
  <c r="V490" i="3"/>
  <c r="U490" i="3"/>
  <c r="M490" i="3"/>
  <c r="F490" i="3"/>
  <c r="G490" i="3"/>
  <c r="H490" i="3" s="1"/>
  <c r="BN490" i="3" s="1"/>
  <c r="T490" i="3"/>
  <c r="AN489" i="3"/>
  <c r="AW488" i="3"/>
  <c r="AU488" i="3"/>
  <c r="BG486" i="3" l="1"/>
  <c r="BH486" i="3" s="1"/>
  <c r="BI486" i="3" s="1"/>
  <c r="AU489" i="3"/>
  <c r="BC487" i="3"/>
  <c r="BD487" i="3" s="1"/>
  <c r="BM490" i="3"/>
  <c r="AT489" i="3"/>
  <c r="AY488" i="3"/>
  <c r="AO490" i="3"/>
  <c r="AX489" i="3"/>
  <c r="Y490" i="3"/>
  <c r="Z490" i="3" s="1"/>
  <c r="BA488" i="3"/>
  <c r="BQ488" i="3" s="1"/>
  <c r="AG490" i="3"/>
  <c r="AH490" i="3"/>
  <c r="X490" i="3"/>
  <c r="AN490" i="3"/>
  <c r="AV488" i="3"/>
  <c r="AR491" i="3"/>
  <c r="B491" i="3"/>
  <c r="AQ491" i="3"/>
  <c r="A492" i="3"/>
  <c r="D491" i="3"/>
  <c r="AK491" i="3"/>
  <c r="R491" i="3"/>
  <c r="AM491" i="3"/>
  <c r="C491" i="3"/>
  <c r="T491" i="3"/>
  <c r="S491" i="3"/>
  <c r="Q491" i="3"/>
  <c r="AD491" i="3"/>
  <c r="AE491" i="3"/>
  <c r="P491" i="3"/>
  <c r="O491" i="3"/>
  <c r="V491" i="3"/>
  <c r="M491" i="3"/>
  <c r="AF491" i="3"/>
  <c r="U491" i="3"/>
  <c r="F491" i="3"/>
  <c r="G491" i="3"/>
  <c r="H491" i="3" s="1"/>
  <c r="BQ487" i="3"/>
  <c r="BB487" i="3"/>
  <c r="BF487" i="3"/>
  <c r="BJ486" i="3" s="1"/>
  <c r="BK486" i="3" s="1"/>
  <c r="AW489" i="3"/>
  <c r="BM491" i="3" l="1"/>
  <c r="AN491" i="3"/>
  <c r="AV489" i="3"/>
  <c r="BC488" i="3"/>
  <c r="BG488" i="3" s="1"/>
  <c r="BH488" i="3" s="1"/>
  <c r="BI488" i="3" s="1"/>
  <c r="BG487" i="3"/>
  <c r="BH487" i="3" s="1"/>
  <c r="BI487" i="3" s="1"/>
  <c r="AY489" i="3"/>
  <c r="BN491" i="3"/>
  <c r="AU490" i="3"/>
  <c r="AT490" i="3"/>
  <c r="BB488" i="3"/>
  <c r="BF488" i="3"/>
  <c r="BJ487" i="3" s="1"/>
  <c r="BK487" i="3" s="1"/>
  <c r="B492" i="3"/>
  <c r="AQ492" i="3"/>
  <c r="AR492" i="3"/>
  <c r="A493" i="3"/>
  <c r="D492" i="3"/>
  <c r="C492" i="3"/>
  <c r="S492" i="3"/>
  <c r="R492" i="3"/>
  <c r="AM492" i="3"/>
  <c r="AK492" i="3"/>
  <c r="Q492" i="3"/>
  <c r="P492" i="3"/>
  <c r="AD492" i="3"/>
  <c r="O492" i="3"/>
  <c r="AE492" i="3"/>
  <c r="M492" i="3"/>
  <c r="U492" i="3"/>
  <c r="AF492" i="3"/>
  <c r="V492" i="3"/>
  <c r="G492" i="3"/>
  <c r="H492" i="3" s="1"/>
  <c r="F492" i="3"/>
  <c r="T492" i="3"/>
  <c r="AX490" i="3"/>
  <c r="AW490" i="3"/>
  <c r="AG491" i="3"/>
  <c r="AO491" i="3"/>
  <c r="Y491" i="3"/>
  <c r="Z491" i="3" s="1"/>
  <c r="BA489" i="3"/>
  <c r="AH491" i="3"/>
  <c r="X491" i="3"/>
  <c r="BD488" i="3" l="1"/>
  <c r="BC489" i="3"/>
  <c r="BG489" i="3" s="1"/>
  <c r="BH489" i="3" s="1"/>
  <c r="BI489" i="3" s="1"/>
  <c r="BN492" i="3"/>
  <c r="AV490" i="3"/>
  <c r="AO492" i="3"/>
  <c r="BA490" i="3"/>
  <c r="BQ490" i="3" s="1"/>
  <c r="AX491" i="3"/>
  <c r="AY490" i="3"/>
  <c r="BF489" i="3"/>
  <c r="BJ488" i="3" s="1"/>
  <c r="BK488" i="3" s="1"/>
  <c r="BQ489" i="3"/>
  <c r="BB489" i="3"/>
  <c r="Y492" i="3"/>
  <c r="Z492" i="3" s="1"/>
  <c r="AT491" i="3"/>
  <c r="BM492" i="3"/>
  <c r="AG492" i="3"/>
  <c r="AH492" i="3"/>
  <c r="AN492" i="3"/>
  <c r="AQ493" i="3"/>
  <c r="B493" i="3"/>
  <c r="A494" i="3"/>
  <c r="AR493" i="3"/>
  <c r="C493" i="3"/>
  <c r="D493" i="3"/>
  <c r="T493" i="3"/>
  <c r="S493" i="3"/>
  <c r="Q493" i="3"/>
  <c r="AM493" i="3"/>
  <c r="AK493" i="3"/>
  <c r="AD493" i="3"/>
  <c r="R493" i="3"/>
  <c r="P493" i="3"/>
  <c r="AE493" i="3"/>
  <c r="O493" i="3"/>
  <c r="AF493" i="3"/>
  <c r="V493" i="3"/>
  <c r="M493" i="3"/>
  <c r="U493" i="3"/>
  <c r="G493" i="3"/>
  <c r="H493" i="3" s="1"/>
  <c r="F493" i="3"/>
  <c r="AU491" i="3"/>
  <c r="AW491" i="3"/>
  <c r="X492" i="3"/>
  <c r="BD489" i="3" l="1"/>
  <c r="BB490" i="3"/>
  <c r="BC490" i="3"/>
  <c r="BD490" i="3" s="1"/>
  <c r="AO493" i="3"/>
  <c r="BN493" i="3"/>
  <c r="BM493" i="3"/>
  <c r="AY491" i="3"/>
  <c r="AT492" i="3"/>
  <c r="BF490" i="3"/>
  <c r="BJ489" i="3" s="1"/>
  <c r="BK489" i="3" s="1"/>
  <c r="AN493" i="3"/>
  <c r="B494" i="3"/>
  <c r="A495" i="3"/>
  <c r="AQ494" i="3"/>
  <c r="AR494" i="3"/>
  <c r="C494" i="3"/>
  <c r="D494" i="3"/>
  <c r="AM494" i="3"/>
  <c r="AK494" i="3"/>
  <c r="T494" i="3"/>
  <c r="S494" i="3"/>
  <c r="R494" i="3"/>
  <c r="Q494" i="3"/>
  <c r="AD494" i="3"/>
  <c r="P494" i="3"/>
  <c r="AE494" i="3"/>
  <c r="O494" i="3"/>
  <c r="V494" i="3"/>
  <c r="AF494" i="3"/>
  <c r="M494" i="3"/>
  <c r="U494" i="3"/>
  <c r="F494" i="3"/>
  <c r="BM494" i="3" s="1"/>
  <c r="G494" i="3"/>
  <c r="H494" i="3" s="1"/>
  <c r="BN494" i="3" s="1"/>
  <c r="AV491" i="3"/>
  <c r="BA491" i="3"/>
  <c r="AG493" i="3"/>
  <c r="X493" i="3"/>
  <c r="AW492" i="3"/>
  <c r="Y493" i="3"/>
  <c r="Z493" i="3" s="1"/>
  <c r="AU492" i="3"/>
  <c r="AX492" i="3"/>
  <c r="AH493" i="3"/>
  <c r="BG490" i="3" l="1"/>
  <c r="BH490" i="3" s="1"/>
  <c r="BI490" i="3" s="1"/>
  <c r="AV492" i="3"/>
  <c r="AO494" i="3"/>
  <c r="BC491" i="3"/>
  <c r="BD491" i="3" s="1"/>
  <c r="AX493" i="3"/>
  <c r="AH494" i="3"/>
  <c r="AY492" i="3"/>
  <c r="BA492" i="3"/>
  <c r="AT493" i="3"/>
  <c r="AU493" i="3"/>
  <c r="AW493" i="3"/>
  <c r="AG494" i="3"/>
  <c r="AN494" i="3"/>
  <c r="X494" i="3"/>
  <c r="BQ491" i="3"/>
  <c r="BB491" i="3"/>
  <c r="BF491" i="3"/>
  <c r="BJ490" i="3" s="1"/>
  <c r="BK490" i="3" s="1"/>
  <c r="Y494" i="3"/>
  <c r="Z494" i="3" s="1"/>
  <c r="AR495" i="3"/>
  <c r="B495" i="3"/>
  <c r="AQ495" i="3"/>
  <c r="A496" i="3"/>
  <c r="D495" i="3"/>
  <c r="C495" i="3"/>
  <c r="AK495" i="3"/>
  <c r="R495" i="3"/>
  <c r="Q495" i="3"/>
  <c r="AM495" i="3"/>
  <c r="T495" i="3"/>
  <c r="S495" i="3"/>
  <c r="AD495" i="3"/>
  <c r="O495" i="3"/>
  <c r="AE495" i="3"/>
  <c r="M495" i="3"/>
  <c r="V495" i="3"/>
  <c r="P495" i="3"/>
  <c r="AF495" i="3"/>
  <c r="U495" i="3"/>
  <c r="G495" i="3"/>
  <c r="H495" i="3" s="1"/>
  <c r="F495" i="3"/>
  <c r="BN495" i="3" l="1"/>
  <c r="BM495" i="3"/>
  <c r="BC492" i="3"/>
  <c r="BD492" i="3" s="1"/>
  <c r="BG491" i="3"/>
  <c r="BH491" i="3" s="1"/>
  <c r="BI491" i="3" s="1"/>
  <c r="AY493" i="3"/>
  <c r="AO495" i="3"/>
  <c r="AX494" i="3"/>
  <c r="AT494" i="3"/>
  <c r="Y495" i="3"/>
  <c r="Z495" i="3" s="1"/>
  <c r="B496" i="3"/>
  <c r="AQ496" i="3"/>
  <c r="AR496" i="3"/>
  <c r="A497" i="3"/>
  <c r="C496" i="3"/>
  <c r="S496" i="3"/>
  <c r="AM496" i="3"/>
  <c r="D496" i="3"/>
  <c r="AK496" i="3"/>
  <c r="T496" i="3"/>
  <c r="AD496" i="3"/>
  <c r="Q496" i="3"/>
  <c r="R496" i="3"/>
  <c r="P496" i="3"/>
  <c r="O496" i="3"/>
  <c r="AE496" i="3"/>
  <c r="M496" i="3"/>
  <c r="AF496" i="3"/>
  <c r="V496" i="3"/>
  <c r="U496" i="3"/>
  <c r="F496" i="3"/>
  <c r="G496" i="3"/>
  <c r="H496" i="3" s="1"/>
  <c r="AV493" i="3"/>
  <c r="BA493" i="3"/>
  <c r="AH495" i="3"/>
  <c r="AN495" i="3"/>
  <c r="X495" i="3"/>
  <c r="AU494" i="3"/>
  <c r="AW494" i="3"/>
  <c r="BB492" i="3"/>
  <c r="BQ492" i="3"/>
  <c r="BF492" i="3"/>
  <c r="BJ491" i="3" s="1"/>
  <c r="BK491" i="3" s="1"/>
  <c r="AG495" i="3"/>
  <c r="BM496" i="3" l="1"/>
  <c r="BN496" i="3"/>
  <c r="AO496" i="3"/>
  <c r="BG492" i="3"/>
  <c r="BH492" i="3" s="1"/>
  <c r="BI492" i="3" s="1"/>
  <c r="BC493" i="3"/>
  <c r="BD493" i="3" s="1"/>
  <c r="AW495" i="3"/>
  <c r="AY494" i="3"/>
  <c r="AH496" i="3"/>
  <c r="BA494" i="3"/>
  <c r="BQ494" i="3" s="1"/>
  <c r="AT495" i="3"/>
  <c r="AX495" i="3"/>
  <c r="AN496" i="3"/>
  <c r="X496" i="3"/>
  <c r="AV494" i="3"/>
  <c r="BF493" i="3"/>
  <c r="BJ492" i="3" s="1"/>
  <c r="BK492" i="3" s="1"/>
  <c r="BQ493" i="3"/>
  <c r="BB493" i="3"/>
  <c r="Y496" i="3"/>
  <c r="Z496" i="3" s="1"/>
  <c r="AQ497" i="3"/>
  <c r="B497" i="3"/>
  <c r="A498" i="3"/>
  <c r="AR497" i="3"/>
  <c r="C497" i="3"/>
  <c r="AM497" i="3"/>
  <c r="R497" i="3"/>
  <c r="D497" i="3"/>
  <c r="AK497" i="3"/>
  <c r="Q497" i="3"/>
  <c r="AD497" i="3"/>
  <c r="P497" i="3"/>
  <c r="S497" i="3"/>
  <c r="O497" i="3"/>
  <c r="AE497" i="3"/>
  <c r="AF497" i="3"/>
  <c r="V497" i="3"/>
  <c r="M497" i="3"/>
  <c r="U497" i="3"/>
  <c r="F497" i="3"/>
  <c r="G497" i="3"/>
  <c r="H497" i="3" s="1"/>
  <c r="T497" i="3"/>
  <c r="AU495" i="3"/>
  <c r="AG496" i="3"/>
  <c r="BG493" i="3" l="1"/>
  <c r="BH493" i="3" s="1"/>
  <c r="BI493" i="3" s="1"/>
  <c r="AG497" i="3"/>
  <c r="BN497" i="3"/>
  <c r="AO497" i="3"/>
  <c r="AY495" i="3"/>
  <c r="AW496" i="3"/>
  <c r="BC494" i="3"/>
  <c r="BD494" i="3" s="1"/>
  <c r="BB494" i="3"/>
  <c r="AU496" i="3"/>
  <c r="AX496" i="3"/>
  <c r="BF494" i="3"/>
  <c r="BJ493" i="3" s="1"/>
  <c r="BK493" i="3" s="1"/>
  <c r="Y497" i="3"/>
  <c r="Z497" i="3" s="1"/>
  <c r="BM497" i="3"/>
  <c r="AN497" i="3"/>
  <c r="AT496" i="3"/>
  <c r="AV495" i="3"/>
  <c r="B498" i="3"/>
  <c r="A499" i="3"/>
  <c r="AQ498" i="3"/>
  <c r="AR498" i="3"/>
  <c r="C498" i="3"/>
  <c r="AM498" i="3"/>
  <c r="AK498" i="3"/>
  <c r="T498" i="3"/>
  <c r="S498" i="3"/>
  <c r="D498" i="3"/>
  <c r="Q498" i="3"/>
  <c r="AD498" i="3"/>
  <c r="P498" i="3"/>
  <c r="M498" i="3"/>
  <c r="AF498" i="3"/>
  <c r="AE498" i="3"/>
  <c r="V498" i="3"/>
  <c r="O498" i="3"/>
  <c r="G498" i="3"/>
  <c r="H498" i="3" s="1"/>
  <c r="U498" i="3"/>
  <c r="R498" i="3"/>
  <c r="F498" i="3"/>
  <c r="AH497" i="3"/>
  <c r="X497" i="3"/>
  <c r="BA495" i="3"/>
  <c r="AY496" i="3" l="1"/>
  <c r="BC495" i="3"/>
  <c r="BD495" i="3" s="1"/>
  <c r="BM498" i="3"/>
  <c r="AW497" i="3"/>
  <c r="BG494" i="3"/>
  <c r="BH494" i="3" s="1"/>
  <c r="BI494" i="3" s="1"/>
  <c r="AU497" i="3"/>
  <c r="AN498" i="3"/>
  <c r="AV496" i="3"/>
  <c r="BF495" i="3"/>
  <c r="BJ494" i="3" s="1"/>
  <c r="BK494" i="3" s="1"/>
  <c r="BB495" i="3"/>
  <c r="BQ495" i="3"/>
  <c r="Y498" i="3"/>
  <c r="Z498" i="3" s="1"/>
  <c r="AX497" i="3"/>
  <c r="BN498" i="3"/>
  <c r="AO498" i="3"/>
  <c r="X498" i="3"/>
  <c r="AT497" i="3"/>
  <c r="BA496" i="3"/>
  <c r="AH498" i="3"/>
  <c r="AG498" i="3"/>
  <c r="AR499" i="3"/>
  <c r="B499" i="3"/>
  <c r="AQ499" i="3"/>
  <c r="A500" i="3"/>
  <c r="D499" i="3"/>
  <c r="C499" i="3"/>
  <c r="AM499" i="3"/>
  <c r="AK499" i="3"/>
  <c r="Q499" i="3"/>
  <c r="P499" i="3"/>
  <c r="S499" i="3"/>
  <c r="R499" i="3"/>
  <c r="AD499" i="3"/>
  <c r="O499" i="3"/>
  <c r="M499" i="3"/>
  <c r="U499" i="3"/>
  <c r="AE499" i="3"/>
  <c r="AF499" i="3"/>
  <c r="V499" i="3"/>
  <c r="F499" i="3"/>
  <c r="G499" i="3"/>
  <c r="H499" i="3" s="1"/>
  <c r="BN499" i="3" s="1"/>
  <c r="T499" i="3"/>
  <c r="BM499" i="3" l="1"/>
  <c r="BC496" i="3"/>
  <c r="BD496" i="3" s="1"/>
  <c r="BG495" i="3"/>
  <c r="BH495" i="3" s="1"/>
  <c r="BI495" i="3" s="1"/>
  <c r="AY497" i="3"/>
  <c r="AG499" i="3"/>
  <c r="AO499" i="3"/>
  <c r="AN499" i="3"/>
  <c r="AW498" i="3"/>
  <c r="AT498" i="3"/>
  <c r="AU498" i="3"/>
  <c r="B500" i="3"/>
  <c r="AQ500" i="3"/>
  <c r="AR500" i="3"/>
  <c r="A501" i="3"/>
  <c r="D500" i="3"/>
  <c r="C500" i="3"/>
  <c r="AM500" i="3"/>
  <c r="S500" i="3"/>
  <c r="AK500" i="3"/>
  <c r="R500" i="3"/>
  <c r="Q500" i="3"/>
  <c r="P500" i="3"/>
  <c r="AD500" i="3"/>
  <c r="M500" i="3"/>
  <c r="AE500" i="3"/>
  <c r="O500" i="3"/>
  <c r="AF500" i="3"/>
  <c r="U500" i="3"/>
  <c r="V500" i="3"/>
  <c r="G500" i="3"/>
  <c r="H500" i="3" s="1"/>
  <c r="F500" i="3"/>
  <c r="T500" i="3"/>
  <c r="BF496" i="3"/>
  <c r="BJ495" i="3" s="1"/>
  <c r="BK495" i="3" s="1"/>
  <c r="BB496" i="3"/>
  <c r="BQ496" i="3"/>
  <c r="Y499" i="3"/>
  <c r="Z499" i="3" s="1"/>
  <c r="X499" i="3"/>
  <c r="BA497" i="3"/>
  <c r="AV497" i="3"/>
  <c r="AH499" i="3"/>
  <c r="AX498" i="3"/>
  <c r="AO500" i="3" l="1"/>
  <c r="BC497" i="3"/>
  <c r="BG497" i="3" s="1"/>
  <c r="BH497" i="3" s="1"/>
  <c r="BI497" i="3" s="1"/>
  <c r="BG496" i="3"/>
  <c r="BH496" i="3" s="1"/>
  <c r="BI496" i="3" s="1"/>
  <c r="AX499" i="3"/>
  <c r="BN500" i="3"/>
  <c r="AH500" i="3"/>
  <c r="AY498" i="3"/>
  <c r="BA498" i="3"/>
  <c r="BB498" i="3" s="1"/>
  <c r="Y500" i="3"/>
  <c r="Z500" i="3" s="1"/>
  <c r="AV498" i="3"/>
  <c r="AU499" i="3"/>
  <c r="AW499" i="3"/>
  <c r="AT499" i="3"/>
  <c r="BM500" i="3"/>
  <c r="AG500" i="3"/>
  <c r="AN500" i="3"/>
  <c r="BF497" i="3"/>
  <c r="BJ496" i="3" s="1"/>
  <c r="BK496" i="3" s="1"/>
  <c r="BB497" i="3"/>
  <c r="BQ497" i="3"/>
  <c r="AQ501" i="3"/>
  <c r="B501" i="3"/>
  <c r="A502" i="3"/>
  <c r="AR501" i="3"/>
  <c r="C501" i="3"/>
  <c r="AK501" i="3"/>
  <c r="AM501" i="3"/>
  <c r="D501" i="3"/>
  <c r="T501" i="3"/>
  <c r="S501" i="3"/>
  <c r="R501" i="3"/>
  <c r="AD501" i="3"/>
  <c r="Q501" i="3"/>
  <c r="P501" i="3"/>
  <c r="AF501" i="3"/>
  <c r="AE501" i="3"/>
  <c r="U501" i="3"/>
  <c r="V501" i="3"/>
  <c r="O501" i="3"/>
  <c r="M501" i="3"/>
  <c r="F501" i="3"/>
  <c r="BM501" i="3" s="1"/>
  <c r="G501" i="3"/>
  <c r="H501" i="3" s="1"/>
  <c r="X500" i="3"/>
  <c r="BD497" i="3" l="1"/>
  <c r="BN501" i="3"/>
  <c r="AY499" i="3"/>
  <c r="AU500" i="3"/>
  <c r="AV499" i="3"/>
  <c r="AT500" i="3"/>
  <c r="AG501" i="3"/>
  <c r="BC498" i="3"/>
  <c r="BG498" i="3" s="1"/>
  <c r="BH498" i="3" s="1"/>
  <c r="BI498" i="3" s="1"/>
  <c r="BQ498" i="3"/>
  <c r="BF498" i="3"/>
  <c r="BJ497" i="3" s="1"/>
  <c r="BK497" i="3" s="1"/>
  <c r="BA499" i="3"/>
  <c r="BQ499" i="3" s="1"/>
  <c r="AX500" i="3"/>
  <c r="B502" i="3"/>
  <c r="A503" i="3"/>
  <c r="AQ502" i="3"/>
  <c r="AR502" i="3"/>
  <c r="C502" i="3"/>
  <c r="D502" i="3"/>
  <c r="AK502" i="3"/>
  <c r="AM502" i="3"/>
  <c r="S502" i="3"/>
  <c r="R502" i="3"/>
  <c r="AD502" i="3"/>
  <c r="P502" i="3"/>
  <c r="M502" i="3"/>
  <c r="O502" i="3"/>
  <c r="U502" i="3"/>
  <c r="V502" i="3"/>
  <c r="AF502" i="3"/>
  <c r="AE502" i="3"/>
  <c r="G502" i="3"/>
  <c r="H502" i="3" s="1"/>
  <c r="F502" i="3"/>
  <c r="Q502" i="3"/>
  <c r="T502" i="3"/>
  <c r="X501" i="3"/>
  <c r="AW500" i="3"/>
  <c r="Y501" i="3"/>
  <c r="Z501" i="3" s="1"/>
  <c r="AN501" i="3"/>
  <c r="AO501" i="3"/>
  <c r="AH501" i="3"/>
  <c r="BC499" i="3" l="1"/>
  <c r="BG499" i="3" s="1"/>
  <c r="BH499" i="3" s="1"/>
  <c r="BI499" i="3" s="1"/>
  <c r="AV500" i="3"/>
  <c r="BF499" i="3"/>
  <c r="BJ498" i="3" s="1"/>
  <c r="BK498" i="3" s="1"/>
  <c r="BD498" i="3"/>
  <c r="BM502" i="3"/>
  <c r="AU501" i="3"/>
  <c r="BB499" i="3"/>
  <c r="AY500" i="3"/>
  <c r="AN502" i="3"/>
  <c r="AW501" i="3"/>
  <c r="AT501" i="3"/>
  <c r="AG502" i="3"/>
  <c r="BA500" i="3"/>
  <c r="BF500" i="3" s="1"/>
  <c r="Y502" i="3"/>
  <c r="Z502" i="3" s="1"/>
  <c r="AX501" i="3"/>
  <c r="BN502" i="3"/>
  <c r="AH502" i="3"/>
  <c r="AO502" i="3"/>
  <c r="X502" i="3"/>
  <c r="AR503" i="3"/>
  <c r="B503" i="3"/>
  <c r="AQ503" i="3"/>
  <c r="A504" i="3"/>
  <c r="C503" i="3"/>
  <c r="T503" i="3"/>
  <c r="S503" i="3"/>
  <c r="AK503" i="3"/>
  <c r="D503" i="3"/>
  <c r="AM503" i="3"/>
  <c r="Q503" i="3"/>
  <c r="R503" i="3"/>
  <c r="AD503" i="3"/>
  <c r="P503" i="3"/>
  <c r="O503" i="3"/>
  <c r="M503" i="3"/>
  <c r="AF503" i="3"/>
  <c r="U503" i="3"/>
  <c r="AE503" i="3"/>
  <c r="V503" i="3"/>
  <c r="G503" i="3"/>
  <c r="H503" i="3" s="1"/>
  <c r="F503" i="3"/>
  <c r="BN503" i="3" l="1"/>
  <c r="BD499" i="3"/>
  <c r="BC500" i="3"/>
  <c r="BG500" i="3" s="1"/>
  <c r="BH500" i="3" s="1"/>
  <c r="BI500" i="3" s="1"/>
  <c r="AU502" i="3"/>
  <c r="AV501" i="3"/>
  <c r="BJ499" i="3"/>
  <c r="BK499" i="3" s="1"/>
  <c r="AN503" i="3"/>
  <c r="BM503" i="3"/>
  <c r="AG503" i="3"/>
  <c r="BA501" i="3"/>
  <c r="BB501" i="3" s="1"/>
  <c r="AT502" i="3"/>
  <c r="AW502" i="3"/>
  <c r="BQ500" i="3"/>
  <c r="AY501" i="3"/>
  <c r="BB500" i="3"/>
  <c r="Y503" i="3"/>
  <c r="Z503" i="3" s="1"/>
  <c r="AH503" i="3"/>
  <c r="X503" i="3"/>
  <c r="AX502" i="3"/>
  <c r="B504" i="3"/>
  <c r="AQ504" i="3"/>
  <c r="AR504" i="3"/>
  <c r="A505" i="3"/>
  <c r="D504" i="3"/>
  <c r="AM504" i="3"/>
  <c r="T504" i="3"/>
  <c r="C504" i="3"/>
  <c r="AK504" i="3"/>
  <c r="R504" i="3"/>
  <c r="Q504" i="3"/>
  <c r="AD504" i="3"/>
  <c r="P504" i="3"/>
  <c r="S504" i="3"/>
  <c r="M504" i="3"/>
  <c r="AE504" i="3"/>
  <c r="O504" i="3"/>
  <c r="U504" i="3"/>
  <c r="AF504" i="3"/>
  <c r="V504" i="3"/>
  <c r="G504" i="3"/>
  <c r="H504" i="3" s="1"/>
  <c r="BN504" i="3" s="1"/>
  <c r="F504" i="3"/>
  <c r="AO503" i="3"/>
  <c r="BM504" i="3" l="1"/>
  <c r="BD500" i="3"/>
  <c r="BF501" i="3"/>
  <c r="BJ500" i="3" s="1"/>
  <c r="BK500" i="3" s="1"/>
  <c r="AV502" i="3"/>
  <c r="BC501" i="3"/>
  <c r="BD501" i="3" s="1"/>
  <c r="AU503" i="3"/>
  <c r="AT503" i="3"/>
  <c r="BQ501" i="3"/>
  <c r="BA502" i="3"/>
  <c r="BQ502" i="3" s="1"/>
  <c r="AW503" i="3"/>
  <c r="AY502" i="3"/>
  <c r="AO504" i="3"/>
  <c r="AQ505" i="3"/>
  <c r="B505" i="3"/>
  <c r="A506" i="3"/>
  <c r="AR505" i="3"/>
  <c r="D505" i="3"/>
  <c r="C505" i="3"/>
  <c r="AK505" i="3"/>
  <c r="AM505" i="3"/>
  <c r="T505" i="3"/>
  <c r="P505" i="3"/>
  <c r="S505" i="3"/>
  <c r="Q505" i="3"/>
  <c r="AD505" i="3"/>
  <c r="M505" i="3"/>
  <c r="AE505" i="3"/>
  <c r="V505" i="3"/>
  <c r="U505" i="3"/>
  <c r="O505" i="3"/>
  <c r="AF505" i="3"/>
  <c r="G505" i="3"/>
  <c r="H505" i="3" s="1"/>
  <c r="F505" i="3"/>
  <c r="R505" i="3"/>
  <c r="AG504" i="3"/>
  <c r="AH504" i="3"/>
  <c r="X504" i="3"/>
  <c r="AN504" i="3"/>
  <c r="AX503" i="3"/>
  <c r="Y504" i="3"/>
  <c r="Z504" i="3" s="1"/>
  <c r="BG501" i="3" l="1"/>
  <c r="BH501" i="3" s="1"/>
  <c r="BI501" i="3" s="1"/>
  <c r="BC502" i="3"/>
  <c r="BD502" i="3" s="1"/>
  <c r="AV503" i="3"/>
  <c r="BM505" i="3"/>
  <c r="BF502" i="3"/>
  <c r="BJ501" i="3" s="1"/>
  <c r="BK501" i="3" s="1"/>
  <c r="BB502" i="3"/>
  <c r="AY503" i="3"/>
  <c r="AT504" i="3"/>
  <c r="AO505" i="3"/>
  <c r="BA503" i="3"/>
  <c r="BF503" i="3" s="1"/>
  <c r="AX504" i="3"/>
  <c r="AH505" i="3"/>
  <c r="AU504" i="3"/>
  <c r="AW504" i="3"/>
  <c r="BN505" i="3"/>
  <c r="AN505" i="3"/>
  <c r="X505" i="3"/>
  <c r="Y505" i="3"/>
  <c r="Z505" i="3" s="1"/>
  <c r="B506" i="3"/>
  <c r="A507" i="3"/>
  <c r="AQ506" i="3"/>
  <c r="AR506" i="3"/>
  <c r="C506" i="3"/>
  <c r="D506" i="3"/>
  <c r="S506" i="3"/>
  <c r="Q506" i="3"/>
  <c r="AM506" i="3"/>
  <c r="AK506" i="3"/>
  <c r="T506" i="3"/>
  <c r="R506" i="3"/>
  <c r="AD506" i="3"/>
  <c r="P506" i="3"/>
  <c r="AE506" i="3"/>
  <c r="AF506" i="3"/>
  <c r="M506" i="3"/>
  <c r="U506" i="3"/>
  <c r="O506" i="3"/>
  <c r="V506" i="3"/>
  <c r="G506" i="3"/>
  <c r="H506" i="3" s="1"/>
  <c r="F506" i="3"/>
  <c r="AG505" i="3"/>
  <c r="BC503" i="3" l="1"/>
  <c r="BG503" i="3" s="1"/>
  <c r="BH503" i="3" s="1"/>
  <c r="BI503" i="3" s="1"/>
  <c r="BG502" i="3"/>
  <c r="BH502" i="3" s="1"/>
  <c r="BI502" i="3" s="1"/>
  <c r="BN506" i="3"/>
  <c r="BJ502" i="3"/>
  <c r="BK502" i="3" s="1"/>
  <c r="AW505" i="3"/>
  <c r="AV504" i="3"/>
  <c r="AG506" i="3"/>
  <c r="AU505" i="3"/>
  <c r="AN506" i="3"/>
  <c r="BQ503" i="3"/>
  <c r="BB503" i="3"/>
  <c r="Y506" i="3"/>
  <c r="Z506" i="3" s="1"/>
  <c r="AR507" i="3"/>
  <c r="B507" i="3"/>
  <c r="AQ507" i="3"/>
  <c r="A508" i="3"/>
  <c r="D507" i="3"/>
  <c r="C507" i="3"/>
  <c r="AK507" i="3"/>
  <c r="S507" i="3"/>
  <c r="AM507" i="3"/>
  <c r="R507" i="3"/>
  <c r="Q507" i="3"/>
  <c r="AD507" i="3"/>
  <c r="P507" i="3"/>
  <c r="M507" i="3"/>
  <c r="U507" i="3"/>
  <c r="O507" i="3"/>
  <c r="AF507" i="3"/>
  <c r="AE507" i="3"/>
  <c r="V507" i="3"/>
  <c r="F507" i="3"/>
  <c r="G507" i="3"/>
  <c r="H507" i="3" s="1"/>
  <c r="BN507" i="3" s="1"/>
  <c r="T507" i="3"/>
  <c r="BA504" i="3"/>
  <c r="AY504" i="3"/>
  <c r="X506" i="3"/>
  <c r="BM506" i="3"/>
  <c r="AO506" i="3"/>
  <c r="AT505" i="3"/>
  <c r="AX505" i="3"/>
  <c r="AH506" i="3"/>
  <c r="AV505" i="3" l="1"/>
  <c r="BD503" i="3"/>
  <c r="BM507" i="3"/>
  <c r="AN507" i="3"/>
  <c r="AW506" i="3"/>
  <c r="AY505" i="3"/>
  <c r="BC504" i="3"/>
  <c r="BD504" i="3" s="1"/>
  <c r="AU506" i="3"/>
  <c r="AX506" i="3"/>
  <c r="BB504" i="3"/>
  <c r="BQ504" i="3"/>
  <c r="BF504" i="3"/>
  <c r="BJ503" i="3" s="1"/>
  <c r="BK503" i="3" s="1"/>
  <c r="AT506" i="3"/>
  <c r="AO507" i="3"/>
  <c r="B508" i="3"/>
  <c r="AQ508" i="3"/>
  <c r="AR508" i="3"/>
  <c r="A509" i="3"/>
  <c r="D508" i="3"/>
  <c r="AM508" i="3"/>
  <c r="T508" i="3"/>
  <c r="C508" i="3"/>
  <c r="AK508" i="3"/>
  <c r="S508" i="3"/>
  <c r="Q508" i="3"/>
  <c r="AD508" i="3"/>
  <c r="P508" i="3"/>
  <c r="O508" i="3"/>
  <c r="AF508" i="3"/>
  <c r="V508" i="3"/>
  <c r="U508" i="3"/>
  <c r="AE508" i="3"/>
  <c r="M508" i="3"/>
  <c r="R508" i="3"/>
  <c r="G508" i="3"/>
  <c r="H508" i="3" s="1"/>
  <c r="F508" i="3"/>
  <c r="BA505" i="3"/>
  <c r="Y507" i="3"/>
  <c r="Z507" i="3" s="1"/>
  <c r="AG507" i="3"/>
  <c r="AH507" i="3"/>
  <c r="X507" i="3"/>
  <c r="BN508" i="3" l="1"/>
  <c r="BC505" i="3"/>
  <c r="BG505" i="3" s="1"/>
  <c r="BH505" i="3" s="1"/>
  <c r="BI505" i="3" s="1"/>
  <c r="BM508" i="3"/>
  <c r="AY506" i="3"/>
  <c r="AG508" i="3"/>
  <c r="BG504" i="3"/>
  <c r="BH504" i="3" s="1"/>
  <c r="BI504" i="3" s="1"/>
  <c r="AX507" i="3"/>
  <c r="AO508" i="3"/>
  <c r="AN508" i="3"/>
  <c r="AQ509" i="3"/>
  <c r="B509" i="3"/>
  <c r="A510" i="3"/>
  <c r="AR509" i="3"/>
  <c r="C509" i="3"/>
  <c r="AM509" i="3"/>
  <c r="S509" i="3"/>
  <c r="AK509" i="3"/>
  <c r="D509" i="3"/>
  <c r="R509" i="3"/>
  <c r="P509" i="3"/>
  <c r="Q509" i="3"/>
  <c r="AD509" i="3"/>
  <c r="O509" i="3"/>
  <c r="AE509" i="3"/>
  <c r="U509" i="3"/>
  <c r="M509" i="3"/>
  <c r="AF509" i="3"/>
  <c r="V509" i="3"/>
  <c r="G509" i="3"/>
  <c r="H509" i="3" s="1"/>
  <c r="F509" i="3"/>
  <c r="T509" i="3"/>
  <c r="BQ505" i="3"/>
  <c r="BF505" i="3"/>
  <c r="BJ504" i="3" s="1"/>
  <c r="BK504" i="3" s="1"/>
  <c r="BB505" i="3"/>
  <c r="Y508" i="3"/>
  <c r="Z508" i="3" s="1"/>
  <c r="AW507" i="3"/>
  <c r="AU507" i="3"/>
  <c r="BA506" i="3"/>
  <c r="AV506" i="3"/>
  <c r="AH508" i="3"/>
  <c r="X508" i="3"/>
  <c r="AT507" i="3"/>
  <c r="AU508" i="3" l="1"/>
  <c r="BD505" i="3"/>
  <c r="BC506" i="3"/>
  <c r="BD506" i="3" s="1"/>
  <c r="BM509" i="3"/>
  <c r="AO509" i="3"/>
  <c r="BN509" i="3"/>
  <c r="AY507" i="3"/>
  <c r="AV507" i="3"/>
  <c r="BA507" i="3"/>
  <c r="BB506" i="3"/>
  <c r="BQ506" i="3"/>
  <c r="BF506" i="3"/>
  <c r="BJ505" i="3" s="1"/>
  <c r="BK505" i="3" s="1"/>
  <c r="B510" i="3"/>
  <c r="A511" i="3"/>
  <c r="AQ510" i="3"/>
  <c r="AR510" i="3"/>
  <c r="D510" i="3"/>
  <c r="C510" i="3"/>
  <c r="AM510" i="3"/>
  <c r="R510" i="3"/>
  <c r="AK510" i="3"/>
  <c r="S510" i="3"/>
  <c r="Q510" i="3"/>
  <c r="AD510" i="3"/>
  <c r="P510" i="3"/>
  <c r="O510" i="3"/>
  <c r="M510" i="3"/>
  <c r="AF510" i="3"/>
  <c r="AE510" i="3"/>
  <c r="U510" i="3"/>
  <c r="V510" i="3"/>
  <c r="G510" i="3"/>
  <c r="H510" i="3" s="1"/>
  <c r="F510" i="3"/>
  <c r="T510" i="3"/>
  <c r="Y509" i="3"/>
  <c r="Z509" i="3" s="1"/>
  <c r="AW508" i="3"/>
  <c r="AT508" i="3"/>
  <c r="AG509" i="3"/>
  <c r="AH509" i="3"/>
  <c r="X509" i="3"/>
  <c r="AX508" i="3"/>
  <c r="AN509" i="3"/>
  <c r="BG506" i="3" l="1"/>
  <c r="BH506" i="3" s="1"/>
  <c r="BI506" i="3" s="1"/>
  <c r="AO510" i="3"/>
  <c r="BM510" i="3"/>
  <c r="BN510" i="3"/>
  <c r="BC507" i="3"/>
  <c r="BD507" i="3" s="1"/>
  <c r="AU509" i="3"/>
  <c r="AG510" i="3"/>
  <c r="AY508" i="3"/>
  <c r="AV508" i="3"/>
  <c r="BA508" i="3"/>
  <c r="AR511" i="3"/>
  <c r="B511" i="3"/>
  <c r="AQ511" i="3"/>
  <c r="A512" i="3"/>
  <c r="D511" i="3"/>
  <c r="C511" i="3"/>
  <c r="AM511" i="3"/>
  <c r="AK511" i="3"/>
  <c r="S511" i="3"/>
  <c r="AD511" i="3"/>
  <c r="P511" i="3"/>
  <c r="AE511" i="3"/>
  <c r="U511" i="3"/>
  <c r="O511" i="3"/>
  <c r="M511" i="3"/>
  <c r="AF511" i="3"/>
  <c r="V511" i="3"/>
  <c r="Q511" i="3"/>
  <c r="G511" i="3"/>
  <c r="H511" i="3" s="1"/>
  <c r="F511" i="3"/>
  <c r="R511" i="3"/>
  <c r="T511" i="3"/>
  <c r="AW509" i="3"/>
  <c r="AT509" i="3"/>
  <c r="AX509" i="3"/>
  <c r="Y510" i="3"/>
  <c r="Z510" i="3" s="1"/>
  <c r="AH510" i="3"/>
  <c r="X510" i="3"/>
  <c r="BQ507" i="3"/>
  <c r="BF507" i="3"/>
  <c r="BJ506" i="3" s="1"/>
  <c r="BK506" i="3" s="1"/>
  <c r="BB507" i="3"/>
  <c r="AN510" i="3"/>
  <c r="BN511" i="3" l="1"/>
  <c r="BM511" i="3"/>
  <c r="AU510" i="3"/>
  <c r="BG507" i="3"/>
  <c r="BH507" i="3" s="1"/>
  <c r="BI507" i="3" s="1"/>
  <c r="AT510" i="3"/>
  <c r="AW510" i="3"/>
  <c r="AO511" i="3"/>
  <c r="BC508" i="3"/>
  <c r="BD508" i="3" s="1"/>
  <c r="BA509" i="3"/>
  <c r="BQ509" i="3" s="1"/>
  <c r="Y511" i="3"/>
  <c r="Z511" i="3" s="1"/>
  <c r="AV509" i="3"/>
  <c r="AX510" i="3"/>
  <c r="AY509" i="3"/>
  <c r="AN511" i="3"/>
  <c r="B512" i="3"/>
  <c r="AQ512" i="3"/>
  <c r="AR512" i="3"/>
  <c r="A513" i="3"/>
  <c r="C512" i="3"/>
  <c r="AM512" i="3"/>
  <c r="AK512" i="3"/>
  <c r="S512" i="3"/>
  <c r="D512" i="3"/>
  <c r="R512" i="3"/>
  <c r="Q512" i="3"/>
  <c r="AD512" i="3"/>
  <c r="P512" i="3"/>
  <c r="O512" i="3"/>
  <c r="M512" i="3"/>
  <c r="V512" i="3"/>
  <c r="AF512" i="3"/>
  <c r="AE512" i="3"/>
  <c r="U512" i="3"/>
  <c r="G512" i="3"/>
  <c r="H512" i="3" s="1"/>
  <c r="F512" i="3"/>
  <c r="BM512" i="3" s="1"/>
  <c r="T512" i="3"/>
  <c r="BB508" i="3"/>
  <c r="BF508" i="3"/>
  <c r="BJ507" i="3" s="1"/>
  <c r="BK507" i="3" s="1"/>
  <c r="BQ508" i="3"/>
  <c r="AG511" i="3"/>
  <c r="AH511" i="3"/>
  <c r="X511" i="3"/>
  <c r="AV510" i="3" l="1"/>
  <c r="BF509" i="3"/>
  <c r="BJ508" i="3" s="1"/>
  <c r="BK508" i="3" s="1"/>
  <c r="BN512" i="3"/>
  <c r="AY510" i="3"/>
  <c r="BC509" i="3"/>
  <c r="BG509" i="3" s="1"/>
  <c r="BH509" i="3" s="1"/>
  <c r="BI509" i="3" s="1"/>
  <c r="BA510" i="3"/>
  <c r="BF510" i="3" s="1"/>
  <c r="AG512" i="3"/>
  <c r="BG508" i="3"/>
  <c r="BH508" i="3" s="1"/>
  <c r="BI508" i="3" s="1"/>
  <c r="AN512" i="3"/>
  <c r="AX511" i="3"/>
  <c r="Y512" i="3"/>
  <c r="Z512" i="3" s="1"/>
  <c r="BB509" i="3"/>
  <c r="AW511" i="3"/>
  <c r="AO512" i="3"/>
  <c r="X512" i="3"/>
  <c r="AU511" i="3"/>
  <c r="AQ513" i="3"/>
  <c r="B513" i="3"/>
  <c r="A514" i="3"/>
  <c r="AR513" i="3"/>
  <c r="C513" i="3"/>
  <c r="D513" i="3"/>
  <c r="AK513" i="3"/>
  <c r="AM513" i="3"/>
  <c r="T513" i="3"/>
  <c r="S513" i="3"/>
  <c r="Q513" i="3"/>
  <c r="R513" i="3"/>
  <c r="AD513" i="3"/>
  <c r="P513" i="3"/>
  <c r="O513" i="3"/>
  <c r="AE513" i="3"/>
  <c r="M513" i="3"/>
  <c r="AF513" i="3"/>
  <c r="V513" i="3"/>
  <c r="U513" i="3"/>
  <c r="G513" i="3"/>
  <c r="H513" i="3" s="1"/>
  <c r="F513" i="3"/>
  <c r="AH512" i="3"/>
  <c r="AT511" i="3"/>
  <c r="BJ509" i="3" l="1"/>
  <c r="BK509" i="3" s="1"/>
  <c r="BC510" i="3"/>
  <c r="BD510" i="3" s="1"/>
  <c r="BD509" i="3"/>
  <c r="AN513" i="3"/>
  <c r="AY511" i="3"/>
  <c r="BM513" i="3"/>
  <c r="BQ510" i="3"/>
  <c r="BB510" i="3"/>
  <c r="AX512" i="3"/>
  <c r="AU512" i="3"/>
  <c r="AG513" i="3"/>
  <c r="Y513" i="3"/>
  <c r="Z513" i="3" s="1"/>
  <c r="AT512" i="3"/>
  <c r="AV511" i="3"/>
  <c r="BA511" i="3"/>
  <c r="B514" i="3"/>
  <c r="A515" i="3"/>
  <c r="AQ514" i="3"/>
  <c r="AR514" i="3"/>
  <c r="C514" i="3"/>
  <c r="S514" i="3"/>
  <c r="AM514" i="3"/>
  <c r="D514" i="3"/>
  <c r="AK514" i="3"/>
  <c r="R514" i="3"/>
  <c r="Q514" i="3"/>
  <c r="AD514" i="3"/>
  <c r="P514" i="3"/>
  <c r="O514" i="3"/>
  <c r="AE514" i="3"/>
  <c r="AF514" i="3"/>
  <c r="M514" i="3"/>
  <c r="U514" i="3"/>
  <c r="V514" i="3"/>
  <c r="G514" i="3"/>
  <c r="H514" i="3" s="1"/>
  <c r="F514" i="3"/>
  <c r="BM514" i="3" s="1"/>
  <c r="T514" i="3"/>
  <c r="BN513" i="3"/>
  <c r="AH513" i="3"/>
  <c r="AO513" i="3"/>
  <c r="X513" i="3"/>
  <c r="AW512" i="3"/>
  <c r="BN514" i="3" l="1"/>
  <c r="BG510" i="3"/>
  <c r="BH510" i="3" s="1"/>
  <c r="BI510" i="3" s="1"/>
  <c r="AU513" i="3"/>
  <c r="AO514" i="3"/>
  <c r="BC511" i="3"/>
  <c r="BG511" i="3" s="1"/>
  <c r="BH511" i="3" s="1"/>
  <c r="BI511" i="3" s="1"/>
  <c r="AY512" i="3"/>
  <c r="AG514" i="3"/>
  <c r="AR515" i="3"/>
  <c r="B515" i="3"/>
  <c r="AQ515" i="3"/>
  <c r="A516" i="3"/>
  <c r="D515" i="3"/>
  <c r="AK515" i="3"/>
  <c r="AM515" i="3"/>
  <c r="Q515" i="3"/>
  <c r="C515" i="3"/>
  <c r="T515" i="3"/>
  <c r="S515" i="3"/>
  <c r="R515" i="3"/>
  <c r="AD515" i="3"/>
  <c r="P515" i="3"/>
  <c r="O515" i="3"/>
  <c r="M515" i="3"/>
  <c r="AE515" i="3"/>
  <c r="AF515" i="3"/>
  <c r="V515" i="3"/>
  <c r="U515" i="3"/>
  <c r="F515" i="3"/>
  <c r="G515" i="3"/>
  <c r="H515" i="3" s="1"/>
  <c r="BF511" i="3"/>
  <c r="BJ510" i="3" s="1"/>
  <c r="BK510" i="3" s="1"/>
  <c r="BQ511" i="3"/>
  <c r="BB511" i="3"/>
  <c r="AV512" i="3"/>
  <c r="BA512" i="3"/>
  <c r="AX513" i="3"/>
  <c r="Y514" i="3"/>
  <c r="Z514" i="3" s="1"/>
  <c r="AH514" i="3"/>
  <c r="AW513" i="3"/>
  <c r="AN514" i="3"/>
  <c r="X514" i="3"/>
  <c r="AT513" i="3"/>
  <c r="BM515" i="3" l="1"/>
  <c r="BD511" i="3"/>
  <c r="AT514" i="3"/>
  <c r="BN515" i="3"/>
  <c r="BC512" i="3"/>
  <c r="BG512" i="3" s="1"/>
  <c r="BH512" i="3" s="1"/>
  <c r="BI512" i="3" s="1"/>
  <c r="AN515" i="3"/>
  <c r="AY513" i="3"/>
  <c r="AU514" i="3"/>
  <c r="AW514" i="3"/>
  <c r="AG515" i="3"/>
  <c r="Y515" i="3"/>
  <c r="Z515" i="3" s="1"/>
  <c r="X515" i="3"/>
  <c r="BF512" i="3"/>
  <c r="BQ512" i="3"/>
  <c r="BB512" i="3"/>
  <c r="BA513" i="3"/>
  <c r="AV513" i="3"/>
  <c r="B516" i="3"/>
  <c r="AQ516" i="3"/>
  <c r="AR516" i="3"/>
  <c r="A517" i="3"/>
  <c r="C516" i="3"/>
  <c r="D516" i="3"/>
  <c r="S516" i="3"/>
  <c r="Q516" i="3"/>
  <c r="AM516" i="3"/>
  <c r="AK516" i="3"/>
  <c r="T516" i="3"/>
  <c r="R516" i="3"/>
  <c r="AD516" i="3"/>
  <c r="P516" i="3"/>
  <c r="O516" i="3"/>
  <c r="M516" i="3"/>
  <c r="V516" i="3"/>
  <c r="AF516" i="3"/>
  <c r="AE516" i="3"/>
  <c r="U516" i="3"/>
  <c r="G516" i="3"/>
  <c r="H516" i="3" s="1"/>
  <c r="F516" i="3"/>
  <c r="AX514" i="3"/>
  <c r="AH515" i="3"/>
  <c r="AO515" i="3"/>
  <c r="BC513" i="3" l="1"/>
  <c r="BG513" i="3" s="1"/>
  <c r="BH513" i="3" s="1"/>
  <c r="BI513" i="3" s="1"/>
  <c r="BD512" i="3"/>
  <c r="AV514" i="3"/>
  <c r="AY514" i="3"/>
  <c r="BN516" i="3"/>
  <c r="AG516" i="3"/>
  <c r="AN516" i="3"/>
  <c r="Y516" i="3"/>
  <c r="Z516" i="3" s="1"/>
  <c r="AQ517" i="3"/>
  <c r="B517" i="3"/>
  <c r="A518" i="3"/>
  <c r="AR517" i="3"/>
  <c r="D517" i="3"/>
  <c r="C517" i="3"/>
  <c r="AK517" i="3"/>
  <c r="AM517" i="3"/>
  <c r="R517" i="3"/>
  <c r="S517" i="3"/>
  <c r="AD517" i="3"/>
  <c r="P517" i="3"/>
  <c r="AE517" i="3"/>
  <c r="O517" i="3"/>
  <c r="M517" i="3"/>
  <c r="AF517" i="3"/>
  <c r="U517" i="3"/>
  <c r="V517" i="3"/>
  <c r="Q517" i="3"/>
  <c r="G517" i="3"/>
  <c r="H517" i="3" s="1"/>
  <c r="F517" i="3"/>
  <c r="T517" i="3"/>
  <c r="BJ511" i="3"/>
  <c r="BK511" i="3" s="1"/>
  <c r="AH516" i="3"/>
  <c r="X516" i="3"/>
  <c r="AX515" i="3"/>
  <c r="BM516" i="3"/>
  <c r="AO516" i="3"/>
  <c r="BA514" i="3"/>
  <c r="AU515" i="3"/>
  <c r="AW515" i="3"/>
  <c r="BB513" i="3"/>
  <c r="BQ513" i="3"/>
  <c r="BF513" i="3"/>
  <c r="BJ512" i="3" s="1"/>
  <c r="BK512" i="3" s="1"/>
  <c r="AT515" i="3"/>
  <c r="BD513" i="3" l="1"/>
  <c r="AU516" i="3"/>
  <c r="BC514" i="3"/>
  <c r="BD514" i="3" s="1"/>
  <c r="AW516" i="3"/>
  <c r="Y517" i="3"/>
  <c r="Z517" i="3" s="1"/>
  <c r="BN517" i="3"/>
  <c r="AN517" i="3"/>
  <c r="AT516" i="3"/>
  <c r="AY515" i="3"/>
  <c r="BQ514" i="3"/>
  <c r="BF514" i="3"/>
  <c r="BJ513" i="3" s="1"/>
  <c r="BK513" i="3" s="1"/>
  <c r="BB514" i="3"/>
  <c r="B518" i="3"/>
  <c r="A519" i="3"/>
  <c r="AQ518" i="3"/>
  <c r="AR518" i="3"/>
  <c r="C518" i="3"/>
  <c r="D518" i="3"/>
  <c r="T518" i="3"/>
  <c r="S518" i="3"/>
  <c r="AK518" i="3"/>
  <c r="AM518" i="3"/>
  <c r="Q518" i="3"/>
  <c r="R518" i="3"/>
  <c r="AD518" i="3"/>
  <c r="P518" i="3"/>
  <c r="O518" i="3"/>
  <c r="M518" i="3"/>
  <c r="AE518" i="3"/>
  <c r="U518" i="3"/>
  <c r="AF518" i="3"/>
  <c r="V518" i="3"/>
  <c r="F518" i="3"/>
  <c r="BM518" i="3" s="1"/>
  <c r="G518" i="3"/>
  <c r="H518" i="3" s="1"/>
  <c r="AX516" i="3"/>
  <c r="BM517" i="3"/>
  <c r="AG517" i="3"/>
  <c r="AH517" i="3"/>
  <c r="AO517" i="3"/>
  <c r="AV515" i="3"/>
  <c r="BA515" i="3"/>
  <c r="X517" i="3"/>
  <c r="BN518" i="3" l="1"/>
  <c r="AV516" i="3"/>
  <c r="BG514" i="3"/>
  <c r="BH514" i="3" s="1"/>
  <c r="BI514" i="3" s="1"/>
  <c r="BA516" i="3"/>
  <c r="BB516" i="3" s="1"/>
  <c r="AU517" i="3"/>
  <c r="BC515" i="3"/>
  <c r="BG515" i="3" s="1"/>
  <c r="BH515" i="3" s="1"/>
  <c r="BI515" i="3" s="1"/>
  <c r="AO518" i="3"/>
  <c r="BF515" i="3"/>
  <c r="BJ514" i="3" s="1"/>
  <c r="BK514" i="3" s="1"/>
  <c r="BB515" i="3"/>
  <c r="BQ515" i="3"/>
  <c r="AH518" i="3"/>
  <c r="AG518" i="3"/>
  <c r="Y518" i="3"/>
  <c r="Z518" i="3" s="1"/>
  <c r="AR519" i="3"/>
  <c r="B519" i="3"/>
  <c r="AQ519" i="3"/>
  <c r="A520" i="3"/>
  <c r="D519" i="3"/>
  <c r="C519" i="3"/>
  <c r="S519" i="3"/>
  <c r="AK519" i="3"/>
  <c r="AM519" i="3"/>
  <c r="R519" i="3"/>
  <c r="Q519" i="3"/>
  <c r="AD519" i="3"/>
  <c r="P519" i="3"/>
  <c r="O519" i="3"/>
  <c r="AE519" i="3"/>
  <c r="M519" i="3"/>
  <c r="AF519" i="3"/>
  <c r="V519" i="3"/>
  <c r="U519" i="3"/>
  <c r="G519" i="3"/>
  <c r="H519" i="3" s="1"/>
  <c r="F519" i="3"/>
  <c r="T519" i="3"/>
  <c r="AW517" i="3"/>
  <c r="AY516" i="3"/>
  <c r="AT517" i="3"/>
  <c r="AX517" i="3"/>
  <c r="AN518" i="3"/>
  <c r="X518" i="3"/>
  <c r="BC516" i="3" l="1"/>
  <c r="BD516" i="3" s="1"/>
  <c r="BD515" i="3"/>
  <c r="BM519" i="3"/>
  <c r="BN519" i="3"/>
  <c r="BF516" i="3"/>
  <c r="BJ515" i="3" s="1"/>
  <c r="BK515" i="3" s="1"/>
  <c r="BQ516" i="3"/>
  <c r="AU518" i="3"/>
  <c r="AN519" i="3"/>
  <c r="Y519" i="3"/>
  <c r="Z519" i="3" s="1"/>
  <c r="AY517" i="3"/>
  <c r="AT518" i="3"/>
  <c r="AX518" i="3"/>
  <c r="AG519" i="3"/>
  <c r="BA517" i="3"/>
  <c r="AV517" i="3"/>
  <c r="B520" i="3"/>
  <c r="AQ520" i="3"/>
  <c r="AR520" i="3"/>
  <c r="A521" i="3"/>
  <c r="C520" i="3"/>
  <c r="AM520" i="3"/>
  <c r="S520" i="3"/>
  <c r="R520" i="3"/>
  <c r="D520" i="3"/>
  <c r="AK520" i="3"/>
  <c r="Q520" i="3"/>
  <c r="AD520" i="3"/>
  <c r="P520" i="3"/>
  <c r="O520" i="3"/>
  <c r="AF520" i="3"/>
  <c r="V520" i="3"/>
  <c r="AE520" i="3"/>
  <c r="M520" i="3"/>
  <c r="U520" i="3"/>
  <c r="F520" i="3"/>
  <c r="G520" i="3"/>
  <c r="H520" i="3" s="1"/>
  <c r="T520" i="3"/>
  <c r="AH519" i="3"/>
  <c r="AO519" i="3"/>
  <c r="X519" i="3"/>
  <c r="AW518" i="3"/>
  <c r="BN520" i="3" l="1"/>
  <c r="AV518" i="3"/>
  <c r="BG516" i="3"/>
  <c r="BH516" i="3" s="1"/>
  <c r="BI516" i="3" s="1"/>
  <c r="AO520" i="3"/>
  <c r="AY518" i="3"/>
  <c r="AG520" i="3"/>
  <c r="AX519" i="3"/>
  <c r="BC517" i="3"/>
  <c r="BD517" i="3" s="1"/>
  <c r="AQ521" i="3"/>
  <c r="B521" i="3"/>
  <c r="A522" i="3"/>
  <c r="AR521" i="3"/>
  <c r="C521" i="3"/>
  <c r="AM521" i="3"/>
  <c r="AK521" i="3"/>
  <c r="S521" i="3"/>
  <c r="D521" i="3"/>
  <c r="R521" i="3"/>
  <c r="Q521" i="3"/>
  <c r="AD521" i="3"/>
  <c r="P521" i="3"/>
  <c r="O521" i="3"/>
  <c r="M521" i="3"/>
  <c r="AF521" i="3"/>
  <c r="AE521" i="3"/>
  <c r="V521" i="3"/>
  <c r="U521" i="3"/>
  <c r="F521" i="3"/>
  <c r="G521" i="3"/>
  <c r="H521" i="3" s="1"/>
  <c r="T521" i="3"/>
  <c r="BA518" i="3"/>
  <c r="Y520" i="3"/>
  <c r="Z520" i="3" s="1"/>
  <c r="BM520" i="3"/>
  <c r="AH520" i="3"/>
  <c r="AN520" i="3"/>
  <c r="AT519" i="3"/>
  <c r="AW519" i="3"/>
  <c r="BB517" i="3"/>
  <c r="BF517" i="3"/>
  <c r="BJ516" i="3" s="1"/>
  <c r="BK516" i="3" s="1"/>
  <c r="BQ517" i="3"/>
  <c r="X520" i="3"/>
  <c r="AU519" i="3"/>
  <c r="BN521" i="3" l="1"/>
  <c r="AU520" i="3"/>
  <c r="BC518" i="3"/>
  <c r="BG518" i="3" s="1"/>
  <c r="BH518" i="3" s="1"/>
  <c r="BI518" i="3" s="1"/>
  <c r="AY519" i="3"/>
  <c r="BM521" i="3"/>
  <c r="AT520" i="3"/>
  <c r="BG517" i="3"/>
  <c r="BH517" i="3" s="1"/>
  <c r="BI517" i="3" s="1"/>
  <c r="AN521" i="3"/>
  <c r="AW520" i="3"/>
  <c r="Y521" i="3"/>
  <c r="Z521" i="3" s="1"/>
  <c r="AV519" i="3"/>
  <c r="BA519" i="3"/>
  <c r="BQ518" i="3"/>
  <c r="BF518" i="3"/>
  <c r="BJ517" i="3" s="1"/>
  <c r="BK517" i="3" s="1"/>
  <c r="BB518" i="3"/>
  <c r="B522" i="3"/>
  <c r="A523" i="3"/>
  <c r="AQ522" i="3"/>
  <c r="AR522" i="3"/>
  <c r="C522" i="3"/>
  <c r="AM522" i="3"/>
  <c r="R522" i="3"/>
  <c r="D522" i="3"/>
  <c r="AK522" i="3"/>
  <c r="S522" i="3"/>
  <c r="Q522" i="3"/>
  <c r="AD522" i="3"/>
  <c r="P522" i="3"/>
  <c r="O522" i="3"/>
  <c r="V522" i="3"/>
  <c r="M522" i="3"/>
  <c r="AF522" i="3"/>
  <c r="AE522" i="3"/>
  <c r="U522" i="3"/>
  <c r="F522" i="3"/>
  <c r="G522" i="3"/>
  <c r="H522" i="3" s="1"/>
  <c r="T522" i="3"/>
  <c r="AX520" i="3"/>
  <c r="AG521" i="3"/>
  <c r="AO521" i="3"/>
  <c r="X521" i="3"/>
  <c r="AH521" i="3"/>
  <c r="AV520" i="3" l="1"/>
  <c r="BD518" i="3"/>
  <c r="BC519" i="3"/>
  <c r="BD519" i="3" s="1"/>
  <c r="AY520" i="3"/>
  <c r="BM522" i="3"/>
  <c r="AG522" i="3"/>
  <c r="AX521" i="3"/>
  <c r="AN522" i="3"/>
  <c r="Y522" i="3"/>
  <c r="Z522" i="3" s="1"/>
  <c r="BB519" i="3"/>
  <c r="BQ519" i="3"/>
  <c r="BF519" i="3"/>
  <c r="BJ518" i="3" s="1"/>
  <c r="BK518" i="3" s="1"/>
  <c r="AH522" i="3"/>
  <c r="AT521" i="3"/>
  <c r="AU521" i="3"/>
  <c r="AW521" i="3"/>
  <c r="BN522" i="3"/>
  <c r="AO522" i="3"/>
  <c r="X522" i="3"/>
  <c r="BA520" i="3"/>
  <c r="AR523" i="3"/>
  <c r="B523" i="3"/>
  <c r="AQ523" i="3"/>
  <c r="A524" i="3"/>
  <c r="C523" i="3"/>
  <c r="D523" i="3"/>
  <c r="T523" i="3"/>
  <c r="S523" i="3"/>
  <c r="R523" i="3"/>
  <c r="AK523" i="3"/>
  <c r="AM523" i="3"/>
  <c r="Q523" i="3"/>
  <c r="AD523" i="3"/>
  <c r="O523" i="3"/>
  <c r="AE523" i="3"/>
  <c r="M523" i="3"/>
  <c r="V523" i="3"/>
  <c r="P523" i="3"/>
  <c r="AF523" i="3"/>
  <c r="U523" i="3"/>
  <c r="F523" i="3"/>
  <c r="BM523" i="3" s="1"/>
  <c r="G523" i="3"/>
  <c r="H523" i="3" s="1"/>
  <c r="BN523" i="3" s="1"/>
  <c r="BC520" i="3" l="1"/>
  <c r="BD520" i="3" s="1"/>
  <c r="BG519" i="3"/>
  <c r="BH519" i="3" s="1"/>
  <c r="BI519" i="3" s="1"/>
  <c r="AU522" i="3"/>
  <c r="AY521" i="3"/>
  <c r="AN523" i="3"/>
  <c r="AW522" i="3"/>
  <c r="Y523" i="3"/>
  <c r="Z523" i="3" s="1"/>
  <c r="B524" i="3"/>
  <c r="AQ524" i="3"/>
  <c r="AR524" i="3"/>
  <c r="A525" i="3"/>
  <c r="C524" i="3"/>
  <c r="AM524" i="3"/>
  <c r="AK524" i="3"/>
  <c r="D524" i="3"/>
  <c r="S524" i="3"/>
  <c r="R524" i="3"/>
  <c r="Q524" i="3"/>
  <c r="P524" i="3"/>
  <c r="AD524" i="3"/>
  <c r="O524" i="3"/>
  <c r="M524" i="3"/>
  <c r="AF524" i="3"/>
  <c r="AE524" i="3"/>
  <c r="V524" i="3"/>
  <c r="U524" i="3"/>
  <c r="G524" i="3"/>
  <c r="H524" i="3" s="1"/>
  <c r="F524" i="3"/>
  <c r="BM524" i="3" s="1"/>
  <c r="T524" i="3"/>
  <c r="BQ520" i="3"/>
  <c r="BF520" i="3"/>
  <c r="BJ519" i="3" s="1"/>
  <c r="BK519" i="3" s="1"/>
  <c r="BB520" i="3"/>
  <c r="AG523" i="3"/>
  <c r="AH523" i="3"/>
  <c r="X523" i="3"/>
  <c r="AX522" i="3"/>
  <c r="AT522" i="3"/>
  <c r="AO523" i="3"/>
  <c r="AV521" i="3"/>
  <c r="BA521" i="3"/>
  <c r="BN524" i="3" l="1"/>
  <c r="BG520" i="3"/>
  <c r="BH520" i="3" s="1"/>
  <c r="BI520" i="3" s="1"/>
  <c r="AY522" i="3"/>
  <c r="AO524" i="3"/>
  <c r="Y524" i="3"/>
  <c r="Z524" i="3" s="1"/>
  <c r="AU523" i="3"/>
  <c r="AG524" i="3"/>
  <c r="BC521" i="3"/>
  <c r="BG521" i="3" s="1"/>
  <c r="BH521" i="3" s="1"/>
  <c r="BI521" i="3" s="1"/>
  <c r="AT523" i="3"/>
  <c r="BA522" i="3"/>
  <c r="AV522" i="3"/>
  <c r="AX523" i="3"/>
  <c r="AH524" i="3"/>
  <c r="X524" i="3"/>
  <c r="BB521" i="3"/>
  <c r="BF521" i="3"/>
  <c r="BJ520" i="3" s="1"/>
  <c r="BK520" i="3" s="1"/>
  <c r="BQ521" i="3"/>
  <c r="AQ525" i="3"/>
  <c r="B525" i="3"/>
  <c r="A526" i="3"/>
  <c r="AR525" i="3"/>
  <c r="C525" i="3"/>
  <c r="D525" i="3"/>
  <c r="AM525" i="3"/>
  <c r="AK525" i="3"/>
  <c r="S525" i="3"/>
  <c r="Q525" i="3"/>
  <c r="R525" i="3"/>
  <c r="T525" i="3"/>
  <c r="AD525" i="3"/>
  <c r="P525" i="3"/>
  <c r="M525" i="3"/>
  <c r="AE525" i="3"/>
  <c r="O525" i="3"/>
  <c r="AF525" i="3"/>
  <c r="V525" i="3"/>
  <c r="U525" i="3"/>
  <c r="G525" i="3"/>
  <c r="H525" i="3" s="1"/>
  <c r="F525" i="3"/>
  <c r="AW523" i="3"/>
  <c r="AN524" i="3"/>
  <c r="BD521" i="3" l="1"/>
  <c r="BC522" i="3"/>
  <c r="BG522" i="3" s="1"/>
  <c r="BH522" i="3" s="1"/>
  <c r="BI522" i="3" s="1"/>
  <c r="AN525" i="3"/>
  <c r="AV523" i="3"/>
  <c r="BN525" i="3"/>
  <c r="BM525" i="3"/>
  <c r="AT524" i="3"/>
  <c r="AY523" i="3"/>
  <c r="AU524" i="3"/>
  <c r="AH525" i="3"/>
  <c r="B526" i="3"/>
  <c r="A527" i="3"/>
  <c r="AQ526" i="3"/>
  <c r="AR526" i="3"/>
  <c r="C526" i="3"/>
  <c r="AM526" i="3"/>
  <c r="Q526" i="3"/>
  <c r="D526" i="3"/>
  <c r="AK526" i="3"/>
  <c r="T526" i="3"/>
  <c r="S526" i="3"/>
  <c r="R526" i="3"/>
  <c r="AD526" i="3"/>
  <c r="P526" i="3"/>
  <c r="O526" i="3"/>
  <c r="M526" i="3"/>
  <c r="AE526" i="3"/>
  <c r="V526" i="3"/>
  <c r="AF526" i="3"/>
  <c r="U526" i="3"/>
  <c r="G526" i="3"/>
  <c r="H526" i="3" s="1"/>
  <c r="F526" i="3"/>
  <c r="BB522" i="3"/>
  <c r="BQ522" i="3"/>
  <c r="BF522" i="3"/>
  <c r="BJ521" i="3" s="1"/>
  <c r="BK521" i="3" s="1"/>
  <c r="X525" i="3"/>
  <c r="BA523" i="3"/>
  <c r="AX524" i="3"/>
  <c r="Y525" i="3"/>
  <c r="Z525" i="3" s="1"/>
  <c r="AG525" i="3"/>
  <c r="AO525" i="3"/>
  <c r="AW524" i="3"/>
  <c r="BD522" i="3" l="1"/>
  <c r="AV524" i="3"/>
  <c r="AT525" i="3"/>
  <c r="BC523" i="3"/>
  <c r="BD523" i="3" s="1"/>
  <c r="BM526" i="3"/>
  <c r="AH526" i="3"/>
  <c r="AN526" i="3"/>
  <c r="AU525" i="3"/>
  <c r="AW525" i="3"/>
  <c r="AY524" i="3"/>
  <c r="BA524" i="3"/>
  <c r="BN526" i="3"/>
  <c r="AG526" i="3"/>
  <c r="AO526" i="3"/>
  <c r="X526" i="3"/>
  <c r="BF523" i="3"/>
  <c r="BJ522" i="3" s="1"/>
  <c r="BK522" i="3" s="1"/>
  <c r="BQ523" i="3"/>
  <c r="BB523" i="3"/>
  <c r="Y526" i="3"/>
  <c r="Z526" i="3" s="1"/>
  <c r="AR527" i="3"/>
  <c r="B527" i="3"/>
  <c r="AQ527" i="3"/>
  <c r="A528" i="3"/>
  <c r="C527" i="3"/>
  <c r="AM527" i="3"/>
  <c r="T527" i="3"/>
  <c r="AK527" i="3"/>
  <c r="D527" i="3"/>
  <c r="R527" i="3"/>
  <c r="S527" i="3"/>
  <c r="Q527" i="3"/>
  <c r="AD527" i="3"/>
  <c r="O527" i="3"/>
  <c r="P527" i="3"/>
  <c r="U527" i="3"/>
  <c r="V527" i="3"/>
  <c r="AF527" i="3"/>
  <c r="AE527" i="3"/>
  <c r="M527" i="3"/>
  <c r="G527" i="3"/>
  <c r="H527" i="3" s="1"/>
  <c r="F527" i="3"/>
  <c r="AX525" i="3"/>
  <c r="BN527" i="3" l="1"/>
  <c r="BC524" i="3"/>
  <c r="BD524" i="3" s="1"/>
  <c r="AO527" i="3"/>
  <c r="AV525" i="3"/>
  <c r="AU526" i="3"/>
  <c r="BG523" i="3"/>
  <c r="BH523" i="3" s="1"/>
  <c r="BI523" i="3" s="1"/>
  <c r="AG527" i="3"/>
  <c r="AT526" i="3"/>
  <c r="AW526" i="3"/>
  <c r="BA525" i="3"/>
  <c r="BF525" i="3" s="1"/>
  <c r="B528" i="3"/>
  <c r="AQ528" i="3"/>
  <c r="AR528" i="3"/>
  <c r="A529" i="3"/>
  <c r="C528" i="3"/>
  <c r="D528" i="3"/>
  <c r="AK528" i="3"/>
  <c r="AM528" i="3"/>
  <c r="T528" i="3"/>
  <c r="S528" i="3"/>
  <c r="R528" i="3"/>
  <c r="AD528" i="3"/>
  <c r="Q528" i="3"/>
  <c r="O528" i="3"/>
  <c r="AF528" i="3"/>
  <c r="M528" i="3"/>
  <c r="P528" i="3"/>
  <c r="AE528" i="3"/>
  <c r="V528" i="3"/>
  <c r="U528" i="3"/>
  <c r="F528" i="3"/>
  <c r="BM528" i="3" s="1"/>
  <c r="G528" i="3"/>
  <c r="H528" i="3" s="1"/>
  <c r="BN528" i="3" s="1"/>
  <c r="X527" i="3"/>
  <c r="BM527" i="3"/>
  <c r="AN527" i="3"/>
  <c r="Y527" i="3"/>
  <c r="Z527" i="3" s="1"/>
  <c r="BQ524" i="3"/>
  <c r="BB524" i="3"/>
  <c r="BF524" i="3"/>
  <c r="BJ523" i="3" s="1"/>
  <c r="BK523" i="3" s="1"/>
  <c r="AH527" i="3"/>
  <c r="AX526" i="3"/>
  <c r="AY525" i="3"/>
  <c r="BG524" i="3" l="1"/>
  <c r="BH524" i="3" s="1"/>
  <c r="BI524" i="3" s="1"/>
  <c r="BC525" i="3"/>
  <c r="BG525" i="3" s="1"/>
  <c r="BH525" i="3" s="1"/>
  <c r="BI525" i="3" s="1"/>
  <c r="AV526" i="3"/>
  <c r="AX527" i="3"/>
  <c r="AO528" i="3"/>
  <c r="BA526" i="3"/>
  <c r="BB526" i="3" s="1"/>
  <c r="BQ525" i="3"/>
  <c r="AY526" i="3"/>
  <c r="BB525" i="3"/>
  <c r="Y528" i="3"/>
  <c r="Z528" i="3" s="1"/>
  <c r="AQ529" i="3"/>
  <c r="B529" i="3"/>
  <c r="A530" i="3"/>
  <c r="AR529" i="3"/>
  <c r="D529" i="3"/>
  <c r="C529" i="3"/>
  <c r="AM529" i="3"/>
  <c r="R529" i="3"/>
  <c r="AK529" i="3"/>
  <c r="Q529" i="3"/>
  <c r="AD529" i="3"/>
  <c r="P529" i="3"/>
  <c r="S529" i="3"/>
  <c r="AE529" i="3"/>
  <c r="M529" i="3"/>
  <c r="O529" i="3"/>
  <c r="AF529" i="3"/>
  <c r="V529" i="3"/>
  <c r="U529" i="3"/>
  <c r="G529" i="3"/>
  <c r="H529" i="3" s="1"/>
  <c r="F529" i="3"/>
  <c r="T529" i="3"/>
  <c r="AU527" i="3"/>
  <c r="AW527" i="3"/>
  <c r="AT527" i="3"/>
  <c r="AG528" i="3"/>
  <c r="AH528" i="3"/>
  <c r="AN528" i="3"/>
  <c r="BJ524" i="3"/>
  <c r="BK524" i="3" s="1"/>
  <c r="X528" i="3"/>
  <c r="BD525" i="3" l="1"/>
  <c r="AO529" i="3"/>
  <c r="BQ526" i="3"/>
  <c r="BC526" i="3"/>
  <c r="BG526" i="3" s="1"/>
  <c r="BH526" i="3" s="1"/>
  <c r="BI526" i="3" s="1"/>
  <c r="BM529" i="3"/>
  <c r="AY527" i="3"/>
  <c r="BF526" i="3"/>
  <c r="BJ525" i="3" s="1"/>
  <c r="BK525" i="3" s="1"/>
  <c r="AU528" i="3"/>
  <c r="AX528" i="3"/>
  <c r="AH529" i="3"/>
  <c r="AT528" i="3"/>
  <c r="AW528" i="3"/>
  <c r="Y529" i="3"/>
  <c r="Z529" i="3" s="1"/>
  <c r="BN529" i="3"/>
  <c r="AG529" i="3"/>
  <c r="X529" i="3"/>
  <c r="AV527" i="3"/>
  <c r="BA527" i="3"/>
  <c r="B530" i="3"/>
  <c r="A531" i="3"/>
  <c r="AQ530" i="3"/>
  <c r="AR530" i="3"/>
  <c r="D530" i="3"/>
  <c r="C530" i="3"/>
  <c r="AK530" i="3"/>
  <c r="AM530" i="3"/>
  <c r="T530" i="3"/>
  <c r="Q530" i="3"/>
  <c r="S530" i="3"/>
  <c r="AD530" i="3"/>
  <c r="P530" i="3"/>
  <c r="O530" i="3"/>
  <c r="M530" i="3"/>
  <c r="U530" i="3"/>
  <c r="V530" i="3"/>
  <c r="AE530" i="3"/>
  <c r="AF530" i="3"/>
  <c r="R530" i="3"/>
  <c r="G530" i="3"/>
  <c r="H530" i="3" s="1"/>
  <c r="F530" i="3"/>
  <c r="BM530" i="3" s="1"/>
  <c r="AN529" i="3"/>
  <c r="BN530" i="3" l="1"/>
  <c r="BD526" i="3"/>
  <c r="AN530" i="3"/>
  <c r="BC527" i="3"/>
  <c r="BG527" i="3" s="1"/>
  <c r="BH527" i="3" s="1"/>
  <c r="BI527" i="3" s="1"/>
  <c r="AG530" i="3"/>
  <c r="AY528" i="3"/>
  <c r="AT529" i="3"/>
  <c r="AU529" i="3"/>
  <c r="AX529" i="3"/>
  <c r="BA528" i="3"/>
  <c r="BQ528" i="3" s="1"/>
  <c r="Y530" i="3"/>
  <c r="Z530" i="3" s="1"/>
  <c r="AH530" i="3"/>
  <c r="AO530" i="3"/>
  <c r="AV528" i="3"/>
  <c r="AR531" i="3"/>
  <c r="B531" i="3"/>
  <c r="AQ531" i="3"/>
  <c r="A532" i="3"/>
  <c r="C531" i="3"/>
  <c r="AK531" i="3"/>
  <c r="S531" i="3"/>
  <c r="Q531" i="3"/>
  <c r="AM531" i="3"/>
  <c r="D531" i="3"/>
  <c r="R531" i="3"/>
  <c r="P531" i="3"/>
  <c r="AD531" i="3"/>
  <c r="AE531" i="3"/>
  <c r="M531" i="3"/>
  <c r="O531" i="3"/>
  <c r="AF531" i="3"/>
  <c r="U531" i="3"/>
  <c r="V531" i="3"/>
  <c r="G531" i="3"/>
  <c r="H531" i="3" s="1"/>
  <c r="F531" i="3"/>
  <c r="T531" i="3"/>
  <c r="BB527" i="3"/>
  <c r="BF527" i="3"/>
  <c r="BJ526" i="3" s="1"/>
  <c r="BK526" i="3" s="1"/>
  <c r="BQ527" i="3"/>
  <c r="X530" i="3"/>
  <c r="AW529" i="3"/>
  <c r="BD527" i="3" l="1"/>
  <c r="BM531" i="3"/>
  <c r="BN531" i="3"/>
  <c r="AO531" i="3"/>
  <c r="BC528" i="3"/>
  <c r="BD528" i="3" s="1"/>
  <c r="AV529" i="3"/>
  <c r="AY529" i="3"/>
  <c r="AG531" i="3"/>
  <c r="Y531" i="3"/>
  <c r="Z531" i="3" s="1"/>
  <c r="BF528" i="3"/>
  <c r="BJ527" i="3" s="1"/>
  <c r="BK527" i="3" s="1"/>
  <c r="BB528" i="3"/>
  <c r="AU530" i="3"/>
  <c r="AT530" i="3"/>
  <c r="BA529" i="3"/>
  <c r="AH531" i="3"/>
  <c r="AN531" i="3"/>
  <c r="X531" i="3"/>
  <c r="AX530" i="3"/>
  <c r="AW530" i="3"/>
  <c r="B532" i="3"/>
  <c r="AQ532" i="3"/>
  <c r="AR532" i="3"/>
  <c r="A533" i="3"/>
  <c r="D532" i="3"/>
  <c r="AK532" i="3"/>
  <c r="C532" i="3"/>
  <c r="AM532" i="3"/>
  <c r="S532" i="3"/>
  <c r="AD532" i="3"/>
  <c r="P532" i="3"/>
  <c r="R532" i="3"/>
  <c r="M532" i="3"/>
  <c r="U532" i="3"/>
  <c r="O532" i="3"/>
  <c r="AE532" i="3"/>
  <c r="AF532" i="3"/>
  <c r="V532" i="3"/>
  <c r="Q532" i="3"/>
  <c r="G532" i="3"/>
  <c r="H532" i="3" s="1"/>
  <c r="F532" i="3"/>
  <c r="T532" i="3"/>
  <c r="BM532" i="3" l="1"/>
  <c r="AN532" i="3"/>
  <c r="BG528" i="3"/>
  <c r="BH528" i="3" s="1"/>
  <c r="BI528" i="3" s="1"/>
  <c r="BN532" i="3"/>
  <c r="BC529" i="3"/>
  <c r="BD529" i="3" s="1"/>
  <c r="AV530" i="3"/>
  <c r="AG532" i="3"/>
  <c r="AX531" i="3"/>
  <c r="AW531" i="3"/>
  <c r="AT531" i="3"/>
  <c r="Y532" i="3"/>
  <c r="Z532" i="3" s="1"/>
  <c r="BA530" i="3"/>
  <c r="BF530" i="3" s="1"/>
  <c r="BB529" i="3"/>
  <c r="BF529" i="3"/>
  <c r="BJ528" i="3" s="1"/>
  <c r="BK528" i="3" s="1"/>
  <c r="BQ529" i="3"/>
  <c r="X532" i="3"/>
  <c r="AY530" i="3"/>
  <c r="AU531" i="3"/>
  <c r="AQ533" i="3"/>
  <c r="B533" i="3"/>
  <c r="A534" i="3"/>
  <c r="AR533" i="3"/>
  <c r="C533" i="3"/>
  <c r="D533" i="3"/>
  <c r="T533" i="3"/>
  <c r="S533" i="3"/>
  <c r="AK533" i="3"/>
  <c r="AM533" i="3"/>
  <c r="R533" i="3"/>
  <c r="Q533" i="3"/>
  <c r="AD533" i="3"/>
  <c r="M533" i="3"/>
  <c r="AE533" i="3"/>
  <c r="U533" i="3"/>
  <c r="V533" i="3"/>
  <c r="P533" i="3"/>
  <c r="O533" i="3"/>
  <c r="AF533" i="3"/>
  <c r="F533" i="3"/>
  <c r="BM533" i="3" s="1"/>
  <c r="G533" i="3"/>
  <c r="H533" i="3" s="1"/>
  <c r="BN533" i="3" s="1"/>
  <c r="AH532" i="3"/>
  <c r="AO532" i="3"/>
  <c r="BC530" i="3" l="1"/>
  <c r="BD530" i="3" s="1"/>
  <c r="BG529" i="3"/>
  <c r="BH529" i="3" s="1"/>
  <c r="BI529" i="3" s="1"/>
  <c r="AG533" i="3"/>
  <c r="AU532" i="3"/>
  <c r="AY531" i="3"/>
  <c r="BB530" i="3"/>
  <c r="AO533" i="3"/>
  <c r="AV531" i="3"/>
  <c r="AW532" i="3"/>
  <c r="BA531" i="3"/>
  <c r="BQ531" i="3" s="1"/>
  <c r="BQ530" i="3"/>
  <c r="B534" i="3"/>
  <c r="A535" i="3"/>
  <c r="AQ534" i="3"/>
  <c r="AR534" i="3"/>
  <c r="D534" i="3"/>
  <c r="C534" i="3"/>
  <c r="AK534" i="3"/>
  <c r="AM534" i="3"/>
  <c r="S534" i="3"/>
  <c r="R534" i="3"/>
  <c r="Q534" i="3"/>
  <c r="AD534" i="3"/>
  <c r="P534" i="3"/>
  <c r="O534" i="3"/>
  <c r="AE534" i="3"/>
  <c r="AF534" i="3"/>
  <c r="V534" i="3"/>
  <c r="M534" i="3"/>
  <c r="U534" i="3"/>
  <c r="F534" i="3"/>
  <c r="G534" i="3"/>
  <c r="H534" i="3" s="1"/>
  <c r="T534" i="3"/>
  <c r="AH533" i="3"/>
  <c r="X533" i="3"/>
  <c r="BJ529" i="3"/>
  <c r="BK529" i="3" s="1"/>
  <c r="Y533" i="3"/>
  <c r="Z533" i="3" s="1"/>
  <c r="AX532" i="3"/>
  <c r="AN533" i="3"/>
  <c r="AT532" i="3"/>
  <c r="BN534" i="3" l="1"/>
  <c r="BM534" i="3"/>
  <c r="BG530" i="3"/>
  <c r="BH530" i="3" s="1"/>
  <c r="BI530" i="3" s="1"/>
  <c r="AT533" i="3"/>
  <c r="BC531" i="3"/>
  <c r="BD531" i="3" s="1"/>
  <c r="AU533" i="3"/>
  <c r="AY532" i="3"/>
  <c r="BF531" i="3"/>
  <c r="BJ530" i="3" s="1"/>
  <c r="BK530" i="3" s="1"/>
  <c r="BB531" i="3"/>
  <c r="AO534" i="3"/>
  <c r="AW533" i="3"/>
  <c r="AG534" i="3"/>
  <c r="BA532" i="3"/>
  <c r="BF532" i="3" s="1"/>
  <c r="AR535" i="3"/>
  <c r="B535" i="3"/>
  <c r="AQ535" i="3"/>
  <c r="A536" i="3"/>
  <c r="D535" i="3"/>
  <c r="C535" i="3"/>
  <c r="AM535" i="3"/>
  <c r="AK535" i="3"/>
  <c r="S535" i="3"/>
  <c r="Q535" i="3"/>
  <c r="T535" i="3"/>
  <c r="R535" i="3"/>
  <c r="AD535" i="3"/>
  <c r="P535" i="3"/>
  <c r="M535" i="3"/>
  <c r="O535" i="3"/>
  <c r="AE535" i="3"/>
  <c r="AF535" i="3"/>
  <c r="V535" i="3"/>
  <c r="U535" i="3"/>
  <c r="F535" i="3"/>
  <c r="G535" i="3"/>
  <c r="H535" i="3" s="1"/>
  <c r="AV532" i="3"/>
  <c r="AX533" i="3"/>
  <c r="Y534" i="3"/>
  <c r="Z534" i="3" s="1"/>
  <c r="AH534" i="3"/>
  <c r="AN534" i="3"/>
  <c r="X534" i="3"/>
  <c r="BG531" i="3" l="1"/>
  <c r="BH531" i="3" s="1"/>
  <c r="BI531" i="3" s="1"/>
  <c r="BC532" i="3"/>
  <c r="BD532" i="3" s="1"/>
  <c r="BJ531" i="3"/>
  <c r="BK531" i="3" s="1"/>
  <c r="AV533" i="3"/>
  <c r="BN535" i="3"/>
  <c r="BM535" i="3"/>
  <c r="BQ532" i="3"/>
  <c r="BA533" i="3"/>
  <c r="BF533" i="3" s="1"/>
  <c r="BJ532" i="3" s="1"/>
  <c r="BK532" i="3" s="1"/>
  <c r="AO535" i="3"/>
  <c r="BB532" i="3"/>
  <c r="AX534" i="3"/>
  <c r="AH535" i="3"/>
  <c r="Y535" i="3"/>
  <c r="Z535" i="3" s="1"/>
  <c r="AU534" i="3"/>
  <c r="AW534" i="3"/>
  <c r="AT534" i="3"/>
  <c r="AG535" i="3"/>
  <c r="AN535" i="3"/>
  <c r="AY533" i="3"/>
  <c r="B536" i="3"/>
  <c r="AQ536" i="3"/>
  <c r="AR536" i="3"/>
  <c r="A537" i="3"/>
  <c r="D536" i="3"/>
  <c r="AM536" i="3"/>
  <c r="S536" i="3"/>
  <c r="Q536" i="3"/>
  <c r="C536" i="3"/>
  <c r="AK536" i="3"/>
  <c r="T536" i="3"/>
  <c r="AD536" i="3"/>
  <c r="P536" i="3"/>
  <c r="R536" i="3"/>
  <c r="M536" i="3"/>
  <c r="O536" i="3"/>
  <c r="AF536" i="3"/>
  <c r="U536" i="3"/>
  <c r="AE536" i="3"/>
  <c r="V536" i="3"/>
  <c r="F536" i="3"/>
  <c r="G536" i="3"/>
  <c r="H536" i="3" s="1"/>
  <c r="X535" i="3"/>
  <c r="BM536" i="3" l="1"/>
  <c r="BG532" i="3"/>
  <c r="BH532" i="3" s="1"/>
  <c r="BI532" i="3" s="1"/>
  <c r="BC533" i="3"/>
  <c r="BD533" i="3" s="1"/>
  <c r="AO536" i="3"/>
  <c r="BN536" i="3"/>
  <c r="BQ533" i="3"/>
  <c r="BB533" i="3"/>
  <c r="AW535" i="3"/>
  <c r="AY534" i="3"/>
  <c r="Y536" i="3"/>
  <c r="Z536" i="3" s="1"/>
  <c r="AU535" i="3"/>
  <c r="AG536" i="3"/>
  <c r="AH536" i="3"/>
  <c r="X536" i="3"/>
  <c r="AT535" i="3"/>
  <c r="BA534" i="3"/>
  <c r="AV534" i="3"/>
  <c r="AQ537" i="3"/>
  <c r="B537" i="3"/>
  <c r="A538" i="3"/>
  <c r="AR537" i="3"/>
  <c r="D537" i="3"/>
  <c r="T537" i="3"/>
  <c r="S537" i="3"/>
  <c r="C537" i="3"/>
  <c r="AK537" i="3"/>
  <c r="AM537" i="3"/>
  <c r="P537" i="3"/>
  <c r="Q537" i="3"/>
  <c r="AD537" i="3"/>
  <c r="M537" i="3"/>
  <c r="O537" i="3"/>
  <c r="AF537" i="3"/>
  <c r="V537" i="3"/>
  <c r="AE537" i="3"/>
  <c r="U537" i="3"/>
  <c r="R537" i="3"/>
  <c r="G537" i="3"/>
  <c r="H537" i="3" s="1"/>
  <c r="F537" i="3"/>
  <c r="AN536" i="3"/>
  <c r="AX535" i="3"/>
  <c r="BN537" i="3" l="1"/>
  <c r="BM537" i="3"/>
  <c r="BC534" i="3"/>
  <c r="BG534" i="3" s="1"/>
  <c r="BH534" i="3" s="1"/>
  <c r="BI534" i="3" s="1"/>
  <c r="BG533" i="3"/>
  <c r="BH533" i="3" s="1"/>
  <c r="BI533" i="3" s="1"/>
  <c r="AY535" i="3"/>
  <c r="AO537" i="3"/>
  <c r="AT536" i="3"/>
  <c r="AN537" i="3"/>
  <c r="AX536" i="3"/>
  <c r="AU536" i="3"/>
  <c r="AG537" i="3"/>
  <c r="BA535" i="3"/>
  <c r="AV535" i="3"/>
  <c r="AH537" i="3"/>
  <c r="X537" i="3"/>
  <c r="AW536" i="3"/>
  <c r="Y537" i="3"/>
  <c r="Z537" i="3" s="1"/>
  <c r="B538" i="3"/>
  <c r="A539" i="3"/>
  <c r="AQ538" i="3"/>
  <c r="AR538" i="3"/>
  <c r="C538" i="3"/>
  <c r="AM538" i="3"/>
  <c r="T538" i="3"/>
  <c r="Q538" i="3"/>
  <c r="AK538" i="3"/>
  <c r="D538" i="3"/>
  <c r="S538" i="3"/>
  <c r="R538" i="3"/>
  <c r="AD538" i="3"/>
  <c r="AE538" i="3"/>
  <c r="M538" i="3"/>
  <c r="P538" i="3"/>
  <c r="O538" i="3"/>
  <c r="AF538" i="3"/>
  <c r="V538" i="3"/>
  <c r="U538" i="3"/>
  <c r="G538" i="3"/>
  <c r="H538" i="3" s="1"/>
  <c r="F538" i="3"/>
  <c r="BB534" i="3"/>
  <c r="BF534" i="3"/>
  <c r="BJ533" i="3" s="1"/>
  <c r="BK533" i="3" s="1"/>
  <c r="BQ534" i="3"/>
  <c r="BC535" i="3" l="1"/>
  <c r="BG535" i="3" s="1"/>
  <c r="BH535" i="3" s="1"/>
  <c r="BI535" i="3" s="1"/>
  <c r="BD534" i="3"/>
  <c r="BM538" i="3"/>
  <c r="BN538" i="3"/>
  <c r="AO538" i="3"/>
  <c r="AY536" i="3"/>
  <c r="AX537" i="3"/>
  <c r="AV536" i="3"/>
  <c r="AT537" i="3"/>
  <c r="AN538" i="3"/>
  <c r="AU537" i="3"/>
  <c r="BA536" i="3"/>
  <c r="BQ536" i="3" s="1"/>
  <c r="AH538" i="3"/>
  <c r="X538" i="3"/>
  <c r="Y538" i="3"/>
  <c r="Z538" i="3" s="1"/>
  <c r="AR539" i="3"/>
  <c r="B539" i="3"/>
  <c r="AQ539" i="3"/>
  <c r="A540" i="3"/>
  <c r="C539" i="3"/>
  <c r="AM539" i="3"/>
  <c r="S539" i="3"/>
  <c r="Q539" i="3"/>
  <c r="D539" i="3"/>
  <c r="AK539" i="3"/>
  <c r="AD539" i="3"/>
  <c r="R539" i="3"/>
  <c r="P539" i="3"/>
  <c r="O539" i="3"/>
  <c r="M539" i="3"/>
  <c r="AE539" i="3"/>
  <c r="AF539" i="3"/>
  <c r="U539" i="3"/>
  <c r="V539" i="3"/>
  <c r="F539" i="3"/>
  <c r="G539" i="3"/>
  <c r="H539" i="3" s="1"/>
  <c r="T539" i="3"/>
  <c r="BF535" i="3"/>
  <c r="BJ534" i="3" s="1"/>
  <c r="BK534" i="3" s="1"/>
  <c r="BQ535" i="3"/>
  <c r="BB535" i="3"/>
  <c r="AG538" i="3"/>
  <c r="AW537" i="3"/>
  <c r="BD535" i="3" l="1"/>
  <c r="AO539" i="3"/>
  <c r="BC536" i="3"/>
  <c r="BG536" i="3" s="1"/>
  <c r="BH536" i="3" s="1"/>
  <c r="BI536" i="3" s="1"/>
  <c r="BN539" i="3"/>
  <c r="AV537" i="3"/>
  <c r="AY537" i="3"/>
  <c r="AW538" i="3"/>
  <c r="BM539" i="3"/>
  <c r="BB536" i="3"/>
  <c r="BF536" i="3"/>
  <c r="BJ535" i="3" s="1"/>
  <c r="BK535" i="3" s="1"/>
  <c r="AG539" i="3"/>
  <c r="Y539" i="3"/>
  <c r="Z539" i="3" s="1"/>
  <c r="AT538" i="3"/>
  <c r="AH539" i="3"/>
  <c r="X539" i="3"/>
  <c r="AU538" i="3"/>
  <c r="AX538" i="3"/>
  <c r="B540" i="3"/>
  <c r="AQ540" i="3"/>
  <c r="AR540" i="3"/>
  <c r="A541" i="3"/>
  <c r="C540" i="3"/>
  <c r="D540" i="3"/>
  <c r="S540" i="3"/>
  <c r="Q540" i="3"/>
  <c r="AM540" i="3"/>
  <c r="AK540" i="3"/>
  <c r="T540" i="3"/>
  <c r="AD540" i="3"/>
  <c r="P540" i="3"/>
  <c r="O540" i="3"/>
  <c r="AE540" i="3"/>
  <c r="AF540" i="3"/>
  <c r="M540" i="3"/>
  <c r="V540" i="3"/>
  <c r="U540" i="3"/>
  <c r="R540" i="3"/>
  <c r="F540" i="3"/>
  <c r="BM540" i="3" s="1"/>
  <c r="G540" i="3"/>
  <c r="H540" i="3" s="1"/>
  <c r="BN540" i="3" s="1"/>
  <c r="AN539" i="3"/>
  <c r="BA537" i="3"/>
  <c r="BD536" i="3" l="1"/>
  <c r="BC537" i="3"/>
  <c r="AY538" i="3"/>
  <c r="AT539" i="3"/>
  <c r="AO540" i="3"/>
  <c r="AU539" i="3"/>
  <c r="AW539" i="3"/>
  <c r="BB537" i="3"/>
  <c r="BF537" i="3"/>
  <c r="BQ537" i="3"/>
  <c r="AV538" i="3"/>
  <c r="BA538" i="3"/>
  <c r="AH540" i="3"/>
  <c r="AG540" i="3"/>
  <c r="AN540" i="3"/>
  <c r="X540" i="3"/>
  <c r="Y540" i="3"/>
  <c r="Z540" i="3" s="1"/>
  <c r="AQ541" i="3"/>
  <c r="B541" i="3"/>
  <c r="A542" i="3"/>
  <c r="AR541" i="3"/>
  <c r="C541" i="3"/>
  <c r="D541" i="3"/>
  <c r="AM541" i="3"/>
  <c r="S541" i="3"/>
  <c r="Q541" i="3"/>
  <c r="AK541" i="3"/>
  <c r="R541" i="3"/>
  <c r="P541" i="3"/>
  <c r="AD541" i="3"/>
  <c r="O541" i="3"/>
  <c r="AE541" i="3"/>
  <c r="U541" i="3"/>
  <c r="M541" i="3"/>
  <c r="AF541" i="3"/>
  <c r="V541" i="3"/>
  <c r="G541" i="3"/>
  <c r="H541" i="3" s="1"/>
  <c r="F541" i="3"/>
  <c r="T541" i="3"/>
  <c r="AX539" i="3"/>
  <c r="BM541" i="3" l="1"/>
  <c r="BN541" i="3"/>
  <c r="BC538" i="3"/>
  <c r="BD538" i="3" s="1"/>
  <c r="BG537" i="3"/>
  <c r="BH537" i="3" s="1"/>
  <c r="BI537" i="3" s="1"/>
  <c r="BD537" i="3"/>
  <c r="AV539" i="3"/>
  <c r="AO541" i="3"/>
  <c r="AU540" i="3"/>
  <c r="AY539" i="3"/>
  <c r="B542" i="3"/>
  <c r="A543" i="3"/>
  <c r="AQ542" i="3"/>
  <c r="AR542" i="3"/>
  <c r="C542" i="3"/>
  <c r="D542" i="3"/>
  <c r="AM542" i="3"/>
  <c r="AK542" i="3"/>
  <c r="Q542" i="3"/>
  <c r="R542" i="3"/>
  <c r="S542" i="3"/>
  <c r="AD542" i="3"/>
  <c r="P542" i="3"/>
  <c r="O542" i="3"/>
  <c r="AE542" i="3"/>
  <c r="AF542" i="3"/>
  <c r="M542" i="3"/>
  <c r="V542" i="3"/>
  <c r="U542" i="3"/>
  <c r="G542" i="3"/>
  <c r="H542" i="3" s="1"/>
  <c r="F542" i="3"/>
  <c r="BM542" i="3" s="1"/>
  <c r="T542" i="3"/>
  <c r="BJ536" i="3"/>
  <c r="BK536" i="3" s="1"/>
  <c r="Y541" i="3"/>
  <c r="Z541" i="3" s="1"/>
  <c r="BA539" i="3"/>
  <c r="AG541" i="3"/>
  <c r="AH541" i="3"/>
  <c r="AN541" i="3"/>
  <c r="X541" i="3"/>
  <c r="AT540" i="3"/>
  <c r="AW540" i="3"/>
  <c r="BQ538" i="3"/>
  <c r="BF538" i="3"/>
  <c r="BJ537" i="3" s="1"/>
  <c r="BK537" i="3" s="1"/>
  <c r="BB538" i="3"/>
  <c r="AX540" i="3"/>
  <c r="BN542" i="3" l="1"/>
  <c r="BG538" i="3"/>
  <c r="BH538" i="3" s="1"/>
  <c r="BI538" i="3" s="1"/>
  <c r="AO542" i="3"/>
  <c r="BC539" i="3"/>
  <c r="BD539" i="3" s="1"/>
  <c r="AV540" i="3"/>
  <c r="AU541" i="3"/>
  <c r="Y542" i="3"/>
  <c r="Z542" i="3" s="1"/>
  <c r="BA540" i="3"/>
  <c r="AY540" i="3"/>
  <c r="BQ539" i="3"/>
  <c r="BB539" i="3"/>
  <c r="BF539" i="3"/>
  <c r="BJ538" i="3" s="1"/>
  <c r="BK538" i="3" s="1"/>
  <c r="AX541" i="3"/>
  <c r="AG542" i="3"/>
  <c r="AN542" i="3"/>
  <c r="X542" i="3"/>
  <c r="AR543" i="3"/>
  <c r="B543" i="3"/>
  <c r="AQ543" i="3"/>
  <c r="A544" i="3"/>
  <c r="C543" i="3"/>
  <c r="AM543" i="3"/>
  <c r="AK543" i="3"/>
  <c r="D543" i="3"/>
  <c r="S543" i="3"/>
  <c r="AD543" i="3"/>
  <c r="Q543" i="3"/>
  <c r="P543" i="3"/>
  <c r="AF543" i="3"/>
  <c r="U543" i="3"/>
  <c r="O543" i="3"/>
  <c r="M543" i="3"/>
  <c r="AE543" i="3"/>
  <c r="V543" i="3"/>
  <c r="R543" i="3"/>
  <c r="F543" i="3"/>
  <c r="G543" i="3"/>
  <c r="H543" i="3" s="1"/>
  <c r="T543" i="3"/>
  <c r="AW541" i="3"/>
  <c r="AT541" i="3"/>
  <c r="AH542" i="3"/>
  <c r="AY541" i="3" l="1"/>
  <c r="BG539" i="3"/>
  <c r="BH539" i="3" s="1"/>
  <c r="BI539" i="3" s="1"/>
  <c r="BN543" i="3"/>
  <c r="BC540" i="3"/>
  <c r="BD540" i="3" s="1"/>
  <c r="AO543" i="3"/>
  <c r="AX542" i="3"/>
  <c r="AT542" i="3"/>
  <c r="AV541" i="3"/>
  <c r="BA541" i="3"/>
  <c r="B544" i="3"/>
  <c r="AQ544" i="3"/>
  <c r="AR544" i="3"/>
  <c r="A545" i="3"/>
  <c r="C544" i="3"/>
  <c r="D544" i="3"/>
  <c r="AK544" i="3"/>
  <c r="S544" i="3"/>
  <c r="AM544" i="3"/>
  <c r="R544" i="3"/>
  <c r="Q544" i="3"/>
  <c r="AD544" i="3"/>
  <c r="P544" i="3"/>
  <c r="M544" i="3"/>
  <c r="AE544" i="3"/>
  <c r="AF544" i="3"/>
  <c r="V544" i="3"/>
  <c r="O544" i="3"/>
  <c r="U544" i="3"/>
  <c r="F544" i="3"/>
  <c r="G544" i="3"/>
  <c r="H544" i="3" s="1"/>
  <c r="T544" i="3"/>
  <c r="BF540" i="3"/>
  <c r="BJ539" i="3" s="1"/>
  <c r="BK539" i="3" s="1"/>
  <c r="BB540" i="3"/>
  <c r="BQ540" i="3"/>
  <c r="AG543" i="3"/>
  <c r="Y543" i="3"/>
  <c r="Z543" i="3" s="1"/>
  <c r="BM543" i="3"/>
  <c r="AH543" i="3"/>
  <c r="AN543" i="3"/>
  <c r="AU542" i="3"/>
  <c r="X543" i="3"/>
  <c r="AW542" i="3"/>
  <c r="BC541" i="3" l="1"/>
  <c r="BG541" i="3" s="1"/>
  <c r="BH541" i="3" s="1"/>
  <c r="BI541" i="3" s="1"/>
  <c r="AN544" i="3"/>
  <c r="BM544" i="3"/>
  <c r="AY542" i="3"/>
  <c r="BG540" i="3"/>
  <c r="BH540" i="3" s="1"/>
  <c r="BI540" i="3" s="1"/>
  <c r="AT543" i="3"/>
  <c r="BA542" i="3"/>
  <c r="BF542" i="3" s="1"/>
  <c r="Y544" i="3"/>
  <c r="Z544" i="3" s="1"/>
  <c r="AX543" i="3"/>
  <c r="AU543" i="3"/>
  <c r="AW543" i="3"/>
  <c r="BN544" i="3"/>
  <c r="AG544" i="3"/>
  <c r="AO544" i="3"/>
  <c r="X544" i="3"/>
  <c r="AV542" i="3"/>
  <c r="AQ545" i="3"/>
  <c r="B545" i="3"/>
  <c r="A546" i="3"/>
  <c r="AR545" i="3"/>
  <c r="D545" i="3"/>
  <c r="AM545" i="3"/>
  <c r="C545" i="3"/>
  <c r="AK545" i="3"/>
  <c r="T545" i="3"/>
  <c r="S545" i="3"/>
  <c r="R545" i="3"/>
  <c r="AD545" i="3"/>
  <c r="Q545" i="3"/>
  <c r="P545" i="3"/>
  <c r="U545" i="3"/>
  <c r="O545" i="3"/>
  <c r="AF545" i="3"/>
  <c r="M545" i="3"/>
  <c r="AE545" i="3"/>
  <c r="V545" i="3"/>
  <c r="F545" i="3"/>
  <c r="G545" i="3"/>
  <c r="H545" i="3" s="1"/>
  <c r="BQ541" i="3"/>
  <c r="BB541" i="3"/>
  <c r="BF541" i="3"/>
  <c r="BJ540" i="3" s="1"/>
  <c r="BK540" i="3" s="1"/>
  <c r="AH544" i="3"/>
  <c r="BD541" i="3" l="1"/>
  <c r="BM545" i="3"/>
  <c r="AV543" i="3"/>
  <c r="BC542" i="3"/>
  <c r="BG542" i="3" s="1"/>
  <c r="BH542" i="3" s="1"/>
  <c r="BI542" i="3" s="1"/>
  <c r="AO545" i="3"/>
  <c r="BQ542" i="3"/>
  <c r="AX544" i="3"/>
  <c r="BB542" i="3"/>
  <c r="AU544" i="3"/>
  <c r="AG545" i="3"/>
  <c r="BA543" i="3"/>
  <c r="BF543" i="3" s="1"/>
  <c r="BN545" i="3"/>
  <c r="AH545" i="3"/>
  <c r="AN545" i="3"/>
  <c r="AW544" i="3"/>
  <c r="AY543" i="3"/>
  <c r="Y545" i="3"/>
  <c r="Z545" i="3" s="1"/>
  <c r="B546" i="3"/>
  <c r="A547" i="3"/>
  <c r="AQ546" i="3"/>
  <c r="AR546" i="3"/>
  <c r="C546" i="3"/>
  <c r="AM546" i="3"/>
  <c r="AK546" i="3"/>
  <c r="R546" i="3"/>
  <c r="D546" i="3"/>
  <c r="S546" i="3"/>
  <c r="Q546" i="3"/>
  <c r="P546" i="3"/>
  <c r="AD546" i="3"/>
  <c r="AE546" i="3"/>
  <c r="AF546" i="3"/>
  <c r="O546" i="3"/>
  <c r="M546" i="3"/>
  <c r="U546" i="3"/>
  <c r="V546" i="3"/>
  <c r="F546" i="3"/>
  <c r="G546" i="3"/>
  <c r="H546" i="3" s="1"/>
  <c r="T546" i="3"/>
  <c r="X545" i="3"/>
  <c r="AT544" i="3"/>
  <c r="BJ541" i="3"/>
  <c r="BK541" i="3" s="1"/>
  <c r="BN546" i="3" l="1"/>
  <c r="BD542" i="3"/>
  <c r="BC543" i="3"/>
  <c r="BD543" i="3" s="1"/>
  <c r="AO546" i="3"/>
  <c r="AT545" i="3"/>
  <c r="AY544" i="3"/>
  <c r="BB543" i="3"/>
  <c r="BQ543" i="3"/>
  <c r="AX545" i="3"/>
  <c r="BA544" i="3"/>
  <c r="BF544" i="3" s="1"/>
  <c r="BJ543" i="3" s="1"/>
  <c r="BK543" i="3" s="1"/>
  <c r="AU545" i="3"/>
  <c r="AR547" i="3"/>
  <c r="B547" i="3"/>
  <c r="AQ547" i="3"/>
  <c r="A548" i="3"/>
  <c r="D547" i="3"/>
  <c r="AM547" i="3"/>
  <c r="T547" i="3"/>
  <c r="C547" i="3"/>
  <c r="AK547" i="3"/>
  <c r="S547" i="3"/>
  <c r="R547" i="3"/>
  <c r="AD547" i="3"/>
  <c r="Q547" i="3"/>
  <c r="P547" i="3"/>
  <c r="M547" i="3"/>
  <c r="AE547" i="3"/>
  <c r="V547" i="3"/>
  <c r="U547" i="3"/>
  <c r="O547" i="3"/>
  <c r="AF547" i="3"/>
  <c r="G547" i="3"/>
  <c r="H547" i="3" s="1"/>
  <c r="BN547" i="3" s="1"/>
  <c r="F547" i="3"/>
  <c r="BJ542" i="3"/>
  <c r="BK542" i="3" s="1"/>
  <c r="AH546" i="3"/>
  <c r="X546" i="3"/>
  <c r="Y546" i="3"/>
  <c r="Z546" i="3" s="1"/>
  <c r="BM546" i="3"/>
  <c r="AG546" i="3"/>
  <c r="AN546" i="3"/>
  <c r="AW545" i="3"/>
  <c r="AV544" i="3"/>
  <c r="BM547" i="3" l="1"/>
  <c r="BG543" i="3"/>
  <c r="BH543" i="3" s="1"/>
  <c r="BI543" i="3" s="1"/>
  <c r="BB544" i="3"/>
  <c r="AV545" i="3"/>
  <c r="AO547" i="3"/>
  <c r="BC544" i="3"/>
  <c r="BD544" i="3" s="1"/>
  <c r="AY545" i="3"/>
  <c r="BQ544" i="3"/>
  <c r="BA545" i="3"/>
  <c r="BQ545" i="3" s="1"/>
  <c r="AH547" i="3"/>
  <c r="AT546" i="3"/>
  <c r="B548" i="3"/>
  <c r="AQ548" i="3"/>
  <c r="AR548" i="3"/>
  <c r="A549" i="3"/>
  <c r="C548" i="3"/>
  <c r="D548" i="3"/>
  <c r="AK548" i="3"/>
  <c r="AM548" i="3"/>
  <c r="T548" i="3"/>
  <c r="R548" i="3"/>
  <c r="S548" i="3"/>
  <c r="AD548" i="3"/>
  <c r="P548" i="3"/>
  <c r="M548" i="3"/>
  <c r="AF548" i="3"/>
  <c r="V548" i="3"/>
  <c r="O548" i="3"/>
  <c r="AE548" i="3"/>
  <c r="U548" i="3"/>
  <c r="G548" i="3"/>
  <c r="H548" i="3" s="1"/>
  <c r="Q548" i="3"/>
  <c r="F548" i="3"/>
  <c r="AU546" i="3"/>
  <c r="AW546" i="3"/>
  <c r="AG547" i="3"/>
  <c r="X547" i="3"/>
  <c r="AN547" i="3"/>
  <c r="Y547" i="3"/>
  <c r="Z547" i="3" s="1"/>
  <c r="AX546" i="3"/>
  <c r="BN548" i="3" l="1"/>
  <c r="BC545" i="3"/>
  <c r="BD545" i="3" s="1"/>
  <c r="AV546" i="3"/>
  <c r="BB545" i="3"/>
  <c r="BG544" i="3"/>
  <c r="BH544" i="3" s="1"/>
  <c r="BI544" i="3" s="1"/>
  <c r="AO548" i="3"/>
  <c r="BF545" i="3"/>
  <c r="BJ544" i="3" s="1"/>
  <c r="BK544" i="3" s="1"/>
  <c r="AX547" i="3"/>
  <c r="AU547" i="3"/>
  <c r="AT547" i="3"/>
  <c r="Y548" i="3"/>
  <c r="Z548" i="3" s="1"/>
  <c r="AQ549" i="3"/>
  <c r="B549" i="3"/>
  <c r="A550" i="3"/>
  <c r="AR549" i="3"/>
  <c r="D549" i="3"/>
  <c r="C549" i="3"/>
  <c r="AM549" i="3"/>
  <c r="Q549" i="3"/>
  <c r="R549" i="3"/>
  <c r="AK549" i="3"/>
  <c r="S549" i="3"/>
  <c r="AD549" i="3"/>
  <c r="P549" i="3"/>
  <c r="O549" i="3"/>
  <c r="M549" i="3"/>
  <c r="AE549" i="3"/>
  <c r="AF549" i="3"/>
  <c r="U549" i="3"/>
  <c r="V549" i="3"/>
  <c r="F549" i="3"/>
  <c r="G549" i="3"/>
  <c r="H549" i="3" s="1"/>
  <c r="T549" i="3"/>
  <c r="AW547" i="3"/>
  <c r="AY546" i="3"/>
  <c r="BM548" i="3"/>
  <c r="AG548" i="3"/>
  <c r="AH548" i="3"/>
  <c r="AN548" i="3"/>
  <c r="BA546" i="3"/>
  <c r="X548" i="3"/>
  <c r="BN549" i="3" l="1"/>
  <c r="BM549" i="3"/>
  <c r="AY547" i="3"/>
  <c r="BG545" i="3"/>
  <c r="BH545" i="3" s="1"/>
  <c r="BI545" i="3" s="1"/>
  <c r="BC546" i="3"/>
  <c r="BG546" i="3" s="1"/>
  <c r="BH546" i="3" s="1"/>
  <c r="BI546" i="3" s="1"/>
  <c r="AV547" i="3"/>
  <c r="AN549" i="3"/>
  <c r="AW548" i="3"/>
  <c r="AX548" i="3"/>
  <c r="BF546" i="3"/>
  <c r="BJ545" i="3" s="1"/>
  <c r="BK545" i="3" s="1"/>
  <c r="BQ546" i="3"/>
  <c r="BB546" i="3"/>
  <c r="BA547" i="3"/>
  <c r="AT548" i="3"/>
  <c r="Y549" i="3"/>
  <c r="Z549" i="3" s="1"/>
  <c r="AG549" i="3"/>
  <c r="AH549" i="3"/>
  <c r="AO549" i="3"/>
  <c r="X549" i="3"/>
  <c r="B550" i="3"/>
  <c r="A551" i="3"/>
  <c r="AQ550" i="3"/>
  <c r="AR550" i="3"/>
  <c r="D550" i="3"/>
  <c r="C550" i="3"/>
  <c r="AK550" i="3"/>
  <c r="AM550" i="3"/>
  <c r="S550" i="3"/>
  <c r="Q550" i="3"/>
  <c r="T550" i="3"/>
  <c r="R550" i="3"/>
  <c r="AD550" i="3"/>
  <c r="P550" i="3"/>
  <c r="O550" i="3"/>
  <c r="AF550" i="3"/>
  <c r="AE550" i="3"/>
  <c r="M550" i="3"/>
  <c r="U550" i="3"/>
  <c r="V550" i="3"/>
  <c r="G550" i="3"/>
  <c r="H550" i="3" s="1"/>
  <c r="BN550" i="3" s="1"/>
  <c r="F550" i="3"/>
  <c r="BM550" i="3" s="1"/>
  <c r="AU548" i="3"/>
  <c r="BC547" i="3" l="1"/>
  <c r="BG547" i="3" s="1"/>
  <c r="BH547" i="3" s="1"/>
  <c r="BI547" i="3" s="1"/>
  <c r="BD546" i="3"/>
  <c r="AU549" i="3"/>
  <c r="AN550" i="3"/>
  <c r="AY548" i="3"/>
  <c r="AV548" i="3"/>
  <c r="AT549" i="3"/>
  <c r="Y550" i="3"/>
  <c r="Z550" i="3" s="1"/>
  <c r="BB547" i="3"/>
  <c r="BF547" i="3"/>
  <c r="BJ546" i="3" s="1"/>
  <c r="BK546" i="3" s="1"/>
  <c r="BQ547" i="3"/>
  <c r="AG550" i="3"/>
  <c r="AH550" i="3"/>
  <c r="AO550" i="3"/>
  <c r="AX549" i="3"/>
  <c r="AR551" i="3"/>
  <c r="B551" i="3"/>
  <c r="AQ551" i="3"/>
  <c r="A552" i="3"/>
  <c r="D551" i="3"/>
  <c r="AM551" i="3"/>
  <c r="S551" i="3"/>
  <c r="AK551" i="3"/>
  <c r="C551" i="3"/>
  <c r="R551" i="3"/>
  <c r="Q551" i="3"/>
  <c r="AD551" i="3"/>
  <c r="P551" i="3"/>
  <c r="AE551" i="3"/>
  <c r="M551" i="3"/>
  <c r="AF551" i="3"/>
  <c r="V551" i="3"/>
  <c r="U551" i="3"/>
  <c r="O551" i="3"/>
  <c r="F551" i="3"/>
  <c r="G551" i="3"/>
  <c r="H551" i="3" s="1"/>
  <c r="T551" i="3"/>
  <c r="X550" i="3"/>
  <c r="AW549" i="3"/>
  <c r="BA548" i="3"/>
  <c r="BN551" i="3" l="1"/>
  <c r="BD547" i="3"/>
  <c r="AO551" i="3"/>
  <c r="BM551" i="3"/>
  <c r="BA549" i="3"/>
  <c r="BQ549" i="3" s="1"/>
  <c r="AV549" i="3"/>
  <c r="AT550" i="3"/>
  <c r="BC548" i="3"/>
  <c r="BD548" i="3" s="1"/>
  <c r="AN551" i="3"/>
  <c r="AU550" i="3"/>
  <c r="Y551" i="3"/>
  <c r="Z551" i="3" s="1"/>
  <c r="B552" i="3"/>
  <c r="AQ552" i="3"/>
  <c r="AR552" i="3"/>
  <c r="A553" i="3"/>
  <c r="D552" i="3"/>
  <c r="C552" i="3"/>
  <c r="AM552" i="3"/>
  <c r="AK552" i="3"/>
  <c r="S552" i="3"/>
  <c r="R552" i="3"/>
  <c r="AD552" i="3"/>
  <c r="Q552" i="3"/>
  <c r="P552" i="3"/>
  <c r="O552" i="3"/>
  <c r="AE552" i="3"/>
  <c r="M552" i="3"/>
  <c r="V552" i="3"/>
  <c r="AF552" i="3"/>
  <c r="U552" i="3"/>
  <c r="G552" i="3"/>
  <c r="H552" i="3" s="1"/>
  <c r="F552" i="3"/>
  <c r="T552" i="3"/>
  <c r="AH551" i="3"/>
  <c r="AY549" i="3"/>
  <c r="X551" i="3"/>
  <c r="AX550" i="3"/>
  <c r="BF548" i="3"/>
  <c r="BJ547" i="3" s="1"/>
  <c r="BK547" i="3" s="1"/>
  <c r="BQ548" i="3"/>
  <c r="BB548" i="3"/>
  <c r="AG551" i="3"/>
  <c r="AW550" i="3"/>
  <c r="BG548" i="3" l="1"/>
  <c r="BH548" i="3" s="1"/>
  <c r="BI548" i="3" s="1"/>
  <c r="AV550" i="3"/>
  <c r="BA550" i="3"/>
  <c r="BQ550" i="3" s="1"/>
  <c r="AG552" i="3"/>
  <c r="BB549" i="3"/>
  <c r="BF549" i="3"/>
  <c r="BJ548" i="3" s="1"/>
  <c r="BK548" i="3" s="1"/>
  <c r="BM552" i="3"/>
  <c r="BC549" i="3"/>
  <c r="BD549" i="3" s="1"/>
  <c r="AW551" i="3"/>
  <c r="AN552" i="3"/>
  <c r="AY550" i="3"/>
  <c r="AQ553" i="3"/>
  <c r="B553" i="3"/>
  <c r="A554" i="3"/>
  <c r="AR553" i="3"/>
  <c r="D553" i="3"/>
  <c r="AK553" i="3"/>
  <c r="R553" i="3"/>
  <c r="C553" i="3"/>
  <c r="AM553" i="3"/>
  <c r="S553" i="3"/>
  <c r="Q553" i="3"/>
  <c r="AD553" i="3"/>
  <c r="P553" i="3"/>
  <c r="O553" i="3"/>
  <c r="M553" i="3"/>
  <c r="AE553" i="3"/>
  <c r="AF553" i="3"/>
  <c r="U553" i="3"/>
  <c r="V553" i="3"/>
  <c r="G553" i="3"/>
  <c r="H553" i="3" s="1"/>
  <c r="F553" i="3"/>
  <c r="T553" i="3"/>
  <c r="AU551" i="3"/>
  <c r="AX551" i="3"/>
  <c r="AT551" i="3"/>
  <c r="Y552" i="3"/>
  <c r="Z552" i="3" s="1"/>
  <c r="BN552" i="3"/>
  <c r="AH552" i="3"/>
  <c r="AO552" i="3"/>
  <c r="X552" i="3"/>
  <c r="BC550" i="3" l="1"/>
  <c r="BG550" i="3" s="1"/>
  <c r="BH550" i="3" s="1"/>
  <c r="BI550" i="3" s="1"/>
  <c r="BB550" i="3"/>
  <c r="BF550" i="3"/>
  <c r="BJ549" i="3" s="1"/>
  <c r="BK549" i="3" s="1"/>
  <c r="AU552" i="3"/>
  <c r="BG549" i="3"/>
  <c r="BH549" i="3" s="1"/>
  <c r="BI549" i="3" s="1"/>
  <c r="BM553" i="3"/>
  <c r="BN553" i="3"/>
  <c r="AG553" i="3"/>
  <c r="AT552" i="3"/>
  <c r="AW552" i="3"/>
  <c r="AY551" i="3"/>
  <c r="Y553" i="3"/>
  <c r="Z553" i="3" s="1"/>
  <c r="AO553" i="3"/>
  <c r="AN553" i="3"/>
  <c r="BA551" i="3"/>
  <c r="AV551" i="3"/>
  <c r="AH553" i="3"/>
  <c r="X553" i="3"/>
  <c r="B554" i="3"/>
  <c r="A555" i="3"/>
  <c r="AR554" i="3"/>
  <c r="AQ554" i="3"/>
  <c r="D554" i="3"/>
  <c r="AK554" i="3"/>
  <c r="AM554" i="3"/>
  <c r="R554" i="3"/>
  <c r="C554" i="3"/>
  <c r="Q554" i="3"/>
  <c r="AD554" i="3"/>
  <c r="S554" i="3"/>
  <c r="P554" i="3"/>
  <c r="O554" i="3"/>
  <c r="AF554" i="3"/>
  <c r="U554" i="3"/>
  <c r="V554" i="3"/>
  <c r="M554" i="3"/>
  <c r="AE554" i="3"/>
  <c r="F554" i="3"/>
  <c r="G554" i="3"/>
  <c r="H554" i="3" s="1"/>
  <c r="BN554" i="3" s="1"/>
  <c r="T554" i="3"/>
  <c r="AX552" i="3"/>
  <c r="BD550" i="3" l="1"/>
  <c r="AV552" i="3"/>
  <c r="BM554" i="3"/>
  <c r="AU553" i="3"/>
  <c r="AT553" i="3"/>
  <c r="AG554" i="3"/>
  <c r="BC551" i="3"/>
  <c r="BD551" i="3" s="1"/>
  <c r="AY552" i="3"/>
  <c r="AX553" i="3"/>
  <c r="AO554" i="3"/>
  <c r="Y554" i="3"/>
  <c r="Z554" i="3" s="1"/>
  <c r="BB551" i="3"/>
  <c r="BQ551" i="3"/>
  <c r="BF551" i="3"/>
  <c r="BJ550" i="3" s="1"/>
  <c r="BK550" i="3" s="1"/>
  <c r="AH554" i="3"/>
  <c r="X554" i="3"/>
  <c r="AN554" i="3"/>
  <c r="AW553" i="3"/>
  <c r="AR555" i="3"/>
  <c r="B555" i="3"/>
  <c r="AQ555" i="3"/>
  <c r="A556" i="3"/>
  <c r="D555" i="3"/>
  <c r="C555" i="3"/>
  <c r="AK555" i="3"/>
  <c r="AM555" i="3"/>
  <c r="R555" i="3"/>
  <c r="T555" i="3"/>
  <c r="Q555" i="3"/>
  <c r="S555" i="3"/>
  <c r="AD555" i="3"/>
  <c r="P555" i="3"/>
  <c r="O555" i="3"/>
  <c r="M555" i="3"/>
  <c r="AF555" i="3"/>
  <c r="V555" i="3"/>
  <c r="AE555" i="3"/>
  <c r="U555" i="3"/>
  <c r="F555" i="3"/>
  <c r="G555" i="3"/>
  <c r="H555" i="3" s="1"/>
  <c r="BA552" i="3"/>
  <c r="BC552" i="3" l="1"/>
  <c r="BD552" i="3" s="1"/>
  <c r="AY553" i="3"/>
  <c r="AV553" i="3"/>
  <c r="BM555" i="3"/>
  <c r="BA553" i="3"/>
  <c r="BF553" i="3" s="1"/>
  <c r="BN555" i="3"/>
  <c r="BG551" i="3"/>
  <c r="BH551" i="3" s="1"/>
  <c r="BI551" i="3" s="1"/>
  <c r="AT554" i="3"/>
  <c r="AU554" i="3"/>
  <c r="AG555" i="3"/>
  <c r="AN555" i="3"/>
  <c r="AO555" i="3"/>
  <c r="BQ552" i="3"/>
  <c r="BF552" i="3"/>
  <c r="BJ551" i="3" s="1"/>
  <c r="BK551" i="3" s="1"/>
  <c r="BB552" i="3"/>
  <c r="B556" i="3"/>
  <c r="AQ556" i="3"/>
  <c r="AR556" i="3"/>
  <c r="A557" i="3"/>
  <c r="D556" i="3"/>
  <c r="AK556" i="3"/>
  <c r="S556" i="3"/>
  <c r="R556" i="3"/>
  <c r="C556" i="3"/>
  <c r="AM556" i="3"/>
  <c r="Q556" i="3"/>
  <c r="P556" i="3"/>
  <c r="AD556" i="3"/>
  <c r="O556" i="3"/>
  <c r="M556" i="3"/>
  <c r="AE556" i="3"/>
  <c r="AF556" i="3"/>
  <c r="V556" i="3"/>
  <c r="U556" i="3"/>
  <c r="G556" i="3"/>
  <c r="H556" i="3" s="1"/>
  <c r="F556" i="3"/>
  <c r="T556" i="3"/>
  <c r="X555" i="3"/>
  <c r="AX554" i="3"/>
  <c r="Y555" i="3"/>
  <c r="Z555" i="3" s="1"/>
  <c r="AH555" i="3"/>
  <c r="AW554" i="3"/>
  <c r="BM556" i="3" l="1"/>
  <c r="BG552" i="3"/>
  <c r="BH552" i="3" s="1"/>
  <c r="BI552" i="3" s="1"/>
  <c r="BC553" i="3"/>
  <c r="BG553" i="3" s="1"/>
  <c r="BH553" i="3" s="1"/>
  <c r="BI553" i="3" s="1"/>
  <c r="BQ553" i="3"/>
  <c r="BN556" i="3"/>
  <c r="BB553" i="3"/>
  <c r="AV554" i="3"/>
  <c r="Y556" i="3"/>
  <c r="Z556" i="3" s="1"/>
  <c r="AT555" i="3"/>
  <c r="AX555" i="3"/>
  <c r="AG556" i="3"/>
  <c r="BA554" i="3"/>
  <c r="BB554" i="3" s="1"/>
  <c r="AO556" i="3"/>
  <c r="AN556" i="3"/>
  <c r="AY554" i="3"/>
  <c r="AU555" i="3"/>
  <c r="AW555" i="3"/>
  <c r="AH556" i="3"/>
  <c r="X556" i="3"/>
  <c r="BJ552" i="3"/>
  <c r="BK552" i="3" s="1"/>
  <c r="AQ557" i="3"/>
  <c r="B557" i="3"/>
  <c r="A558" i="3"/>
  <c r="AR557" i="3"/>
  <c r="D557" i="3"/>
  <c r="C557" i="3"/>
  <c r="T557" i="3"/>
  <c r="S557" i="3"/>
  <c r="AK557" i="3"/>
  <c r="AM557" i="3"/>
  <c r="R557" i="3"/>
  <c r="AD557" i="3"/>
  <c r="P557" i="3"/>
  <c r="O557" i="3"/>
  <c r="M557" i="3"/>
  <c r="AF557" i="3"/>
  <c r="V557" i="3"/>
  <c r="U557" i="3"/>
  <c r="AE557" i="3"/>
  <c r="Q557" i="3"/>
  <c r="G557" i="3"/>
  <c r="H557" i="3" s="1"/>
  <c r="F557" i="3"/>
  <c r="BN557" i="3" l="1"/>
  <c r="BM557" i="3"/>
  <c r="BD553" i="3"/>
  <c r="BC554" i="3"/>
  <c r="BG554" i="3" s="1"/>
  <c r="BH554" i="3" s="1"/>
  <c r="BI554" i="3" s="1"/>
  <c r="AV555" i="3"/>
  <c r="AT556" i="3"/>
  <c r="AU556" i="3"/>
  <c r="AO557" i="3"/>
  <c r="AG557" i="3"/>
  <c r="BF554" i="3"/>
  <c r="BJ553" i="3" s="1"/>
  <c r="BK553" i="3" s="1"/>
  <c r="BQ554" i="3"/>
  <c r="Y557" i="3"/>
  <c r="Z557" i="3" s="1"/>
  <c r="B558" i="3"/>
  <c r="A559" i="3"/>
  <c r="AQ558" i="3"/>
  <c r="AR558" i="3"/>
  <c r="D558" i="3"/>
  <c r="AM558" i="3"/>
  <c r="T558" i="3"/>
  <c r="S558" i="3"/>
  <c r="Q558" i="3"/>
  <c r="C558" i="3"/>
  <c r="AK558" i="3"/>
  <c r="AD558" i="3"/>
  <c r="R558" i="3"/>
  <c r="P558" i="3"/>
  <c r="O558" i="3"/>
  <c r="M558" i="3"/>
  <c r="AE558" i="3"/>
  <c r="V558" i="3"/>
  <c r="U558" i="3"/>
  <c r="AF558" i="3"/>
  <c r="G558" i="3"/>
  <c r="H558" i="3" s="1"/>
  <c r="BN558" i="3" s="1"/>
  <c r="F558" i="3"/>
  <c r="BA555" i="3"/>
  <c r="AY555" i="3"/>
  <c r="AH557" i="3"/>
  <c r="AN557" i="3"/>
  <c r="X557" i="3"/>
  <c r="AX556" i="3"/>
  <c r="AW556" i="3"/>
  <c r="BM558" i="3" l="1"/>
  <c r="BD554" i="3"/>
  <c r="AU557" i="3"/>
  <c r="AN558" i="3"/>
  <c r="BC555" i="3"/>
  <c r="BG555" i="3" s="1"/>
  <c r="BH555" i="3" s="1"/>
  <c r="BI555" i="3" s="1"/>
  <c r="AV556" i="3"/>
  <c r="AX557" i="3"/>
  <c r="AH558" i="3"/>
  <c r="BA556" i="3"/>
  <c r="BF556" i="3" s="1"/>
  <c r="BQ555" i="3"/>
  <c r="BB555" i="3"/>
  <c r="BF555" i="3"/>
  <c r="BJ554" i="3" s="1"/>
  <c r="BK554" i="3" s="1"/>
  <c r="Y558" i="3"/>
  <c r="Z558" i="3" s="1"/>
  <c r="AY556" i="3"/>
  <c r="AT557" i="3"/>
  <c r="AW557" i="3"/>
  <c r="AG558" i="3"/>
  <c r="AO558" i="3"/>
  <c r="AR559" i="3"/>
  <c r="B559" i="3"/>
  <c r="AQ559" i="3"/>
  <c r="A560" i="3"/>
  <c r="C559" i="3"/>
  <c r="D559" i="3"/>
  <c r="AK559" i="3"/>
  <c r="AM559" i="3"/>
  <c r="S559" i="3"/>
  <c r="R559" i="3"/>
  <c r="T559" i="3"/>
  <c r="AD559" i="3"/>
  <c r="Q559" i="3"/>
  <c r="O559" i="3"/>
  <c r="AE559" i="3"/>
  <c r="AF559" i="3"/>
  <c r="M559" i="3"/>
  <c r="V559" i="3"/>
  <c r="U559" i="3"/>
  <c r="P559" i="3"/>
  <c r="G559" i="3"/>
  <c r="H559" i="3" s="1"/>
  <c r="F559" i="3"/>
  <c r="X558" i="3"/>
  <c r="BC556" i="3" l="1"/>
  <c r="BD556" i="3" s="1"/>
  <c r="BD555" i="3"/>
  <c r="BN559" i="3"/>
  <c r="BM559" i="3"/>
  <c r="AY557" i="3"/>
  <c r="AO559" i="3"/>
  <c r="AU558" i="3"/>
  <c r="AG559" i="3"/>
  <c r="AT558" i="3"/>
  <c r="BB556" i="3"/>
  <c r="BQ556" i="3"/>
  <c r="Y559" i="3"/>
  <c r="Z559" i="3" s="1"/>
  <c r="B560" i="3"/>
  <c r="AQ560" i="3"/>
  <c r="AR560" i="3"/>
  <c r="A561" i="3"/>
  <c r="C560" i="3"/>
  <c r="AM560" i="3"/>
  <c r="AK560" i="3"/>
  <c r="D560" i="3"/>
  <c r="T560" i="3"/>
  <c r="S560" i="3"/>
  <c r="Q560" i="3"/>
  <c r="R560" i="3"/>
  <c r="AD560" i="3"/>
  <c r="O560" i="3"/>
  <c r="P560" i="3"/>
  <c r="AE560" i="3"/>
  <c r="U560" i="3"/>
  <c r="AF560" i="3"/>
  <c r="M560" i="3"/>
  <c r="V560" i="3"/>
  <c r="G560" i="3"/>
  <c r="H560" i="3" s="1"/>
  <c r="F560" i="3"/>
  <c r="AV557" i="3"/>
  <c r="BA557" i="3"/>
  <c r="AH559" i="3"/>
  <c r="AN559" i="3"/>
  <c r="AW558" i="3"/>
  <c r="AX558" i="3"/>
  <c r="BJ555" i="3"/>
  <c r="BK555" i="3" s="1"/>
  <c r="X559" i="3"/>
  <c r="BG556" i="3" l="1"/>
  <c r="BH556" i="3" s="1"/>
  <c r="BI556" i="3" s="1"/>
  <c r="AV558" i="3"/>
  <c r="BC557" i="3"/>
  <c r="BG557" i="3" s="1"/>
  <c r="BH557" i="3" s="1"/>
  <c r="BI557" i="3" s="1"/>
  <c r="BM560" i="3"/>
  <c r="AT559" i="3"/>
  <c r="AN560" i="3"/>
  <c r="AG560" i="3"/>
  <c r="AW559" i="3"/>
  <c r="AX559" i="3"/>
  <c r="BF557" i="3"/>
  <c r="BJ556" i="3" s="1"/>
  <c r="BK556" i="3" s="1"/>
  <c r="BQ557" i="3"/>
  <c r="BB557" i="3"/>
  <c r="AU559" i="3"/>
  <c r="AY558" i="3"/>
  <c r="BA558" i="3"/>
  <c r="BN560" i="3"/>
  <c r="AH560" i="3"/>
  <c r="AO560" i="3"/>
  <c r="X560" i="3"/>
  <c r="Y560" i="3"/>
  <c r="Z560" i="3" s="1"/>
  <c r="AQ561" i="3"/>
  <c r="B561" i="3"/>
  <c r="A562" i="3"/>
  <c r="AR561" i="3"/>
  <c r="D561" i="3"/>
  <c r="C561" i="3"/>
  <c r="S561" i="3"/>
  <c r="R561" i="3"/>
  <c r="AM561" i="3"/>
  <c r="AK561" i="3"/>
  <c r="Q561" i="3"/>
  <c r="P561" i="3"/>
  <c r="AD561" i="3"/>
  <c r="O561" i="3"/>
  <c r="M561" i="3"/>
  <c r="AE561" i="3"/>
  <c r="V561" i="3"/>
  <c r="U561" i="3"/>
  <c r="AF561" i="3"/>
  <c r="G561" i="3"/>
  <c r="H561" i="3" s="1"/>
  <c r="F561" i="3"/>
  <c r="T561" i="3"/>
  <c r="BC558" i="3" l="1"/>
  <c r="BD558" i="3" s="1"/>
  <c r="BD557" i="3"/>
  <c r="AV559" i="3"/>
  <c r="AU560" i="3"/>
  <c r="AO561" i="3"/>
  <c r="BN561" i="3"/>
  <c r="BM561" i="3"/>
  <c r="Y561" i="3"/>
  <c r="Z561" i="3" s="1"/>
  <c r="AG561" i="3"/>
  <c r="AT560" i="3"/>
  <c r="BA559" i="3"/>
  <c r="BQ559" i="3" s="1"/>
  <c r="B562" i="3"/>
  <c r="A563" i="3"/>
  <c r="AQ562" i="3"/>
  <c r="AR562" i="3"/>
  <c r="C562" i="3"/>
  <c r="AM562" i="3"/>
  <c r="T562" i="3"/>
  <c r="S562" i="3"/>
  <c r="D562" i="3"/>
  <c r="AK562" i="3"/>
  <c r="Q562" i="3"/>
  <c r="AD562" i="3"/>
  <c r="P562" i="3"/>
  <c r="O562" i="3"/>
  <c r="M562" i="3"/>
  <c r="AF562" i="3"/>
  <c r="V562" i="3"/>
  <c r="U562" i="3"/>
  <c r="AE562" i="3"/>
  <c r="R562" i="3"/>
  <c r="F562" i="3"/>
  <c r="BM562" i="3" s="1"/>
  <c r="G562" i="3"/>
  <c r="H562" i="3" s="1"/>
  <c r="BB558" i="3"/>
  <c r="BF558" i="3"/>
  <c r="BJ557" i="3" s="1"/>
  <c r="BK557" i="3" s="1"/>
  <c r="BQ558" i="3"/>
  <c r="AH561" i="3"/>
  <c r="AN561" i="3"/>
  <c r="AX560" i="3"/>
  <c r="AW560" i="3"/>
  <c r="AY559" i="3"/>
  <c r="X561" i="3"/>
  <c r="BC559" i="3" l="1"/>
  <c r="BG559" i="3" s="1"/>
  <c r="BH559" i="3" s="1"/>
  <c r="BI559" i="3" s="1"/>
  <c r="BG558" i="3"/>
  <c r="BH558" i="3" s="1"/>
  <c r="BI558" i="3" s="1"/>
  <c r="AV560" i="3"/>
  <c r="AO562" i="3"/>
  <c r="AT561" i="3"/>
  <c r="BN562" i="3"/>
  <c r="BA560" i="3"/>
  <c r="BQ560" i="3" s="1"/>
  <c r="AX561" i="3"/>
  <c r="BF559" i="3"/>
  <c r="BJ558" i="3" s="1"/>
  <c r="BK558" i="3" s="1"/>
  <c r="BB559" i="3"/>
  <c r="AY560" i="3"/>
  <c r="Y562" i="3"/>
  <c r="Z562" i="3" s="1"/>
  <c r="AW561" i="3"/>
  <c r="AU561" i="3"/>
  <c r="AG562" i="3"/>
  <c r="X562" i="3"/>
  <c r="AR563" i="3"/>
  <c r="B563" i="3"/>
  <c r="AQ563" i="3"/>
  <c r="A564" i="3"/>
  <c r="C563" i="3"/>
  <c r="S563" i="3"/>
  <c r="D563" i="3"/>
  <c r="AM563" i="3"/>
  <c r="AK563" i="3"/>
  <c r="AD563" i="3"/>
  <c r="P563" i="3"/>
  <c r="R563" i="3"/>
  <c r="O563" i="3"/>
  <c r="AE563" i="3"/>
  <c r="M563" i="3"/>
  <c r="AF563" i="3"/>
  <c r="V563" i="3"/>
  <c r="U563" i="3"/>
  <c r="F563" i="3"/>
  <c r="G563" i="3"/>
  <c r="H563" i="3" s="1"/>
  <c r="Q563" i="3"/>
  <c r="T563" i="3"/>
  <c r="AH562" i="3"/>
  <c r="AN562" i="3"/>
  <c r="BD559" i="3" l="1"/>
  <c r="BF560" i="3"/>
  <c r="BJ559" i="3" s="1"/>
  <c r="BK559" i="3" s="1"/>
  <c r="BC560" i="3"/>
  <c r="BG560" i="3" s="1"/>
  <c r="BH560" i="3" s="1"/>
  <c r="BI560" i="3" s="1"/>
  <c r="BM563" i="3"/>
  <c r="BN563" i="3"/>
  <c r="AY561" i="3"/>
  <c r="BB560" i="3"/>
  <c r="AX562" i="3"/>
  <c r="AO563" i="3"/>
  <c r="AH563" i="3"/>
  <c r="Y563" i="3"/>
  <c r="Z563" i="3" s="1"/>
  <c r="BA561" i="3"/>
  <c r="BQ561" i="3" s="1"/>
  <c r="AT562" i="3"/>
  <c r="X563" i="3"/>
  <c r="AU562" i="3"/>
  <c r="AW562" i="3"/>
  <c r="AV561" i="3"/>
  <c r="B564" i="3"/>
  <c r="AQ564" i="3"/>
  <c r="AR564" i="3"/>
  <c r="A565" i="3"/>
  <c r="C564" i="3"/>
  <c r="D564" i="3"/>
  <c r="AK564" i="3"/>
  <c r="AM564" i="3"/>
  <c r="S564" i="3"/>
  <c r="Q564" i="3"/>
  <c r="R564" i="3"/>
  <c r="P564" i="3"/>
  <c r="AD564" i="3"/>
  <c r="AE564" i="3"/>
  <c r="AF564" i="3"/>
  <c r="U564" i="3"/>
  <c r="O564" i="3"/>
  <c r="M564" i="3"/>
  <c r="V564" i="3"/>
  <c r="G564" i="3"/>
  <c r="H564" i="3" s="1"/>
  <c r="F564" i="3"/>
  <c r="T564" i="3"/>
  <c r="AG563" i="3"/>
  <c r="AN563" i="3"/>
  <c r="BM564" i="3" l="1"/>
  <c r="BC561" i="3"/>
  <c r="BG561" i="3" s="1"/>
  <c r="BH561" i="3" s="1"/>
  <c r="BI561" i="3" s="1"/>
  <c r="BD560" i="3"/>
  <c r="AY562" i="3"/>
  <c r="BN564" i="3"/>
  <c r="AV562" i="3"/>
  <c r="AN564" i="3"/>
  <c r="AW563" i="3"/>
  <c r="AX563" i="3"/>
  <c r="Y564" i="3"/>
  <c r="Z564" i="3" s="1"/>
  <c r="AG564" i="3"/>
  <c r="BF561" i="3"/>
  <c r="BJ560" i="3" s="1"/>
  <c r="BK560" i="3" s="1"/>
  <c r="BB561" i="3"/>
  <c r="AH564" i="3"/>
  <c r="AO564" i="3"/>
  <c r="X564" i="3"/>
  <c r="AU563" i="3"/>
  <c r="AQ565" i="3"/>
  <c r="B565" i="3"/>
  <c r="A566" i="3"/>
  <c r="AR565" i="3"/>
  <c r="D565" i="3"/>
  <c r="C565" i="3"/>
  <c r="AK565" i="3"/>
  <c r="AM565" i="3"/>
  <c r="S565" i="3"/>
  <c r="Q565" i="3"/>
  <c r="AD565" i="3"/>
  <c r="T565" i="3"/>
  <c r="R565" i="3"/>
  <c r="O565" i="3"/>
  <c r="P565" i="3"/>
  <c r="M565" i="3"/>
  <c r="V565" i="3"/>
  <c r="AE565" i="3"/>
  <c r="AF565" i="3"/>
  <c r="U565" i="3"/>
  <c r="F565" i="3"/>
  <c r="G565" i="3"/>
  <c r="H565" i="3" s="1"/>
  <c r="AT563" i="3"/>
  <c r="BA562" i="3"/>
  <c r="BD561" i="3" l="1"/>
  <c r="BC562" i="3"/>
  <c r="BD562" i="3" s="1"/>
  <c r="BN565" i="3"/>
  <c r="AU564" i="3"/>
  <c r="AN565" i="3"/>
  <c r="BM565" i="3"/>
  <c r="AY563" i="3"/>
  <c r="AO565" i="3"/>
  <c r="AX564" i="3"/>
  <c r="AG565" i="3"/>
  <c r="AW564" i="3"/>
  <c r="AT564" i="3"/>
  <c r="BB562" i="3"/>
  <c r="BF562" i="3"/>
  <c r="BJ561" i="3" s="1"/>
  <c r="BK561" i="3" s="1"/>
  <c r="BQ562" i="3"/>
  <c r="BA563" i="3"/>
  <c r="AV563" i="3"/>
  <c r="Y565" i="3"/>
  <c r="Z565" i="3" s="1"/>
  <c r="B566" i="3"/>
  <c r="A567" i="3"/>
  <c r="AQ566" i="3"/>
  <c r="AR566" i="3"/>
  <c r="D566" i="3"/>
  <c r="C566" i="3"/>
  <c r="AM566" i="3"/>
  <c r="AK566" i="3"/>
  <c r="R566" i="3"/>
  <c r="Q566" i="3"/>
  <c r="S566" i="3"/>
  <c r="P566" i="3"/>
  <c r="AD566" i="3"/>
  <c r="M566" i="3"/>
  <c r="AF566" i="3"/>
  <c r="V566" i="3"/>
  <c r="U566" i="3"/>
  <c r="O566" i="3"/>
  <c r="AE566" i="3"/>
  <c r="G566" i="3"/>
  <c r="H566" i="3" s="1"/>
  <c r="F566" i="3"/>
  <c r="T566" i="3"/>
  <c r="AH565" i="3"/>
  <c r="X565" i="3"/>
  <c r="BG562" i="3" l="1"/>
  <c r="BH562" i="3" s="1"/>
  <c r="BI562" i="3" s="1"/>
  <c r="AV564" i="3"/>
  <c r="AY564" i="3"/>
  <c r="AG566" i="3"/>
  <c r="BN566" i="3"/>
  <c r="AX565" i="3"/>
  <c r="BM566" i="3"/>
  <c r="BC563" i="3"/>
  <c r="BD563" i="3" s="1"/>
  <c r="BA564" i="3"/>
  <c r="BB564" i="3" s="1"/>
  <c r="AN566" i="3"/>
  <c r="Y566" i="3"/>
  <c r="Z566" i="3" s="1"/>
  <c r="AR567" i="3"/>
  <c r="B567" i="3"/>
  <c r="AQ567" i="3"/>
  <c r="A568" i="3"/>
  <c r="C567" i="3"/>
  <c r="D567" i="3"/>
  <c r="AK567" i="3"/>
  <c r="T567" i="3"/>
  <c r="AM567" i="3"/>
  <c r="S567" i="3"/>
  <c r="Q567" i="3"/>
  <c r="R567" i="3"/>
  <c r="AD567" i="3"/>
  <c r="P567" i="3"/>
  <c r="M567" i="3"/>
  <c r="AF567" i="3"/>
  <c r="U567" i="3"/>
  <c r="O567" i="3"/>
  <c r="AE567" i="3"/>
  <c r="V567" i="3"/>
  <c r="F567" i="3"/>
  <c r="BM567" i="3" s="1"/>
  <c r="G567" i="3"/>
  <c r="H567" i="3" s="1"/>
  <c r="BN567" i="3" s="1"/>
  <c r="AW565" i="3"/>
  <c r="AU565" i="3"/>
  <c r="AO566" i="3"/>
  <c r="X566" i="3"/>
  <c r="BQ563" i="3"/>
  <c r="BF563" i="3"/>
  <c r="BJ562" i="3" s="1"/>
  <c r="BK562" i="3" s="1"/>
  <c r="BB563" i="3"/>
  <c r="AT565" i="3"/>
  <c r="AH566" i="3"/>
  <c r="BC564" i="3" l="1"/>
  <c r="BG564" i="3" s="1"/>
  <c r="BH564" i="3" s="1"/>
  <c r="BI564" i="3" s="1"/>
  <c r="AV565" i="3"/>
  <c r="AN567" i="3"/>
  <c r="AX566" i="3"/>
  <c r="AY565" i="3"/>
  <c r="BG563" i="3"/>
  <c r="BH563" i="3" s="1"/>
  <c r="BI563" i="3" s="1"/>
  <c r="BQ564" i="3"/>
  <c r="AG567" i="3"/>
  <c r="BF564" i="3"/>
  <c r="BJ563" i="3" s="1"/>
  <c r="BK563" i="3" s="1"/>
  <c r="Y567" i="3"/>
  <c r="Z567" i="3" s="1"/>
  <c r="B568" i="3"/>
  <c r="AQ568" i="3"/>
  <c r="AR568" i="3"/>
  <c r="A569" i="3"/>
  <c r="C568" i="3"/>
  <c r="AM568" i="3"/>
  <c r="AK568" i="3"/>
  <c r="T568" i="3"/>
  <c r="D568" i="3"/>
  <c r="S568" i="3"/>
  <c r="R568" i="3"/>
  <c r="Q568" i="3"/>
  <c r="AD568" i="3"/>
  <c r="P568" i="3"/>
  <c r="AE568" i="3"/>
  <c r="O568" i="3"/>
  <c r="M568" i="3"/>
  <c r="U568" i="3"/>
  <c r="AF568" i="3"/>
  <c r="V568" i="3"/>
  <c r="G568" i="3"/>
  <c r="H568" i="3" s="1"/>
  <c r="BN568" i="3" s="1"/>
  <c r="F568" i="3"/>
  <c r="AT566" i="3"/>
  <c r="AW566" i="3"/>
  <c r="BA565" i="3"/>
  <c r="AU566" i="3"/>
  <c r="AH567" i="3"/>
  <c r="AO567" i="3"/>
  <c r="X567" i="3"/>
  <c r="BD564" i="3" l="1"/>
  <c r="BC565" i="3"/>
  <c r="BD565" i="3" s="1"/>
  <c r="AY566" i="3"/>
  <c r="BM568" i="3"/>
  <c r="AU567" i="3"/>
  <c r="AH568" i="3"/>
  <c r="AN568" i="3"/>
  <c r="AT567" i="3"/>
  <c r="AW567" i="3"/>
  <c r="AQ569" i="3"/>
  <c r="B569" i="3"/>
  <c r="A570" i="3"/>
  <c r="AR569" i="3"/>
  <c r="C569" i="3"/>
  <c r="S569" i="3"/>
  <c r="AK569" i="3"/>
  <c r="D569" i="3"/>
  <c r="AM569" i="3"/>
  <c r="Q569" i="3"/>
  <c r="T569" i="3"/>
  <c r="P569" i="3"/>
  <c r="AD569" i="3"/>
  <c r="O569" i="3"/>
  <c r="M569" i="3"/>
  <c r="V569" i="3"/>
  <c r="AF569" i="3"/>
  <c r="AE569" i="3"/>
  <c r="G569" i="3"/>
  <c r="H569" i="3" s="1"/>
  <c r="U569" i="3"/>
  <c r="R569" i="3"/>
  <c r="F569" i="3"/>
  <c r="BF565" i="3"/>
  <c r="BQ565" i="3"/>
  <c r="BB565" i="3"/>
  <c r="AV566" i="3"/>
  <c r="BA566" i="3"/>
  <c r="Y568" i="3"/>
  <c r="Z568" i="3" s="1"/>
  <c r="AX567" i="3"/>
  <c r="AG568" i="3"/>
  <c r="AO568" i="3"/>
  <c r="X568" i="3"/>
  <c r="BG565" i="3" l="1"/>
  <c r="BH565" i="3" s="1"/>
  <c r="BI565" i="3" s="1"/>
  <c r="AY567" i="3"/>
  <c r="AU568" i="3"/>
  <c r="AN569" i="3"/>
  <c r="BC566" i="3"/>
  <c r="BD566" i="3" s="1"/>
  <c r="AV567" i="3"/>
  <c r="BN569" i="3"/>
  <c r="AT568" i="3"/>
  <c r="AX568" i="3"/>
  <c r="AH569" i="3"/>
  <c r="BJ564" i="3"/>
  <c r="BK564" i="3" s="1"/>
  <c r="B570" i="3"/>
  <c r="A571" i="3"/>
  <c r="AQ570" i="3"/>
  <c r="AR570" i="3"/>
  <c r="C570" i="3"/>
  <c r="AK570" i="3"/>
  <c r="AM570" i="3"/>
  <c r="D570" i="3"/>
  <c r="T570" i="3"/>
  <c r="Q570" i="3"/>
  <c r="S570" i="3"/>
  <c r="R570" i="3"/>
  <c r="AD570" i="3"/>
  <c r="M570" i="3"/>
  <c r="P570" i="3"/>
  <c r="O570" i="3"/>
  <c r="AF570" i="3"/>
  <c r="AE570" i="3"/>
  <c r="V570" i="3"/>
  <c r="U570" i="3"/>
  <c r="G570" i="3"/>
  <c r="H570" i="3" s="1"/>
  <c r="F570" i="3"/>
  <c r="Y569" i="3"/>
  <c r="Z569" i="3" s="1"/>
  <c r="AO569" i="3"/>
  <c r="X569" i="3"/>
  <c r="AW568" i="3"/>
  <c r="BA567" i="3"/>
  <c r="BM569" i="3"/>
  <c r="AG569" i="3"/>
  <c r="BF566" i="3"/>
  <c r="BQ566" i="3"/>
  <c r="BB566" i="3"/>
  <c r="BC567" i="3" l="1"/>
  <c r="BG567" i="3" s="1"/>
  <c r="BH567" i="3" s="1"/>
  <c r="BI567" i="3" s="1"/>
  <c r="AV568" i="3"/>
  <c r="BG566" i="3"/>
  <c r="BH566" i="3" s="1"/>
  <c r="BI566" i="3" s="1"/>
  <c r="BM570" i="3"/>
  <c r="BN570" i="3"/>
  <c r="AW569" i="3"/>
  <c r="AN570" i="3"/>
  <c r="AY568" i="3"/>
  <c r="BF567" i="3"/>
  <c r="BJ566" i="3" s="1"/>
  <c r="BK566" i="3" s="1"/>
  <c r="BQ567" i="3"/>
  <c r="BB567" i="3"/>
  <c r="Y570" i="3"/>
  <c r="Z570" i="3" s="1"/>
  <c r="AR571" i="3"/>
  <c r="B571" i="3"/>
  <c r="AQ571" i="3"/>
  <c r="A572" i="3"/>
  <c r="D571" i="3"/>
  <c r="AK571" i="3"/>
  <c r="S571" i="3"/>
  <c r="AM571" i="3"/>
  <c r="C571" i="3"/>
  <c r="R571" i="3"/>
  <c r="Q571" i="3"/>
  <c r="AD571" i="3"/>
  <c r="P571" i="3"/>
  <c r="AE571" i="3"/>
  <c r="M571" i="3"/>
  <c r="O571" i="3"/>
  <c r="AF571" i="3"/>
  <c r="U571" i="3"/>
  <c r="V571" i="3"/>
  <c r="G571" i="3"/>
  <c r="H571" i="3" s="1"/>
  <c r="F571" i="3"/>
  <c r="T571" i="3"/>
  <c r="AX569" i="3"/>
  <c r="AT569" i="3"/>
  <c r="AG570" i="3"/>
  <c r="AO570" i="3"/>
  <c r="BA568" i="3"/>
  <c r="AU569" i="3"/>
  <c r="AH570" i="3"/>
  <c r="X570" i="3"/>
  <c r="BJ565" i="3"/>
  <c r="BK565" i="3" s="1"/>
  <c r="BM571" i="3" l="1"/>
  <c r="BD567" i="3"/>
  <c r="BC568" i="3"/>
  <c r="BD568" i="3" s="1"/>
  <c r="AY569" i="3"/>
  <c r="AX570" i="3"/>
  <c r="AV569" i="3"/>
  <c r="BB568" i="3"/>
  <c r="BF568" i="3"/>
  <c r="BJ567" i="3" s="1"/>
  <c r="BK567" i="3" s="1"/>
  <c r="BQ568" i="3"/>
  <c r="AO571" i="3"/>
  <c r="AN571" i="3"/>
  <c r="B572" i="3"/>
  <c r="AQ572" i="3"/>
  <c r="AR572" i="3"/>
  <c r="A573" i="3"/>
  <c r="C572" i="3"/>
  <c r="D572" i="3"/>
  <c r="AK572" i="3"/>
  <c r="AM572" i="3"/>
  <c r="T572" i="3"/>
  <c r="S572" i="3"/>
  <c r="Q572" i="3"/>
  <c r="AD572" i="3"/>
  <c r="P572" i="3"/>
  <c r="O572" i="3"/>
  <c r="M572" i="3"/>
  <c r="AE572" i="3"/>
  <c r="V572" i="3"/>
  <c r="AF572" i="3"/>
  <c r="U572" i="3"/>
  <c r="F572" i="3"/>
  <c r="R572" i="3"/>
  <c r="G572" i="3"/>
  <c r="H572" i="3" s="1"/>
  <c r="BN572" i="3" s="1"/>
  <c r="AU570" i="3"/>
  <c r="X571" i="3"/>
  <c r="BA569" i="3"/>
  <c r="AT570" i="3"/>
  <c r="AW570" i="3"/>
  <c r="Y571" i="3"/>
  <c r="Z571" i="3" s="1"/>
  <c r="BN571" i="3"/>
  <c r="AG571" i="3"/>
  <c r="AH571" i="3"/>
  <c r="BG568" i="3" l="1"/>
  <c r="BH568" i="3" s="1"/>
  <c r="BI568" i="3" s="1"/>
  <c r="BC569" i="3"/>
  <c r="BD569" i="3" s="1"/>
  <c r="AO572" i="3"/>
  <c r="AU571" i="3"/>
  <c r="AY570" i="3"/>
  <c r="AW571" i="3"/>
  <c r="BA570" i="3"/>
  <c r="AV570" i="3"/>
  <c r="BQ569" i="3"/>
  <c r="BF569" i="3"/>
  <c r="BJ568" i="3" s="1"/>
  <c r="BK568" i="3" s="1"/>
  <c r="BB569" i="3"/>
  <c r="Y572" i="3"/>
  <c r="Z572" i="3" s="1"/>
  <c r="AQ573" i="3"/>
  <c r="B573" i="3"/>
  <c r="A574" i="3"/>
  <c r="AR573" i="3"/>
  <c r="D573" i="3"/>
  <c r="C573" i="3"/>
  <c r="S573" i="3"/>
  <c r="Q573" i="3"/>
  <c r="AK573" i="3"/>
  <c r="AM573" i="3"/>
  <c r="R573" i="3"/>
  <c r="P573" i="3"/>
  <c r="AD573" i="3"/>
  <c r="M573" i="3"/>
  <c r="AE573" i="3"/>
  <c r="O573" i="3"/>
  <c r="AF573" i="3"/>
  <c r="V573" i="3"/>
  <c r="U573" i="3"/>
  <c r="G573" i="3"/>
  <c r="H573" i="3" s="1"/>
  <c r="F573" i="3"/>
  <c r="T573" i="3"/>
  <c r="AT571" i="3"/>
  <c r="AX571" i="3"/>
  <c r="BM572" i="3"/>
  <c r="AG572" i="3"/>
  <c r="AH572" i="3"/>
  <c r="AN572" i="3"/>
  <c r="X572" i="3"/>
  <c r="BG569" i="3" l="1"/>
  <c r="BH569" i="3" s="1"/>
  <c r="BI569" i="3" s="1"/>
  <c r="AY571" i="3"/>
  <c r="BM573" i="3"/>
  <c r="BC570" i="3"/>
  <c r="BD570" i="3" s="1"/>
  <c r="AG573" i="3"/>
  <c r="AO573" i="3"/>
  <c r="AU572" i="3"/>
  <c r="AX572" i="3"/>
  <c r="BA571" i="3"/>
  <c r="AV571" i="3"/>
  <c r="BQ570" i="3"/>
  <c r="BF570" i="3"/>
  <c r="BJ569" i="3" s="1"/>
  <c r="BK569" i="3" s="1"/>
  <c r="BB570" i="3"/>
  <c r="AH573" i="3"/>
  <c r="AT572" i="3"/>
  <c r="AW572" i="3"/>
  <c r="Y573" i="3"/>
  <c r="Z573" i="3" s="1"/>
  <c r="BN573" i="3"/>
  <c r="AN573" i="3"/>
  <c r="X573" i="3"/>
  <c r="B574" i="3"/>
  <c r="A575" i="3"/>
  <c r="AQ574" i="3"/>
  <c r="AR574" i="3"/>
  <c r="C574" i="3"/>
  <c r="D574" i="3"/>
  <c r="AK574" i="3"/>
  <c r="S574" i="3"/>
  <c r="R574" i="3"/>
  <c r="AM574" i="3"/>
  <c r="AD574" i="3"/>
  <c r="P574" i="3"/>
  <c r="Q574" i="3"/>
  <c r="AF574" i="3"/>
  <c r="M574" i="3"/>
  <c r="U574" i="3"/>
  <c r="O574" i="3"/>
  <c r="AE574" i="3"/>
  <c r="V574" i="3"/>
  <c r="F574" i="3"/>
  <c r="G574" i="3"/>
  <c r="H574" i="3" s="1"/>
  <c r="T574" i="3"/>
  <c r="BC571" i="3" l="1"/>
  <c r="BG571" i="3" s="1"/>
  <c r="BH571" i="3" s="1"/>
  <c r="BI571" i="3" s="1"/>
  <c r="AY572" i="3"/>
  <c r="AU573" i="3"/>
  <c r="BG570" i="3"/>
  <c r="BH570" i="3" s="1"/>
  <c r="BI570" i="3" s="1"/>
  <c r="BN574" i="3"/>
  <c r="AN574" i="3"/>
  <c r="BM574" i="3"/>
  <c r="AG574" i="3"/>
  <c r="AO574" i="3"/>
  <c r="AW573" i="3"/>
  <c r="Y574" i="3"/>
  <c r="Z574" i="3" s="1"/>
  <c r="AR575" i="3"/>
  <c r="AQ575" i="3"/>
  <c r="A576" i="3"/>
  <c r="B575" i="3"/>
  <c r="D575" i="3"/>
  <c r="C575" i="3"/>
  <c r="AK575" i="3"/>
  <c r="AM575" i="3"/>
  <c r="Q575" i="3"/>
  <c r="S575" i="3"/>
  <c r="AD575" i="3"/>
  <c r="P575" i="3"/>
  <c r="O575" i="3"/>
  <c r="AE575" i="3"/>
  <c r="AF575" i="3"/>
  <c r="M575" i="3"/>
  <c r="V575" i="3"/>
  <c r="U575" i="3"/>
  <c r="G575" i="3"/>
  <c r="H575" i="3" s="1"/>
  <c r="F575" i="3"/>
  <c r="R575" i="3"/>
  <c r="T575" i="3"/>
  <c r="AT573" i="3"/>
  <c r="AX573" i="3"/>
  <c r="BQ571" i="3"/>
  <c r="BF571" i="3"/>
  <c r="BJ570" i="3" s="1"/>
  <c r="BK570" i="3" s="1"/>
  <c r="BB571" i="3"/>
  <c r="AV572" i="3"/>
  <c r="BA572" i="3"/>
  <c r="AH574" i="3"/>
  <c r="X574" i="3"/>
  <c r="BD571" i="3" l="1"/>
  <c r="BC572" i="3"/>
  <c r="BD572" i="3" s="1"/>
  <c r="BN575" i="3"/>
  <c r="BM575" i="3"/>
  <c r="AU574" i="3"/>
  <c r="AX574" i="3"/>
  <c r="AO575" i="3"/>
  <c r="AY573" i="3"/>
  <c r="BA573" i="3"/>
  <c r="AV573" i="3"/>
  <c r="AH575" i="3"/>
  <c r="AT574" i="3"/>
  <c r="AW574" i="3"/>
  <c r="Y575" i="3"/>
  <c r="Z575" i="3" s="1"/>
  <c r="AG575" i="3"/>
  <c r="AN575" i="3"/>
  <c r="X575" i="3"/>
  <c r="BQ572" i="3"/>
  <c r="BF572" i="3"/>
  <c r="BJ571" i="3" s="1"/>
  <c r="BK571" i="3" s="1"/>
  <c r="BB572" i="3"/>
  <c r="A577" i="3"/>
  <c r="AR576" i="3"/>
  <c r="B576" i="3"/>
  <c r="AQ576" i="3"/>
  <c r="D576" i="3"/>
  <c r="AM576" i="3"/>
  <c r="S576" i="3"/>
  <c r="Q576" i="3"/>
  <c r="AK576" i="3"/>
  <c r="C576" i="3"/>
  <c r="R576" i="3"/>
  <c r="AD576" i="3"/>
  <c r="P576" i="3"/>
  <c r="O576" i="3"/>
  <c r="AE576" i="3"/>
  <c r="AF576" i="3"/>
  <c r="V576" i="3"/>
  <c r="M576" i="3"/>
  <c r="U576" i="3"/>
  <c r="G576" i="3"/>
  <c r="H576" i="3" s="1"/>
  <c r="F576" i="3"/>
  <c r="T576" i="3"/>
  <c r="BG572" i="3" l="1"/>
  <c r="BH572" i="3" s="1"/>
  <c r="BI572" i="3" s="1"/>
  <c r="AU575" i="3"/>
  <c r="BC573" i="3"/>
  <c r="BD573" i="3" s="1"/>
  <c r="AO576" i="3"/>
  <c r="AY574" i="3"/>
  <c r="BM576" i="3"/>
  <c r="AG576" i="3"/>
  <c r="AT575" i="3"/>
  <c r="AW575" i="3"/>
  <c r="BF573" i="3"/>
  <c r="BJ572" i="3" s="1"/>
  <c r="BK572" i="3" s="1"/>
  <c r="BQ573" i="3"/>
  <c r="BB573" i="3"/>
  <c r="Y576" i="3"/>
  <c r="Z576" i="3" s="1"/>
  <c r="BN576" i="3"/>
  <c r="AH576" i="3"/>
  <c r="X576" i="3"/>
  <c r="AN576" i="3"/>
  <c r="AX575" i="3"/>
  <c r="AR577" i="3"/>
  <c r="A578" i="3"/>
  <c r="AQ577" i="3"/>
  <c r="B577" i="3"/>
  <c r="C577" i="3"/>
  <c r="AK577" i="3"/>
  <c r="T577" i="3"/>
  <c r="S577" i="3"/>
  <c r="D577" i="3"/>
  <c r="AM577" i="3"/>
  <c r="R577" i="3"/>
  <c r="Q577" i="3"/>
  <c r="AD577" i="3"/>
  <c r="P577" i="3"/>
  <c r="O577" i="3"/>
  <c r="M577" i="3"/>
  <c r="U577" i="3"/>
  <c r="AE577" i="3"/>
  <c r="AF577" i="3"/>
  <c r="V577" i="3"/>
  <c r="F577" i="3"/>
  <c r="G577" i="3"/>
  <c r="H577" i="3" s="1"/>
  <c r="BA574" i="3"/>
  <c r="AV574" i="3"/>
  <c r="BG573" i="3" l="1"/>
  <c r="BH573" i="3" s="1"/>
  <c r="BI573" i="3" s="1"/>
  <c r="BM577" i="3"/>
  <c r="AU576" i="3"/>
  <c r="AN577" i="3"/>
  <c r="BC574" i="3"/>
  <c r="BD574" i="3" s="1"/>
  <c r="BN577" i="3"/>
  <c r="AW576" i="3"/>
  <c r="AT576" i="3"/>
  <c r="BQ574" i="3"/>
  <c r="BB574" i="3"/>
  <c r="BF574" i="3"/>
  <c r="BJ573" i="3" s="1"/>
  <c r="BK573" i="3" s="1"/>
  <c r="AR578" i="3"/>
  <c r="AQ578" i="3"/>
  <c r="B578" i="3"/>
  <c r="A579" i="3"/>
  <c r="C578" i="3"/>
  <c r="D578" i="3"/>
  <c r="AM578" i="3"/>
  <c r="AK578" i="3"/>
  <c r="S578" i="3"/>
  <c r="AD578" i="3"/>
  <c r="P578" i="3"/>
  <c r="R578" i="3"/>
  <c r="Q578" i="3"/>
  <c r="O578" i="3"/>
  <c r="M578" i="3"/>
  <c r="AE578" i="3"/>
  <c r="AF578" i="3"/>
  <c r="U578" i="3"/>
  <c r="V578" i="3"/>
  <c r="G578" i="3"/>
  <c r="H578" i="3" s="1"/>
  <c r="F578" i="3"/>
  <c r="BM578" i="3" s="1"/>
  <c r="T578" i="3"/>
  <c r="BA575" i="3"/>
  <c r="AV575" i="3"/>
  <c r="AG577" i="3"/>
  <c r="AO577" i="3"/>
  <c r="Y577" i="3"/>
  <c r="Z577" i="3" s="1"/>
  <c r="AH577" i="3"/>
  <c r="X577" i="3"/>
  <c r="AX576" i="3"/>
  <c r="AY575" i="3"/>
  <c r="BN578" i="3" l="1"/>
  <c r="AV576" i="3"/>
  <c r="BG574" i="3"/>
  <c r="BH574" i="3" s="1"/>
  <c r="BI574" i="3" s="1"/>
  <c r="AU577" i="3"/>
  <c r="BA576" i="3"/>
  <c r="BB576" i="3" s="1"/>
  <c r="AT577" i="3"/>
  <c r="AN578" i="3"/>
  <c r="AH578" i="3"/>
  <c r="A580" i="3"/>
  <c r="AQ579" i="3"/>
  <c r="AR579" i="3"/>
  <c r="B579" i="3"/>
  <c r="C579" i="3"/>
  <c r="AK579" i="3"/>
  <c r="AM579" i="3"/>
  <c r="S579" i="3"/>
  <c r="D579" i="3"/>
  <c r="R579" i="3"/>
  <c r="Q579" i="3"/>
  <c r="AD579" i="3"/>
  <c r="T579" i="3"/>
  <c r="P579" i="3"/>
  <c r="M579" i="3"/>
  <c r="AE579" i="3"/>
  <c r="AF579" i="3"/>
  <c r="V579" i="3"/>
  <c r="O579" i="3"/>
  <c r="U579" i="3"/>
  <c r="F579" i="3"/>
  <c r="BM579" i="3" s="1"/>
  <c r="G579" i="3"/>
  <c r="H579" i="3" s="1"/>
  <c r="AY576" i="3"/>
  <c r="AX577" i="3"/>
  <c r="AW577" i="3"/>
  <c r="BC575" i="3"/>
  <c r="Y578" i="3"/>
  <c r="Z578" i="3" s="1"/>
  <c r="AG578" i="3"/>
  <c r="AO578" i="3"/>
  <c r="BF575" i="3"/>
  <c r="BJ574" i="3" s="1"/>
  <c r="BK574" i="3" s="1"/>
  <c r="BB575" i="3"/>
  <c r="BQ575" i="3"/>
  <c r="X578" i="3"/>
  <c r="BC576" i="3" l="1"/>
  <c r="BG576" i="3" s="1"/>
  <c r="BH576" i="3" s="1"/>
  <c r="BI576" i="3" s="1"/>
  <c r="BQ576" i="3"/>
  <c r="AV577" i="3"/>
  <c r="BF576" i="3"/>
  <c r="BJ575" i="3" s="1"/>
  <c r="BK575" i="3" s="1"/>
  <c r="AU578" i="3"/>
  <c r="AN579" i="3"/>
  <c r="AT578" i="3"/>
  <c r="AX578" i="3"/>
  <c r="AY577" i="3"/>
  <c r="BA577" i="3"/>
  <c r="BQ577" i="3" s="1"/>
  <c r="Y579" i="3"/>
  <c r="Z579" i="3" s="1"/>
  <c r="BD575" i="3"/>
  <c r="BG575" i="3"/>
  <c r="BH575" i="3" s="1"/>
  <c r="BI575" i="3" s="1"/>
  <c r="AW578" i="3"/>
  <c r="BN579" i="3"/>
  <c r="AG579" i="3"/>
  <c r="AH579" i="3"/>
  <c r="AO579" i="3"/>
  <c r="A581" i="3"/>
  <c r="AR580" i="3"/>
  <c r="B580" i="3"/>
  <c r="AQ580" i="3"/>
  <c r="C580" i="3"/>
  <c r="AK580" i="3"/>
  <c r="S580" i="3"/>
  <c r="AM580" i="3"/>
  <c r="D580" i="3"/>
  <c r="Q580" i="3"/>
  <c r="R580" i="3"/>
  <c r="AD580" i="3"/>
  <c r="T580" i="3"/>
  <c r="P580" i="3"/>
  <c r="M580" i="3"/>
  <c r="AF580" i="3"/>
  <c r="U580" i="3"/>
  <c r="V580" i="3"/>
  <c r="O580" i="3"/>
  <c r="AE580" i="3"/>
  <c r="F580" i="3"/>
  <c r="BM580" i="3" s="1"/>
  <c r="G580" i="3"/>
  <c r="H580" i="3" s="1"/>
  <c r="X579" i="3"/>
  <c r="AG580" i="3" l="1"/>
  <c r="BD576" i="3"/>
  <c r="AY578" i="3"/>
  <c r="BC577" i="3"/>
  <c r="BD577" i="3" s="1"/>
  <c r="AV578" i="3"/>
  <c r="AN580" i="3"/>
  <c r="BN580" i="3"/>
  <c r="BA578" i="3"/>
  <c r="BQ578" i="3" s="1"/>
  <c r="AU579" i="3"/>
  <c r="AX579" i="3"/>
  <c r="BB577" i="3"/>
  <c r="BF577" i="3"/>
  <c r="BJ576" i="3" s="1"/>
  <c r="BK576" i="3" s="1"/>
  <c r="AR581" i="3"/>
  <c r="A582" i="3"/>
  <c r="AQ581" i="3"/>
  <c r="B581" i="3"/>
  <c r="C581" i="3"/>
  <c r="D581" i="3"/>
  <c r="R581" i="3"/>
  <c r="Q581" i="3"/>
  <c r="AM581" i="3"/>
  <c r="AK581" i="3"/>
  <c r="S581" i="3"/>
  <c r="AD581" i="3"/>
  <c r="P581" i="3"/>
  <c r="M581" i="3"/>
  <c r="AE581" i="3"/>
  <c r="O581" i="3"/>
  <c r="AF581" i="3"/>
  <c r="U581" i="3"/>
  <c r="V581" i="3"/>
  <c r="G581" i="3"/>
  <c r="H581" i="3" s="1"/>
  <c r="F581" i="3"/>
  <c r="BM581" i="3" s="1"/>
  <c r="T581" i="3"/>
  <c r="Y580" i="3"/>
  <c r="Z580" i="3" s="1"/>
  <c r="X580" i="3"/>
  <c r="AT579" i="3"/>
  <c r="AW579" i="3"/>
  <c r="AH580" i="3"/>
  <c r="AO580" i="3"/>
  <c r="BC578" i="3" l="1"/>
  <c r="BD578" i="3" s="1"/>
  <c r="BN581" i="3"/>
  <c r="BG577" i="3"/>
  <c r="BH577" i="3" s="1"/>
  <c r="BI577" i="3" s="1"/>
  <c r="BF578" i="3"/>
  <c r="BJ577" i="3" s="1"/>
  <c r="BK577" i="3" s="1"/>
  <c r="BB578" i="3"/>
  <c r="AY579" i="3"/>
  <c r="AX580" i="3"/>
  <c r="AN581" i="3"/>
  <c r="AV579" i="3"/>
  <c r="BA579" i="3"/>
  <c r="AR582" i="3"/>
  <c r="AQ582" i="3"/>
  <c r="B582" i="3"/>
  <c r="A583" i="3"/>
  <c r="C582" i="3"/>
  <c r="D582" i="3"/>
  <c r="AM582" i="3"/>
  <c r="T582" i="3"/>
  <c r="AK582" i="3"/>
  <c r="S582" i="3"/>
  <c r="R582" i="3"/>
  <c r="Q582" i="3"/>
  <c r="AD582" i="3"/>
  <c r="P582" i="3"/>
  <c r="AE582" i="3"/>
  <c r="M582" i="3"/>
  <c r="O582" i="3"/>
  <c r="AF582" i="3"/>
  <c r="U582" i="3"/>
  <c r="V582" i="3"/>
  <c r="G582" i="3"/>
  <c r="H582" i="3" s="1"/>
  <c r="F582" i="3"/>
  <c r="AW580" i="3"/>
  <c r="Y581" i="3"/>
  <c r="Z581" i="3" s="1"/>
  <c r="AH581" i="3"/>
  <c r="AO581" i="3"/>
  <c r="AT580" i="3"/>
  <c r="AU580" i="3"/>
  <c r="AG581" i="3"/>
  <c r="X581" i="3"/>
  <c r="AY580" i="3" l="1"/>
  <c r="BG578" i="3"/>
  <c r="BH578" i="3" s="1"/>
  <c r="BI578" i="3" s="1"/>
  <c r="AO582" i="3"/>
  <c r="BN582" i="3"/>
  <c r="BM582" i="3"/>
  <c r="BC579" i="3"/>
  <c r="BG579" i="3" s="1"/>
  <c r="BH579" i="3" s="1"/>
  <c r="BI579" i="3" s="1"/>
  <c r="AW581" i="3"/>
  <c r="AX581" i="3"/>
  <c r="AG582" i="3"/>
  <c r="AH582" i="3"/>
  <c r="AN582" i="3"/>
  <c r="X582" i="3"/>
  <c r="AV580" i="3"/>
  <c r="BA580" i="3"/>
  <c r="Y582" i="3"/>
  <c r="Z582" i="3" s="1"/>
  <c r="A584" i="3"/>
  <c r="AQ583" i="3"/>
  <c r="AR583" i="3"/>
  <c r="B583" i="3"/>
  <c r="C583" i="3"/>
  <c r="D583" i="3"/>
  <c r="AK583" i="3"/>
  <c r="AM583" i="3"/>
  <c r="S583" i="3"/>
  <c r="R583" i="3"/>
  <c r="P583" i="3"/>
  <c r="Q583" i="3"/>
  <c r="AD583" i="3"/>
  <c r="O583" i="3"/>
  <c r="V583" i="3"/>
  <c r="AF583" i="3"/>
  <c r="AE583" i="3"/>
  <c r="M583" i="3"/>
  <c r="U583" i="3"/>
  <c r="G583" i="3"/>
  <c r="H583" i="3" s="1"/>
  <c r="F583" i="3"/>
  <c r="T583" i="3"/>
  <c r="BQ579" i="3"/>
  <c r="BF579" i="3"/>
  <c r="BJ578" i="3" s="1"/>
  <c r="BK578" i="3" s="1"/>
  <c r="BB579" i="3"/>
  <c r="AU581" i="3"/>
  <c r="AT581" i="3"/>
  <c r="BC580" i="3" l="1"/>
  <c r="BD580" i="3" s="1"/>
  <c r="BM583" i="3"/>
  <c r="BN583" i="3"/>
  <c r="BD579" i="3"/>
  <c r="AO583" i="3"/>
  <c r="AG583" i="3"/>
  <c r="AT582" i="3"/>
  <c r="AY581" i="3"/>
  <c r="AU582" i="3"/>
  <c r="Y583" i="3"/>
  <c r="Z583" i="3" s="1"/>
  <c r="AX582" i="3"/>
  <c r="BQ580" i="3"/>
  <c r="BB580" i="3"/>
  <c r="BF580" i="3"/>
  <c r="BJ579" i="3" s="1"/>
  <c r="BK579" i="3" s="1"/>
  <c r="AN583" i="3"/>
  <c r="AW582" i="3"/>
  <c r="AV581" i="3"/>
  <c r="BA581" i="3"/>
  <c r="A585" i="3"/>
  <c r="AR584" i="3"/>
  <c r="B584" i="3"/>
  <c r="AQ584" i="3"/>
  <c r="D584" i="3"/>
  <c r="AM584" i="3"/>
  <c r="AK584" i="3"/>
  <c r="R584" i="3"/>
  <c r="C584" i="3"/>
  <c r="S584" i="3"/>
  <c r="Q584" i="3"/>
  <c r="AD584" i="3"/>
  <c r="P584" i="3"/>
  <c r="O584" i="3"/>
  <c r="AE584" i="3"/>
  <c r="AF584" i="3"/>
  <c r="U584" i="3"/>
  <c r="V584" i="3"/>
  <c r="M584" i="3"/>
  <c r="F584" i="3"/>
  <c r="G584" i="3"/>
  <c r="H584" i="3" s="1"/>
  <c r="BN584" i="3" s="1"/>
  <c r="T584" i="3"/>
  <c r="AH583" i="3"/>
  <c r="X583" i="3"/>
  <c r="BG580" i="3" l="1"/>
  <c r="BH580" i="3" s="1"/>
  <c r="BI580" i="3" s="1"/>
  <c r="BC581" i="3"/>
  <c r="BG581" i="3" s="1"/>
  <c r="BH581" i="3" s="1"/>
  <c r="BI581" i="3" s="1"/>
  <c r="AV582" i="3"/>
  <c r="AY582" i="3"/>
  <c r="BM584" i="3"/>
  <c r="AX583" i="3"/>
  <c r="AN584" i="3"/>
  <c r="Y584" i="3"/>
  <c r="Z584" i="3" s="1"/>
  <c r="BB581" i="3"/>
  <c r="BF581" i="3"/>
  <c r="BJ580" i="3" s="1"/>
  <c r="BK580" i="3" s="1"/>
  <c r="BQ581" i="3"/>
  <c r="AT583" i="3"/>
  <c r="AH584" i="3"/>
  <c r="BA582" i="3"/>
  <c r="AR585" i="3"/>
  <c r="A586" i="3"/>
  <c r="AQ585" i="3"/>
  <c r="B585" i="3"/>
  <c r="D585" i="3"/>
  <c r="S585" i="3"/>
  <c r="C585" i="3"/>
  <c r="AM585" i="3"/>
  <c r="AK585" i="3"/>
  <c r="R585" i="3"/>
  <c r="Q585" i="3"/>
  <c r="AD585" i="3"/>
  <c r="P585" i="3"/>
  <c r="O585" i="3"/>
  <c r="AE585" i="3"/>
  <c r="M585" i="3"/>
  <c r="AF585" i="3"/>
  <c r="U585" i="3"/>
  <c r="V585" i="3"/>
  <c r="F585" i="3"/>
  <c r="G585" i="3"/>
  <c r="H585" i="3" s="1"/>
  <c r="BN585" i="3" s="1"/>
  <c r="T585" i="3"/>
  <c r="AW583" i="3"/>
  <c r="AG584" i="3"/>
  <c r="X584" i="3"/>
  <c r="AO584" i="3"/>
  <c r="AU583" i="3"/>
  <c r="BD581" i="3" l="1"/>
  <c r="BC582" i="3"/>
  <c r="BG582" i="3" s="1"/>
  <c r="BH582" i="3" s="1"/>
  <c r="BI582" i="3" s="1"/>
  <c r="AY583" i="3"/>
  <c r="BM585" i="3"/>
  <c r="AO585" i="3"/>
  <c r="AH585" i="3"/>
  <c r="AT584" i="3"/>
  <c r="AG585" i="3"/>
  <c r="X585" i="3"/>
  <c r="AX584" i="3"/>
  <c r="AR586" i="3"/>
  <c r="AQ586" i="3"/>
  <c r="B586" i="3"/>
  <c r="A587" i="3"/>
  <c r="D586" i="3"/>
  <c r="AK586" i="3"/>
  <c r="AM586" i="3"/>
  <c r="R586" i="3"/>
  <c r="C586" i="3"/>
  <c r="Q586" i="3"/>
  <c r="S586" i="3"/>
  <c r="AD586" i="3"/>
  <c r="P586" i="3"/>
  <c r="AE586" i="3"/>
  <c r="O586" i="3"/>
  <c r="M586" i="3"/>
  <c r="V586" i="3"/>
  <c r="AF586" i="3"/>
  <c r="U586" i="3"/>
  <c r="G586" i="3"/>
  <c r="H586" i="3" s="1"/>
  <c r="F586" i="3"/>
  <c r="BM586" i="3" s="1"/>
  <c r="T586" i="3"/>
  <c r="BB582" i="3"/>
  <c r="BQ582" i="3"/>
  <c r="BF582" i="3"/>
  <c r="BJ581" i="3" s="1"/>
  <c r="BK581" i="3" s="1"/>
  <c r="AV583" i="3"/>
  <c r="BA583" i="3"/>
  <c r="AW584" i="3"/>
  <c r="Y585" i="3"/>
  <c r="Z585" i="3" s="1"/>
  <c r="AN585" i="3"/>
  <c r="AU584" i="3"/>
  <c r="BD582" i="3" l="1"/>
  <c r="AT585" i="3"/>
  <c r="BC583" i="3"/>
  <c r="BD583" i="3" s="1"/>
  <c r="AU585" i="3"/>
  <c r="AH586" i="3"/>
  <c r="AV584" i="3"/>
  <c r="AN586" i="3"/>
  <c r="AX585" i="3"/>
  <c r="BA584" i="3"/>
  <c r="BQ584" i="3" s="1"/>
  <c r="BQ583" i="3"/>
  <c r="BF583" i="3"/>
  <c r="BJ582" i="3" s="1"/>
  <c r="BK582" i="3" s="1"/>
  <c r="BB583" i="3"/>
  <c r="A588" i="3"/>
  <c r="AQ587" i="3"/>
  <c r="AR587" i="3"/>
  <c r="B587" i="3"/>
  <c r="C587" i="3"/>
  <c r="D587" i="3"/>
  <c r="AK587" i="3"/>
  <c r="AM587" i="3"/>
  <c r="T587" i="3"/>
  <c r="R587" i="3"/>
  <c r="S587" i="3"/>
  <c r="Q587" i="3"/>
  <c r="AD587" i="3"/>
  <c r="O587" i="3"/>
  <c r="AF587" i="3"/>
  <c r="M587" i="3"/>
  <c r="U587" i="3"/>
  <c r="V587" i="3"/>
  <c r="P587" i="3"/>
  <c r="AE587" i="3"/>
  <c r="G587" i="3"/>
  <c r="H587" i="3" s="1"/>
  <c r="F587" i="3"/>
  <c r="X586" i="3"/>
  <c r="Y586" i="3"/>
  <c r="Z586" i="3" s="1"/>
  <c r="BN586" i="3"/>
  <c r="AG586" i="3"/>
  <c r="AO586" i="3"/>
  <c r="AY584" i="3"/>
  <c r="AW585" i="3"/>
  <c r="AV585" i="3" l="1"/>
  <c r="AY585" i="3"/>
  <c r="BG583" i="3"/>
  <c r="BH583" i="3" s="1"/>
  <c r="BI583" i="3" s="1"/>
  <c r="AW586" i="3"/>
  <c r="AN587" i="3"/>
  <c r="BC584" i="3"/>
  <c r="BD584" i="3" s="1"/>
  <c r="BM587" i="3"/>
  <c r="AU586" i="3"/>
  <c r="AG587" i="3"/>
  <c r="BF584" i="3"/>
  <c r="BJ583" i="3" s="1"/>
  <c r="BK583" i="3" s="1"/>
  <c r="BB584" i="3"/>
  <c r="Y587" i="3"/>
  <c r="Z587" i="3" s="1"/>
  <c r="A589" i="3"/>
  <c r="AR588" i="3"/>
  <c r="B588" i="3"/>
  <c r="AQ588" i="3"/>
  <c r="C588" i="3"/>
  <c r="D588" i="3"/>
  <c r="S588" i="3"/>
  <c r="AM588" i="3"/>
  <c r="AK588" i="3"/>
  <c r="Q588" i="3"/>
  <c r="P588" i="3"/>
  <c r="R588" i="3"/>
  <c r="AD588" i="3"/>
  <c r="O588" i="3"/>
  <c r="AE588" i="3"/>
  <c r="M588" i="3"/>
  <c r="U588" i="3"/>
  <c r="AF588" i="3"/>
  <c r="V588" i="3"/>
  <c r="G588" i="3"/>
  <c r="H588" i="3" s="1"/>
  <c r="F588" i="3"/>
  <c r="T588" i="3"/>
  <c r="BA585" i="3"/>
  <c r="AX586" i="3"/>
  <c r="AT586" i="3"/>
  <c r="BN587" i="3"/>
  <c r="AH587" i="3"/>
  <c r="AO587" i="3"/>
  <c r="X587" i="3"/>
  <c r="BM588" i="3" l="1"/>
  <c r="BN588" i="3"/>
  <c r="BC585" i="3"/>
  <c r="BD585" i="3" s="1"/>
  <c r="BG584" i="3"/>
  <c r="BH584" i="3" s="1"/>
  <c r="BI584" i="3" s="1"/>
  <c r="AY586" i="3"/>
  <c r="AN588" i="3"/>
  <c r="AX587" i="3"/>
  <c r="BB585" i="3"/>
  <c r="BF585" i="3"/>
  <c r="BJ584" i="3" s="1"/>
  <c r="BK584" i="3" s="1"/>
  <c r="BQ585" i="3"/>
  <c r="AR589" i="3"/>
  <c r="A590" i="3"/>
  <c r="AQ589" i="3"/>
  <c r="B589" i="3"/>
  <c r="C589" i="3"/>
  <c r="AM589" i="3"/>
  <c r="AK589" i="3"/>
  <c r="S589" i="3"/>
  <c r="Q589" i="3"/>
  <c r="D589" i="3"/>
  <c r="T589" i="3"/>
  <c r="R589" i="3"/>
  <c r="AD589" i="3"/>
  <c r="P589" i="3"/>
  <c r="O589" i="3"/>
  <c r="AE589" i="3"/>
  <c r="AF589" i="3"/>
  <c r="V589" i="3"/>
  <c r="M589" i="3"/>
  <c r="U589" i="3"/>
  <c r="G589" i="3"/>
  <c r="H589" i="3" s="1"/>
  <c r="F589" i="3"/>
  <c r="AW587" i="3"/>
  <c r="Y588" i="3"/>
  <c r="Z588" i="3" s="1"/>
  <c r="AT587" i="3"/>
  <c r="AU587" i="3"/>
  <c r="AG588" i="3"/>
  <c r="AH588" i="3"/>
  <c r="AO588" i="3"/>
  <c r="X588" i="3"/>
  <c r="AV586" i="3"/>
  <c r="BA586" i="3"/>
  <c r="AY587" i="3" l="1"/>
  <c r="BG585" i="3"/>
  <c r="BH585" i="3" s="1"/>
  <c r="BI585" i="3" s="1"/>
  <c r="BM589" i="3"/>
  <c r="BC586" i="3"/>
  <c r="BD586" i="3" s="1"/>
  <c r="AN589" i="3"/>
  <c r="AU588" i="3"/>
  <c r="AX588" i="3"/>
  <c r="AG589" i="3"/>
  <c r="AV587" i="3"/>
  <c r="BA587" i="3"/>
  <c r="AT588" i="3"/>
  <c r="AW588" i="3"/>
  <c r="BN589" i="3"/>
  <c r="AH589" i="3"/>
  <c r="AO589" i="3"/>
  <c r="X589" i="3"/>
  <c r="BQ586" i="3"/>
  <c r="BF586" i="3"/>
  <c r="BJ585" i="3" s="1"/>
  <c r="BK585" i="3" s="1"/>
  <c r="BB586" i="3"/>
  <c r="Y589" i="3"/>
  <c r="Z589" i="3" s="1"/>
  <c r="AR590" i="3"/>
  <c r="AQ590" i="3"/>
  <c r="B590" i="3"/>
  <c r="A591" i="3"/>
  <c r="D590" i="3"/>
  <c r="C590" i="3"/>
  <c r="AK590" i="3"/>
  <c r="AM590" i="3"/>
  <c r="S590" i="3"/>
  <c r="R590" i="3"/>
  <c r="Q590" i="3"/>
  <c r="T590" i="3"/>
  <c r="AD590" i="3"/>
  <c r="P590" i="3"/>
  <c r="O590" i="3"/>
  <c r="M590" i="3"/>
  <c r="V590" i="3"/>
  <c r="AE590" i="3"/>
  <c r="AF590" i="3"/>
  <c r="U590" i="3"/>
  <c r="F590" i="3"/>
  <c r="G590" i="3"/>
  <c r="H590" i="3" s="1"/>
  <c r="BC587" i="3" l="1"/>
  <c r="BG587" i="3" s="1"/>
  <c r="BH587" i="3" s="1"/>
  <c r="BI587" i="3" s="1"/>
  <c r="BG586" i="3"/>
  <c r="BH586" i="3" s="1"/>
  <c r="BI586" i="3" s="1"/>
  <c r="AN590" i="3"/>
  <c r="BN590" i="3"/>
  <c r="AU589" i="3"/>
  <c r="AW589" i="3"/>
  <c r="AY588" i="3"/>
  <c r="AT589" i="3"/>
  <c r="AG590" i="3"/>
  <c r="A592" i="3"/>
  <c r="AQ591" i="3"/>
  <c r="AR591" i="3"/>
  <c r="B591" i="3"/>
  <c r="C591" i="3"/>
  <c r="T591" i="3"/>
  <c r="D591" i="3"/>
  <c r="AM591" i="3"/>
  <c r="AK591" i="3"/>
  <c r="S591" i="3"/>
  <c r="R591" i="3"/>
  <c r="Q591" i="3"/>
  <c r="AD591" i="3"/>
  <c r="AE591" i="3"/>
  <c r="P591" i="3"/>
  <c r="O591" i="3"/>
  <c r="AF591" i="3"/>
  <c r="V591" i="3"/>
  <c r="U591" i="3"/>
  <c r="M591" i="3"/>
  <c r="F591" i="3"/>
  <c r="BM591" i="3" s="1"/>
  <c r="G591" i="3"/>
  <c r="H591" i="3" s="1"/>
  <c r="Y590" i="3"/>
  <c r="Z590" i="3" s="1"/>
  <c r="AV588" i="3"/>
  <c r="BA588" i="3"/>
  <c r="X590" i="3"/>
  <c r="BM590" i="3"/>
  <c r="AH590" i="3"/>
  <c r="AO590" i="3"/>
  <c r="AX589" i="3"/>
  <c r="BB587" i="3"/>
  <c r="BQ587" i="3"/>
  <c r="BF587" i="3"/>
  <c r="BJ586" i="3" s="1"/>
  <c r="BK586" i="3" s="1"/>
  <c r="BD587" i="3" l="1"/>
  <c r="BC588" i="3"/>
  <c r="BD588" i="3" s="1"/>
  <c r="AU590" i="3"/>
  <c r="AV589" i="3"/>
  <c r="BN591" i="3"/>
  <c r="AY589" i="3"/>
  <c r="AW590" i="3"/>
  <c r="AT590" i="3"/>
  <c r="AH591" i="3"/>
  <c r="AO591" i="3"/>
  <c r="BF588" i="3"/>
  <c r="BJ587" i="3" s="1"/>
  <c r="BK587" i="3" s="1"/>
  <c r="BB588" i="3"/>
  <c r="BQ588" i="3"/>
  <c r="AX590" i="3"/>
  <c r="BA589" i="3"/>
  <c r="AG591" i="3"/>
  <c r="AN591" i="3"/>
  <c r="Y591" i="3"/>
  <c r="Z591" i="3" s="1"/>
  <c r="A593" i="3"/>
  <c r="AR592" i="3"/>
  <c r="B592" i="3"/>
  <c r="AQ592" i="3"/>
  <c r="D592" i="3"/>
  <c r="C592" i="3"/>
  <c r="AK592" i="3"/>
  <c r="T592" i="3"/>
  <c r="S592" i="3"/>
  <c r="AM592" i="3"/>
  <c r="Q592" i="3"/>
  <c r="R592" i="3"/>
  <c r="AD592" i="3"/>
  <c r="O592" i="3"/>
  <c r="M592" i="3"/>
  <c r="AE592" i="3"/>
  <c r="AF592" i="3"/>
  <c r="U592" i="3"/>
  <c r="P592" i="3"/>
  <c r="V592" i="3"/>
  <c r="G592" i="3"/>
  <c r="H592" i="3" s="1"/>
  <c r="BN592" i="3" s="1"/>
  <c r="F592" i="3"/>
  <c r="X591" i="3"/>
  <c r="BM592" i="3" l="1"/>
  <c r="BG588" i="3"/>
  <c r="BH588" i="3" s="1"/>
  <c r="BI588" i="3" s="1"/>
  <c r="AV590" i="3"/>
  <c r="BC589" i="3"/>
  <c r="BD589" i="3" s="1"/>
  <c r="AU591" i="3"/>
  <c r="BA590" i="3"/>
  <c r="BF590" i="3" s="1"/>
  <c r="AX591" i="3"/>
  <c r="AT591" i="3"/>
  <c r="AO592" i="3"/>
  <c r="AY590" i="3"/>
  <c r="AG592" i="3"/>
  <c r="AN592" i="3"/>
  <c r="X592" i="3"/>
  <c r="AW591" i="3"/>
  <c r="Y592" i="3"/>
  <c r="Z592" i="3" s="1"/>
  <c r="AR593" i="3"/>
  <c r="A594" i="3"/>
  <c r="AQ593" i="3"/>
  <c r="B593" i="3"/>
  <c r="D593" i="3"/>
  <c r="AK593" i="3"/>
  <c r="R593" i="3"/>
  <c r="AM593" i="3"/>
  <c r="C593" i="3"/>
  <c r="Q593" i="3"/>
  <c r="P593" i="3"/>
  <c r="S593" i="3"/>
  <c r="AD593" i="3"/>
  <c r="O593" i="3"/>
  <c r="AF593" i="3"/>
  <c r="V593" i="3"/>
  <c r="AE593" i="3"/>
  <c r="M593" i="3"/>
  <c r="U593" i="3"/>
  <c r="F593" i="3"/>
  <c r="G593" i="3"/>
  <c r="H593" i="3" s="1"/>
  <c r="T593" i="3"/>
  <c r="BQ589" i="3"/>
  <c r="BF589" i="3"/>
  <c r="BJ588" i="3" s="1"/>
  <c r="BK588" i="3" s="1"/>
  <c r="BB589" i="3"/>
  <c r="AH592" i="3"/>
  <c r="BC590" i="3" l="1"/>
  <c r="BD590" i="3" s="1"/>
  <c r="AN593" i="3"/>
  <c r="BN593" i="3"/>
  <c r="BG589" i="3"/>
  <c r="BH589" i="3" s="1"/>
  <c r="BI589" i="3" s="1"/>
  <c r="AG593" i="3"/>
  <c r="BB590" i="3"/>
  <c r="AV591" i="3"/>
  <c r="BJ589" i="3"/>
  <c r="BK589" i="3" s="1"/>
  <c r="BQ590" i="3"/>
  <c r="AY591" i="3"/>
  <c r="AX592" i="3"/>
  <c r="AR594" i="3"/>
  <c r="AQ594" i="3"/>
  <c r="B594" i="3"/>
  <c r="A595" i="3"/>
  <c r="C594" i="3"/>
  <c r="D594" i="3"/>
  <c r="AK594" i="3"/>
  <c r="AM594" i="3"/>
  <c r="S594" i="3"/>
  <c r="AD594" i="3"/>
  <c r="T594" i="3"/>
  <c r="P594" i="3"/>
  <c r="AE594" i="3"/>
  <c r="M594" i="3"/>
  <c r="V594" i="3"/>
  <c r="O594" i="3"/>
  <c r="AF594" i="3"/>
  <c r="U594" i="3"/>
  <c r="R594" i="3"/>
  <c r="Q594" i="3"/>
  <c r="G594" i="3"/>
  <c r="H594" i="3" s="1"/>
  <c r="F594" i="3"/>
  <c r="AH593" i="3"/>
  <c r="Y593" i="3"/>
  <c r="Z593" i="3" s="1"/>
  <c r="BM593" i="3"/>
  <c r="AO593" i="3"/>
  <c r="AT592" i="3"/>
  <c r="AW592" i="3"/>
  <c r="X593" i="3"/>
  <c r="AU592" i="3"/>
  <c r="BA591" i="3"/>
  <c r="BG590" i="3" l="1"/>
  <c r="BH590" i="3" s="1"/>
  <c r="BI590" i="3" s="1"/>
  <c r="AU593" i="3"/>
  <c r="BM594" i="3"/>
  <c r="AV592" i="3"/>
  <c r="BC591" i="3"/>
  <c r="BG591" i="3" s="1"/>
  <c r="BH591" i="3" s="1"/>
  <c r="BI591" i="3" s="1"/>
  <c r="AW593" i="3"/>
  <c r="AN594" i="3"/>
  <c r="BA592" i="3"/>
  <c r="AY592" i="3"/>
  <c r="BB591" i="3"/>
  <c r="BF591" i="3"/>
  <c r="BJ590" i="3" s="1"/>
  <c r="BK590" i="3" s="1"/>
  <c r="BQ591" i="3"/>
  <c r="AT593" i="3"/>
  <c r="AX593" i="3"/>
  <c r="BN594" i="3"/>
  <c r="AH594" i="3"/>
  <c r="AG594" i="3"/>
  <c r="AO594" i="3"/>
  <c r="X594" i="3"/>
  <c r="Y594" i="3"/>
  <c r="Z594" i="3" s="1"/>
  <c r="A596" i="3"/>
  <c r="AQ595" i="3"/>
  <c r="AR595" i="3"/>
  <c r="B595" i="3"/>
  <c r="D595" i="3"/>
  <c r="AM595" i="3"/>
  <c r="C595" i="3"/>
  <c r="AK595" i="3"/>
  <c r="S595" i="3"/>
  <c r="Q595" i="3"/>
  <c r="R595" i="3"/>
  <c r="P595" i="3"/>
  <c r="AD595" i="3"/>
  <c r="M595" i="3"/>
  <c r="AE595" i="3"/>
  <c r="U595" i="3"/>
  <c r="O595" i="3"/>
  <c r="AF595" i="3"/>
  <c r="V595" i="3"/>
  <c r="G595" i="3"/>
  <c r="H595" i="3" s="1"/>
  <c r="F595" i="3"/>
  <c r="T595" i="3"/>
  <c r="BD591" i="3" l="1"/>
  <c r="BM595" i="3"/>
  <c r="BC592" i="3"/>
  <c r="BG592" i="3" s="1"/>
  <c r="BH592" i="3" s="1"/>
  <c r="BI592" i="3" s="1"/>
  <c r="BN595" i="3"/>
  <c r="AY593" i="3"/>
  <c r="AO595" i="3"/>
  <c r="AT594" i="3"/>
  <c r="AU594" i="3"/>
  <c r="A597" i="3"/>
  <c r="AR596" i="3"/>
  <c r="B596" i="3"/>
  <c r="AQ596" i="3"/>
  <c r="D596" i="3"/>
  <c r="C596" i="3"/>
  <c r="S596" i="3"/>
  <c r="AK596" i="3"/>
  <c r="AM596" i="3"/>
  <c r="Q596" i="3"/>
  <c r="AD596" i="3"/>
  <c r="P596" i="3"/>
  <c r="R596" i="3"/>
  <c r="O596" i="3"/>
  <c r="M596" i="3"/>
  <c r="U596" i="3"/>
  <c r="AE596" i="3"/>
  <c r="AF596" i="3"/>
  <c r="V596" i="3"/>
  <c r="G596" i="3"/>
  <c r="H596" i="3" s="1"/>
  <c r="F596" i="3"/>
  <c r="T596" i="3"/>
  <c r="AV593" i="3"/>
  <c r="BA593" i="3"/>
  <c r="AN595" i="3"/>
  <c r="AG595" i="3"/>
  <c r="AH595" i="3"/>
  <c r="X595" i="3"/>
  <c r="AW594" i="3"/>
  <c r="BQ592" i="3"/>
  <c r="BB592" i="3"/>
  <c r="BF592" i="3"/>
  <c r="BJ591" i="3" s="1"/>
  <c r="BK591" i="3" s="1"/>
  <c r="Y595" i="3"/>
  <c r="Z595" i="3" s="1"/>
  <c r="AX594" i="3"/>
  <c r="BD592" i="3" l="1"/>
  <c r="BC593" i="3"/>
  <c r="BG593" i="3" s="1"/>
  <c r="BH593" i="3" s="1"/>
  <c r="BI593" i="3" s="1"/>
  <c r="BM596" i="3"/>
  <c r="AG596" i="3"/>
  <c r="AV594" i="3"/>
  <c r="AU595" i="3"/>
  <c r="AX595" i="3"/>
  <c r="AN596" i="3"/>
  <c r="AY594" i="3"/>
  <c r="BB593" i="3"/>
  <c r="BF593" i="3"/>
  <c r="BJ592" i="3" s="1"/>
  <c r="BK592" i="3" s="1"/>
  <c r="BQ593" i="3"/>
  <c r="AW595" i="3"/>
  <c r="BA594" i="3"/>
  <c r="AT595" i="3"/>
  <c r="Y596" i="3"/>
  <c r="Z596" i="3" s="1"/>
  <c r="BN596" i="3"/>
  <c r="AH596" i="3"/>
  <c r="AO596" i="3"/>
  <c r="X596" i="3"/>
  <c r="AR597" i="3"/>
  <c r="A598" i="3"/>
  <c r="AQ597" i="3"/>
  <c r="B597" i="3"/>
  <c r="C597" i="3"/>
  <c r="AK597" i="3"/>
  <c r="AM597" i="3"/>
  <c r="T597" i="3"/>
  <c r="D597" i="3"/>
  <c r="R597" i="3"/>
  <c r="S597" i="3"/>
  <c r="AD597" i="3"/>
  <c r="O597" i="3"/>
  <c r="AE597" i="3"/>
  <c r="M597" i="3"/>
  <c r="AF597" i="3"/>
  <c r="V597" i="3"/>
  <c r="U597" i="3"/>
  <c r="P597" i="3"/>
  <c r="Q597" i="3"/>
  <c r="G597" i="3"/>
  <c r="H597" i="3" s="1"/>
  <c r="F597" i="3"/>
  <c r="BN597" i="3" l="1"/>
  <c r="BD593" i="3"/>
  <c r="BC594" i="3"/>
  <c r="BD594" i="3" s="1"/>
  <c r="AY595" i="3"/>
  <c r="BM597" i="3"/>
  <c r="AV595" i="3"/>
  <c r="AO597" i="3"/>
  <c r="AX596" i="3"/>
  <c r="AT596" i="3"/>
  <c r="BA595" i="3"/>
  <c r="BF595" i="3" s="1"/>
  <c r="Y597" i="3"/>
  <c r="Z597" i="3" s="1"/>
  <c r="AN597" i="3"/>
  <c r="X597" i="3"/>
  <c r="AU596" i="3"/>
  <c r="AR598" i="3"/>
  <c r="AQ598" i="3"/>
  <c r="B598" i="3"/>
  <c r="A599" i="3"/>
  <c r="C598" i="3"/>
  <c r="S598" i="3"/>
  <c r="Q598" i="3"/>
  <c r="D598" i="3"/>
  <c r="AM598" i="3"/>
  <c r="AK598" i="3"/>
  <c r="R598" i="3"/>
  <c r="AD598" i="3"/>
  <c r="P598" i="3"/>
  <c r="O598" i="3"/>
  <c r="M598" i="3"/>
  <c r="AE598" i="3"/>
  <c r="AF598" i="3"/>
  <c r="U598" i="3"/>
  <c r="V598" i="3"/>
  <c r="F598" i="3"/>
  <c r="G598" i="3"/>
  <c r="H598" i="3" s="1"/>
  <c r="T598" i="3"/>
  <c r="BQ594" i="3"/>
  <c r="BF594" i="3"/>
  <c r="BJ593" i="3" s="1"/>
  <c r="BK593" i="3" s="1"/>
  <c r="BB594" i="3"/>
  <c r="AG597" i="3"/>
  <c r="AH597" i="3"/>
  <c r="AW596" i="3"/>
  <c r="BG594" i="3" l="1"/>
  <c r="BH594" i="3" s="1"/>
  <c r="BI594" i="3" s="1"/>
  <c r="BC595" i="3"/>
  <c r="BD595" i="3" s="1"/>
  <c r="BN598" i="3"/>
  <c r="AV596" i="3"/>
  <c r="AN598" i="3"/>
  <c r="AX597" i="3"/>
  <c r="BB595" i="3"/>
  <c r="BQ595" i="3"/>
  <c r="A600" i="3"/>
  <c r="AQ599" i="3"/>
  <c r="AR599" i="3"/>
  <c r="B599" i="3"/>
  <c r="C599" i="3"/>
  <c r="D599" i="3"/>
  <c r="AM599" i="3"/>
  <c r="AK599" i="3"/>
  <c r="T599" i="3"/>
  <c r="S599" i="3"/>
  <c r="Q599" i="3"/>
  <c r="AD599" i="3"/>
  <c r="R599" i="3"/>
  <c r="P599" i="3"/>
  <c r="M599" i="3"/>
  <c r="AF599" i="3"/>
  <c r="AE599" i="3"/>
  <c r="U599" i="3"/>
  <c r="O599" i="3"/>
  <c r="V599" i="3"/>
  <c r="G599" i="3"/>
  <c r="H599" i="3" s="1"/>
  <c r="F599" i="3"/>
  <c r="AW597" i="3"/>
  <c r="Y598" i="3"/>
  <c r="Z598" i="3" s="1"/>
  <c r="BM598" i="3"/>
  <c r="AG598" i="3"/>
  <c r="AH598" i="3"/>
  <c r="AO598" i="3"/>
  <c r="AT597" i="3"/>
  <c r="BJ594" i="3"/>
  <c r="BK594" i="3" s="1"/>
  <c r="BA596" i="3"/>
  <c r="AY596" i="3"/>
  <c r="X598" i="3"/>
  <c r="AU597" i="3"/>
  <c r="BG595" i="3" l="1"/>
  <c r="BH595" i="3" s="1"/>
  <c r="BI595" i="3" s="1"/>
  <c r="BC596" i="3"/>
  <c r="BG596" i="3" s="1"/>
  <c r="BH596" i="3" s="1"/>
  <c r="BI596" i="3" s="1"/>
  <c r="BM599" i="3"/>
  <c r="AV597" i="3"/>
  <c r="AT598" i="3"/>
  <c r="AU598" i="3"/>
  <c r="AO599" i="3"/>
  <c r="BF596" i="3"/>
  <c r="BJ595" i="3" s="1"/>
  <c r="BK595" i="3" s="1"/>
  <c r="BQ596" i="3"/>
  <c r="BB596" i="3"/>
  <c r="BA597" i="3"/>
  <c r="AY597" i="3"/>
  <c r="A601" i="3"/>
  <c r="AR600" i="3"/>
  <c r="B600" i="3"/>
  <c r="AQ600" i="3"/>
  <c r="D600" i="3"/>
  <c r="C600" i="3"/>
  <c r="S600" i="3"/>
  <c r="AK600" i="3"/>
  <c r="AM600" i="3"/>
  <c r="T600" i="3"/>
  <c r="R600" i="3"/>
  <c r="P600" i="3"/>
  <c r="AD600" i="3"/>
  <c r="O600" i="3"/>
  <c r="M600" i="3"/>
  <c r="U600" i="3"/>
  <c r="AE600" i="3"/>
  <c r="AF600" i="3"/>
  <c r="V600" i="3"/>
  <c r="Q600" i="3"/>
  <c r="G600" i="3"/>
  <c r="H600" i="3" s="1"/>
  <c r="F600" i="3"/>
  <c r="BM600" i="3" s="1"/>
  <c r="AX598" i="3"/>
  <c r="BN599" i="3"/>
  <c r="AG599" i="3"/>
  <c r="AN599" i="3"/>
  <c r="X599" i="3"/>
  <c r="Y599" i="3"/>
  <c r="Z599" i="3" s="1"/>
  <c r="AW598" i="3"/>
  <c r="AH599" i="3"/>
  <c r="BN600" i="3" l="1"/>
  <c r="BC597" i="3"/>
  <c r="BD597" i="3" s="1"/>
  <c r="BD596" i="3"/>
  <c r="AY598" i="3"/>
  <c r="AG600" i="3"/>
  <c r="AV598" i="3"/>
  <c r="AN600" i="3"/>
  <c r="AU599" i="3"/>
  <c r="AX599" i="3"/>
  <c r="AT599" i="3"/>
  <c r="AW599" i="3"/>
  <c r="AH600" i="3"/>
  <c r="AO600" i="3"/>
  <c r="X600" i="3"/>
  <c r="Y600" i="3"/>
  <c r="Z600" i="3" s="1"/>
  <c r="AR601" i="3"/>
  <c r="A602" i="3"/>
  <c r="AQ601" i="3"/>
  <c r="B601" i="3"/>
  <c r="D601" i="3"/>
  <c r="AM601" i="3"/>
  <c r="T601" i="3"/>
  <c r="C601" i="3"/>
  <c r="AK601" i="3"/>
  <c r="P601" i="3"/>
  <c r="S601" i="3"/>
  <c r="Q601" i="3"/>
  <c r="AD601" i="3"/>
  <c r="O601" i="3"/>
  <c r="M601" i="3"/>
  <c r="V601" i="3"/>
  <c r="AF601" i="3"/>
  <c r="AE601" i="3"/>
  <c r="U601" i="3"/>
  <c r="R601" i="3"/>
  <c r="F601" i="3"/>
  <c r="G601" i="3"/>
  <c r="H601" i="3" s="1"/>
  <c r="BF597" i="3"/>
  <c r="BJ596" i="3" s="1"/>
  <c r="BK596" i="3" s="1"/>
  <c r="BQ597" i="3"/>
  <c r="BB597" i="3"/>
  <c r="BA598" i="3"/>
  <c r="BG597" i="3" l="1"/>
  <c r="BH597" i="3" s="1"/>
  <c r="BI597" i="3" s="1"/>
  <c r="BC598" i="3"/>
  <c r="BD598" i="3" s="1"/>
  <c r="AY599" i="3"/>
  <c r="BM601" i="3"/>
  <c r="BN601" i="3"/>
  <c r="AU600" i="3"/>
  <c r="AO601" i="3"/>
  <c r="AT600" i="3"/>
  <c r="BQ598" i="3"/>
  <c r="BF598" i="3"/>
  <c r="BB598" i="3"/>
  <c r="AR602" i="3"/>
  <c r="AQ602" i="3"/>
  <c r="B602" i="3"/>
  <c r="A603" i="3"/>
  <c r="C602" i="3"/>
  <c r="AK602" i="3"/>
  <c r="AM602" i="3"/>
  <c r="T602" i="3"/>
  <c r="S602" i="3"/>
  <c r="Q602" i="3"/>
  <c r="D602" i="3"/>
  <c r="R602" i="3"/>
  <c r="AD602" i="3"/>
  <c r="O602" i="3"/>
  <c r="M602" i="3"/>
  <c r="AF602" i="3"/>
  <c r="P602" i="3"/>
  <c r="AE602" i="3"/>
  <c r="V602" i="3"/>
  <c r="U602" i="3"/>
  <c r="G602" i="3"/>
  <c r="H602" i="3" s="1"/>
  <c r="F602" i="3"/>
  <c r="AV599" i="3"/>
  <c r="BA599" i="3"/>
  <c r="AG601" i="3"/>
  <c r="X601" i="3"/>
  <c r="AN601" i="3"/>
  <c r="AX600" i="3"/>
  <c r="AW600" i="3"/>
  <c r="Y601" i="3"/>
  <c r="Z601" i="3" s="1"/>
  <c r="AH601" i="3"/>
  <c r="BN602" i="3" l="1"/>
  <c r="AV600" i="3"/>
  <c r="BG598" i="3"/>
  <c r="BH598" i="3" s="1"/>
  <c r="BI598" i="3" s="1"/>
  <c r="BC599" i="3"/>
  <c r="BD599" i="3" s="1"/>
  <c r="AN602" i="3"/>
  <c r="AH602" i="3"/>
  <c r="AX601" i="3"/>
  <c r="BA600" i="3"/>
  <c r="BQ600" i="3" s="1"/>
  <c r="BB599" i="3"/>
  <c r="BF599" i="3"/>
  <c r="BJ598" i="3" s="1"/>
  <c r="BK598" i="3" s="1"/>
  <c r="BQ599" i="3"/>
  <c r="A604" i="3"/>
  <c r="AQ603" i="3"/>
  <c r="AR603" i="3"/>
  <c r="B603" i="3"/>
  <c r="D603" i="3"/>
  <c r="C603" i="3"/>
  <c r="S603" i="3"/>
  <c r="AM603" i="3"/>
  <c r="AK603" i="3"/>
  <c r="Q603" i="3"/>
  <c r="R603" i="3"/>
  <c r="AD603" i="3"/>
  <c r="P603" i="3"/>
  <c r="O603" i="3"/>
  <c r="M603" i="3"/>
  <c r="AF603" i="3"/>
  <c r="AE603" i="3"/>
  <c r="U603" i="3"/>
  <c r="V603" i="3"/>
  <c r="G603" i="3"/>
  <c r="H603" i="3" s="1"/>
  <c r="F603" i="3"/>
  <c r="T603" i="3"/>
  <c r="AT601" i="3"/>
  <c r="AY600" i="3"/>
  <c r="BM602" i="3"/>
  <c r="AG602" i="3"/>
  <c r="AO602" i="3"/>
  <c r="AU601" i="3"/>
  <c r="AW601" i="3"/>
  <c r="Y602" i="3"/>
  <c r="Z602" i="3" s="1"/>
  <c r="BJ597" i="3"/>
  <c r="BK597" i="3" s="1"/>
  <c r="X602" i="3"/>
  <c r="BC600" i="3" l="1"/>
  <c r="BG600" i="3" s="1"/>
  <c r="BH600" i="3" s="1"/>
  <c r="BI600" i="3" s="1"/>
  <c r="BG599" i="3"/>
  <c r="BH599" i="3" s="1"/>
  <c r="BI599" i="3" s="1"/>
  <c r="BN603" i="3"/>
  <c r="BM603" i="3"/>
  <c r="AW602" i="3"/>
  <c r="AN603" i="3"/>
  <c r="AO603" i="3"/>
  <c r="AT602" i="3"/>
  <c r="AY601" i="3"/>
  <c r="AU602" i="3"/>
  <c r="AG603" i="3"/>
  <c r="BB600" i="3"/>
  <c r="Y603" i="3"/>
  <c r="Z603" i="3" s="1"/>
  <c r="BF600" i="3"/>
  <c r="BJ599" i="3" s="1"/>
  <c r="BK599" i="3" s="1"/>
  <c r="A605" i="3"/>
  <c r="AR604" i="3"/>
  <c r="B604" i="3"/>
  <c r="AQ604" i="3"/>
  <c r="D604" i="3"/>
  <c r="AM604" i="3"/>
  <c r="AK604" i="3"/>
  <c r="C604" i="3"/>
  <c r="T604" i="3"/>
  <c r="S604" i="3"/>
  <c r="Q604" i="3"/>
  <c r="AD604" i="3"/>
  <c r="P604" i="3"/>
  <c r="AE604" i="3"/>
  <c r="M604" i="3"/>
  <c r="AF604" i="3"/>
  <c r="U604" i="3"/>
  <c r="V604" i="3"/>
  <c r="O604" i="3"/>
  <c r="R604" i="3"/>
  <c r="F604" i="3"/>
  <c r="G604" i="3"/>
  <c r="H604" i="3" s="1"/>
  <c r="AX602" i="3"/>
  <c r="BA601" i="3"/>
  <c r="AV601" i="3"/>
  <c r="AH603" i="3"/>
  <c r="X603" i="3"/>
  <c r="BD600" i="3" l="1"/>
  <c r="BN604" i="3"/>
  <c r="AX603" i="3"/>
  <c r="AV602" i="3"/>
  <c r="BC601" i="3"/>
  <c r="BG601" i="3" s="1"/>
  <c r="BH601" i="3" s="1"/>
  <c r="BI601" i="3" s="1"/>
  <c r="BA602" i="3"/>
  <c r="BQ602" i="3" s="1"/>
  <c r="AN604" i="3"/>
  <c r="AU603" i="3"/>
  <c r="BF601" i="3"/>
  <c r="BJ600" i="3" s="1"/>
  <c r="BK600" i="3" s="1"/>
  <c r="BB601" i="3"/>
  <c r="BQ601" i="3"/>
  <c r="Y604" i="3"/>
  <c r="Z604" i="3" s="1"/>
  <c r="AR605" i="3"/>
  <c r="A606" i="3"/>
  <c r="AQ605" i="3"/>
  <c r="B605" i="3"/>
  <c r="C605" i="3"/>
  <c r="D605" i="3"/>
  <c r="AM605" i="3"/>
  <c r="AK605" i="3"/>
  <c r="S605" i="3"/>
  <c r="R605" i="3"/>
  <c r="AD605" i="3"/>
  <c r="P605" i="3"/>
  <c r="Q605" i="3"/>
  <c r="O605" i="3"/>
  <c r="AE605" i="3"/>
  <c r="M605" i="3"/>
  <c r="AF605" i="3"/>
  <c r="V605" i="3"/>
  <c r="U605" i="3"/>
  <c r="G605" i="3"/>
  <c r="H605" i="3" s="1"/>
  <c r="F605" i="3"/>
  <c r="BM605" i="3" s="1"/>
  <c r="T605" i="3"/>
  <c r="AT603" i="3"/>
  <c r="AW603" i="3"/>
  <c r="AY602" i="3"/>
  <c r="BM604" i="3"/>
  <c r="AO604" i="3"/>
  <c r="AG604" i="3"/>
  <c r="AH604" i="3"/>
  <c r="X604" i="3"/>
  <c r="BN605" i="3" l="1"/>
  <c r="BC602" i="3"/>
  <c r="BG602" i="3" s="1"/>
  <c r="BH602" i="3" s="1"/>
  <c r="BI602" i="3" s="1"/>
  <c r="AY603" i="3"/>
  <c r="BD601" i="3"/>
  <c r="BB602" i="3"/>
  <c r="BF602" i="3"/>
  <c r="BJ601" i="3" s="1"/>
  <c r="BK601" i="3" s="1"/>
  <c r="AO605" i="3"/>
  <c r="AU604" i="3"/>
  <c r="AX604" i="3"/>
  <c r="BA603" i="3"/>
  <c r="AV603" i="3"/>
  <c r="AT604" i="3"/>
  <c r="AW604" i="3"/>
  <c r="AG605" i="3"/>
  <c r="AH605" i="3"/>
  <c r="AN605" i="3"/>
  <c r="X605" i="3"/>
  <c r="AR606" i="3"/>
  <c r="AQ606" i="3"/>
  <c r="B606" i="3"/>
  <c r="A607" i="3"/>
  <c r="D606" i="3"/>
  <c r="C606" i="3"/>
  <c r="AK606" i="3"/>
  <c r="AM606" i="3"/>
  <c r="S606" i="3"/>
  <c r="R606" i="3"/>
  <c r="Q606" i="3"/>
  <c r="AD606" i="3"/>
  <c r="P606" i="3"/>
  <c r="O606" i="3"/>
  <c r="AE606" i="3"/>
  <c r="M606" i="3"/>
  <c r="AF606" i="3"/>
  <c r="V606" i="3"/>
  <c r="U606" i="3"/>
  <c r="G606" i="3"/>
  <c r="H606" i="3" s="1"/>
  <c r="F606" i="3"/>
  <c r="T606" i="3"/>
  <c r="Y605" i="3"/>
  <c r="Z605" i="3" s="1"/>
  <c r="BD602" i="3" l="1"/>
  <c r="AY604" i="3"/>
  <c r="BC603" i="3"/>
  <c r="BG603" i="3" s="1"/>
  <c r="BH603" i="3" s="1"/>
  <c r="BI603" i="3" s="1"/>
  <c r="BN606" i="3"/>
  <c r="AN606" i="3"/>
  <c r="AU605" i="3"/>
  <c r="Y606" i="3"/>
  <c r="Z606" i="3" s="1"/>
  <c r="BA604" i="3"/>
  <c r="BQ604" i="3" s="1"/>
  <c r="A608" i="3"/>
  <c r="AQ607" i="3"/>
  <c r="AR607" i="3"/>
  <c r="B607" i="3"/>
  <c r="C607" i="3"/>
  <c r="AK607" i="3"/>
  <c r="D607" i="3"/>
  <c r="AM607" i="3"/>
  <c r="S607" i="3"/>
  <c r="Q607" i="3"/>
  <c r="AD607" i="3"/>
  <c r="P607" i="3"/>
  <c r="AE607" i="3"/>
  <c r="O607" i="3"/>
  <c r="AF607" i="3"/>
  <c r="M607" i="3"/>
  <c r="V607" i="3"/>
  <c r="U607" i="3"/>
  <c r="R607" i="3"/>
  <c r="F607" i="3"/>
  <c r="G607" i="3"/>
  <c r="H607" i="3" s="1"/>
  <c r="T607" i="3"/>
  <c r="BQ603" i="3"/>
  <c r="BB603" i="3"/>
  <c r="BF603" i="3"/>
  <c r="BJ602" i="3" s="1"/>
  <c r="BK602" i="3" s="1"/>
  <c r="X606" i="3"/>
  <c r="AW605" i="3"/>
  <c r="BM606" i="3"/>
  <c r="AH606" i="3"/>
  <c r="AG606" i="3"/>
  <c r="AO606" i="3"/>
  <c r="AT605" i="3"/>
  <c r="AX605" i="3"/>
  <c r="AV604" i="3"/>
  <c r="BN607" i="3" l="1"/>
  <c r="AN607" i="3"/>
  <c r="BD603" i="3"/>
  <c r="BC604" i="3"/>
  <c r="BD604" i="3" s="1"/>
  <c r="BM607" i="3"/>
  <c r="BF604" i="3"/>
  <c r="BJ603" i="3" s="1"/>
  <c r="BK603" i="3" s="1"/>
  <c r="AW606" i="3"/>
  <c r="BB604" i="3"/>
  <c r="Y607" i="3"/>
  <c r="Z607" i="3" s="1"/>
  <c r="A609" i="3"/>
  <c r="AR608" i="3"/>
  <c r="B608" i="3"/>
  <c r="AQ608" i="3"/>
  <c r="D608" i="3"/>
  <c r="AK608" i="3"/>
  <c r="S608" i="3"/>
  <c r="C608" i="3"/>
  <c r="AM608" i="3"/>
  <c r="Q608" i="3"/>
  <c r="R608" i="3"/>
  <c r="AD608" i="3"/>
  <c r="P608" i="3"/>
  <c r="O608" i="3"/>
  <c r="AF608" i="3"/>
  <c r="V608" i="3"/>
  <c r="AE608" i="3"/>
  <c r="M608" i="3"/>
  <c r="U608" i="3"/>
  <c r="F608" i="3"/>
  <c r="G608" i="3"/>
  <c r="H608" i="3" s="1"/>
  <c r="T608" i="3"/>
  <c r="AU606" i="3"/>
  <c r="AT606" i="3"/>
  <c r="AX606" i="3"/>
  <c r="AY605" i="3"/>
  <c r="AG607" i="3"/>
  <c r="AH607" i="3"/>
  <c r="X607" i="3"/>
  <c r="AV605" i="3"/>
  <c r="BA605" i="3"/>
  <c r="AO607" i="3"/>
  <c r="BN608" i="3" l="1"/>
  <c r="BM608" i="3"/>
  <c r="BG604" i="3"/>
  <c r="BH604" i="3" s="1"/>
  <c r="BI604" i="3" s="1"/>
  <c r="AV606" i="3"/>
  <c r="AO608" i="3"/>
  <c r="AY606" i="3"/>
  <c r="Y608" i="3"/>
  <c r="Z608" i="3" s="1"/>
  <c r="BQ605" i="3"/>
  <c r="BF605" i="3"/>
  <c r="BJ604" i="3" s="1"/>
  <c r="BK604" i="3" s="1"/>
  <c r="BB605" i="3"/>
  <c r="AR609" i="3"/>
  <c r="A610" i="3"/>
  <c r="AQ609" i="3"/>
  <c r="B609" i="3"/>
  <c r="C609" i="3"/>
  <c r="D609" i="3"/>
  <c r="AK609" i="3"/>
  <c r="Q609" i="3"/>
  <c r="AM609" i="3"/>
  <c r="S609" i="3"/>
  <c r="R609" i="3"/>
  <c r="T609" i="3"/>
  <c r="AD609" i="3"/>
  <c r="P609" i="3"/>
  <c r="AE609" i="3"/>
  <c r="M609" i="3"/>
  <c r="O609" i="3"/>
  <c r="AF609" i="3"/>
  <c r="V609" i="3"/>
  <c r="U609" i="3"/>
  <c r="G609" i="3"/>
  <c r="H609" i="3" s="1"/>
  <c r="F609" i="3"/>
  <c r="AX607" i="3"/>
  <c r="X608" i="3"/>
  <c r="AU607" i="3"/>
  <c r="AT607" i="3"/>
  <c r="AW607" i="3"/>
  <c r="AG608" i="3"/>
  <c r="AH608" i="3"/>
  <c r="AN608" i="3"/>
  <c r="BC605" i="3"/>
  <c r="BA606" i="3"/>
  <c r="AN609" i="3" l="1"/>
  <c r="BC606" i="3"/>
  <c r="BG606" i="3" s="1"/>
  <c r="BH606" i="3" s="1"/>
  <c r="BI606" i="3" s="1"/>
  <c r="BN609" i="3"/>
  <c r="AG609" i="3"/>
  <c r="AU608" i="3"/>
  <c r="AO609" i="3"/>
  <c r="BD605" i="3"/>
  <c r="BG605" i="3"/>
  <c r="BH605" i="3" s="1"/>
  <c r="BI605" i="3" s="1"/>
  <c r="AV607" i="3"/>
  <c r="BA607" i="3"/>
  <c r="BB606" i="3"/>
  <c r="BF606" i="3"/>
  <c r="BJ605" i="3" s="1"/>
  <c r="BK605" i="3" s="1"/>
  <c r="BQ606" i="3"/>
  <c r="Y609" i="3"/>
  <c r="Z609" i="3" s="1"/>
  <c r="AR610" i="3"/>
  <c r="AQ610" i="3"/>
  <c r="B610" i="3"/>
  <c r="A611" i="3"/>
  <c r="D610" i="3"/>
  <c r="AK610" i="3"/>
  <c r="AM610" i="3"/>
  <c r="R610" i="3"/>
  <c r="Q610" i="3"/>
  <c r="C610" i="3"/>
  <c r="S610" i="3"/>
  <c r="P610" i="3"/>
  <c r="AD610" i="3"/>
  <c r="O610" i="3"/>
  <c r="M610" i="3"/>
  <c r="AE610" i="3"/>
  <c r="AF610" i="3"/>
  <c r="V610" i="3"/>
  <c r="U610" i="3"/>
  <c r="F610" i="3"/>
  <c r="G610" i="3"/>
  <c r="H610" i="3" s="1"/>
  <c r="BN610" i="3" s="1"/>
  <c r="T610" i="3"/>
  <c r="AW608" i="3"/>
  <c r="AT608" i="3"/>
  <c r="AX608" i="3"/>
  <c r="AY607" i="3"/>
  <c r="BM609" i="3"/>
  <c r="AH609" i="3"/>
  <c r="X609" i="3"/>
  <c r="BD606" i="3" l="1"/>
  <c r="BM610" i="3"/>
  <c r="AX609" i="3"/>
  <c r="BC607" i="3"/>
  <c r="BD607" i="3" s="1"/>
  <c r="AN610" i="3"/>
  <c r="AY608" i="3"/>
  <c r="A612" i="3"/>
  <c r="AQ611" i="3"/>
  <c r="AR611" i="3"/>
  <c r="B611" i="3"/>
  <c r="C611" i="3"/>
  <c r="AK611" i="3"/>
  <c r="T611" i="3"/>
  <c r="S611" i="3"/>
  <c r="AM611" i="3"/>
  <c r="D611" i="3"/>
  <c r="Q611" i="3"/>
  <c r="R611" i="3"/>
  <c r="AD611" i="3"/>
  <c r="P611" i="3"/>
  <c r="AE611" i="3"/>
  <c r="AF611" i="3"/>
  <c r="V611" i="3"/>
  <c r="O611" i="3"/>
  <c r="M611" i="3"/>
  <c r="U611" i="3"/>
  <c r="G611" i="3"/>
  <c r="H611" i="3" s="1"/>
  <c r="F611" i="3"/>
  <c r="AU609" i="3"/>
  <c r="Y610" i="3"/>
  <c r="Z610" i="3" s="1"/>
  <c r="AG610" i="3"/>
  <c r="X610" i="3"/>
  <c r="AO610" i="3"/>
  <c r="AT609" i="3"/>
  <c r="AV608" i="3"/>
  <c r="BA608" i="3"/>
  <c r="BF607" i="3"/>
  <c r="BJ606" i="3" s="1"/>
  <c r="BK606" i="3" s="1"/>
  <c r="BQ607" i="3"/>
  <c r="BB607" i="3"/>
  <c r="AH610" i="3"/>
  <c r="AW609" i="3"/>
  <c r="AY609" i="3" l="1"/>
  <c r="AN611" i="3"/>
  <c r="BN611" i="3"/>
  <c r="BM611" i="3"/>
  <c r="BG607" i="3"/>
  <c r="BH607" i="3" s="1"/>
  <c r="BI607" i="3" s="1"/>
  <c r="AT610" i="3"/>
  <c r="AO611" i="3"/>
  <c r="AX610" i="3"/>
  <c r="BC608" i="3"/>
  <c r="BG608" i="3" s="1"/>
  <c r="BH608" i="3" s="1"/>
  <c r="BI608" i="3" s="1"/>
  <c r="BB608" i="3"/>
  <c r="BF608" i="3"/>
  <c r="BJ607" i="3" s="1"/>
  <c r="BK607" i="3" s="1"/>
  <c r="BQ608" i="3"/>
  <c r="AV609" i="3"/>
  <c r="BA609" i="3"/>
  <c r="A613" i="3"/>
  <c r="AR612" i="3"/>
  <c r="B612" i="3"/>
  <c r="AQ612" i="3"/>
  <c r="C612" i="3"/>
  <c r="D612" i="3"/>
  <c r="AM612" i="3"/>
  <c r="T612" i="3"/>
  <c r="AK612" i="3"/>
  <c r="Q612" i="3"/>
  <c r="R612" i="3"/>
  <c r="S612" i="3"/>
  <c r="AD612" i="3"/>
  <c r="P612" i="3"/>
  <c r="O612" i="3"/>
  <c r="AE612" i="3"/>
  <c r="V612" i="3"/>
  <c r="M612" i="3"/>
  <c r="AF612" i="3"/>
  <c r="U612" i="3"/>
  <c r="G612" i="3"/>
  <c r="H612" i="3" s="1"/>
  <c r="F612" i="3"/>
  <c r="AW610" i="3"/>
  <c r="AG611" i="3"/>
  <c r="AH611" i="3"/>
  <c r="X611" i="3"/>
  <c r="Y611" i="3"/>
  <c r="Z611" i="3" s="1"/>
  <c r="AU610" i="3"/>
  <c r="BD608" i="3" l="1"/>
  <c r="BC609" i="3"/>
  <c r="BG609" i="3" s="1"/>
  <c r="BH609" i="3" s="1"/>
  <c r="BI609" i="3" s="1"/>
  <c r="AO612" i="3"/>
  <c r="BN612" i="3"/>
  <c r="AV610" i="3"/>
  <c r="AT611" i="3"/>
  <c r="AH612" i="3"/>
  <c r="AY610" i="3"/>
  <c r="AN612" i="3"/>
  <c r="Y612" i="3"/>
  <c r="Z612" i="3" s="1"/>
  <c r="BQ609" i="3"/>
  <c r="BB609" i="3"/>
  <c r="BF609" i="3"/>
  <c r="BJ608" i="3" s="1"/>
  <c r="BK608" i="3" s="1"/>
  <c r="AW611" i="3"/>
  <c r="BM612" i="3"/>
  <c r="AG612" i="3"/>
  <c r="BA610" i="3"/>
  <c r="AU611" i="3"/>
  <c r="AX611" i="3"/>
  <c r="AR613" i="3"/>
  <c r="A614" i="3"/>
  <c r="AQ613" i="3"/>
  <c r="B613" i="3"/>
  <c r="C613" i="3"/>
  <c r="D613" i="3"/>
  <c r="AK613" i="3"/>
  <c r="AM613" i="3"/>
  <c r="S613" i="3"/>
  <c r="R613" i="3"/>
  <c r="Q613" i="3"/>
  <c r="AD613" i="3"/>
  <c r="P613" i="3"/>
  <c r="M613" i="3"/>
  <c r="O613" i="3"/>
  <c r="AF613" i="3"/>
  <c r="U613" i="3"/>
  <c r="AE613" i="3"/>
  <c r="V613" i="3"/>
  <c r="F613" i="3"/>
  <c r="G613" i="3"/>
  <c r="H613" i="3" s="1"/>
  <c r="T613" i="3"/>
  <c r="X612" i="3"/>
  <c r="BD609" i="3" l="1"/>
  <c r="AG613" i="3"/>
  <c r="AO613" i="3"/>
  <c r="BN613" i="3"/>
  <c r="AT612" i="3"/>
  <c r="AX612" i="3"/>
  <c r="BC610" i="3"/>
  <c r="BD610" i="3" s="1"/>
  <c r="AW612" i="3"/>
  <c r="BA611" i="3"/>
  <c r="BB611" i="3" s="1"/>
  <c r="AY611" i="3"/>
  <c r="AR614" i="3"/>
  <c r="AQ614" i="3"/>
  <c r="B614" i="3"/>
  <c r="A615" i="3"/>
  <c r="C614" i="3"/>
  <c r="D614" i="3"/>
  <c r="AM614" i="3"/>
  <c r="S614" i="3"/>
  <c r="AK614" i="3"/>
  <c r="T614" i="3"/>
  <c r="Q614" i="3"/>
  <c r="AD614" i="3"/>
  <c r="R614" i="3"/>
  <c r="P614" i="3"/>
  <c r="M614" i="3"/>
  <c r="AE614" i="3"/>
  <c r="AF614" i="3"/>
  <c r="O614" i="3"/>
  <c r="U614" i="3"/>
  <c r="V614" i="3"/>
  <c r="G614" i="3"/>
  <c r="H614" i="3" s="1"/>
  <c r="F614" i="3"/>
  <c r="BB610" i="3"/>
  <c r="BQ610" i="3"/>
  <c r="BF610" i="3"/>
  <c r="BJ609" i="3" s="1"/>
  <c r="BK609" i="3" s="1"/>
  <c r="Y613" i="3"/>
  <c r="Z613" i="3" s="1"/>
  <c r="BM613" i="3"/>
  <c r="AH613" i="3"/>
  <c r="AN613" i="3"/>
  <c r="AU612" i="3"/>
  <c r="AV611" i="3"/>
  <c r="X613" i="3"/>
  <c r="AT613" i="3" l="1"/>
  <c r="AO614" i="3"/>
  <c r="AY612" i="3"/>
  <c r="BC611" i="3"/>
  <c r="BG611" i="3" s="1"/>
  <c r="BH611" i="3" s="1"/>
  <c r="BI611" i="3" s="1"/>
  <c r="BQ611" i="3"/>
  <c r="BN614" i="3"/>
  <c r="AV612" i="3"/>
  <c r="BG610" i="3"/>
  <c r="BH610" i="3" s="1"/>
  <c r="BI610" i="3" s="1"/>
  <c r="BA612" i="3"/>
  <c r="BQ612" i="3" s="1"/>
  <c r="AW613" i="3"/>
  <c r="BF611" i="3"/>
  <c r="BJ610" i="3" s="1"/>
  <c r="BK610" i="3" s="1"/>
  <c r="Y614" i="3"/>
  <c r="Z614" i="3" s="1"/>
  <c r="A616" i="3"/>
  <c r="AQ615" i="3"/>
  <c r="AR615" i="3"/>
  <c r="B615" i="3"/>
  <c r="D615" i="3"/>
  <c r="AM615" i="3"/>
  <c r="AK615" i="3"/>
  <c r="S615" i="3"/>
  <c r="Q615" i="3"/>
  <c r="C615" i="3"/>
  <c r="R615" i="3"/>
  <c r="AD615" i="3"/>
  <c r="P615" i="3"/>
  <c r="M615" i="3"/>
  <c r="AE615" i="3"/>
  <c r="V615" i="3"/>
  <c r="U615" i="3"/>
  <c r="O615" i="3"/>
  <c r="AF615" i="3"/>
  <c r="G615" i="3"/>
  <c r="H615" i="3" s="1"/>
  <c r="F615" i="3"/>
  <c r="T615" i="3"/>
  <c r="AX613" i="3"/>
  <c r="AU613" i="3"/>
  <c r="BM614" i="3"/>
  <c r="AG614" i="3"/>
  <c r="AH614" i="3"/>
  <c r="AN614" i="3"/>
  <c r="X614" i="3"/>
  <c r="AV613" i="3" l="1"/>
  <c r="BD611" i="3"/>
  <c r="BC612" i="3"/>
  <c r="BD612" i="3" s="1"/>
  <c r="BN615" i="3"/>
  <c r="BF612" i="3"/>
  <c r="BJ611" i="3" s="1"/>
  <c r="BK611" i="3" s="1"/>
  <c r="AY613" i="3"/>
  <c r="BB612" i="3"/>
  <c r="AN615" i="3"/>
  <c r="AX614" i="3"/>
  <c r="AH615" i="3"/>
  <c r="A617" i="3"/>
  <c r="AR616" i="3"/>
  <c r="B616" i="3"/>
  <c r="AQ616" i="3"/>
  <c r="C616" i="3"/>
  <c r="AK616" i="3"/>
  <c r="R616" i="3"/>
  <c r="D616" i="3"/>
  <c r="AM616" i="3"/>
  <c r="S616" i="3"/>
  <c r="Q616" i="3"/>
  <c r="AD616" i="3"/>
  <c r="P616" i="3"/>
  <c r="AE616" i="3"/>
  <c r="M616" i="3"/>
  <c r="U616" i="3"/>
  <c r="V616" i="3"/>
  <c r="O616" i="3"/>
  <c r="AF616" i="3"/>
  <c r="F616" i="3"/>
  <c r="G616" i="3"/>
  <c r="H616" i="3" s="1"/>
  <c r="T616" i="3"/>
  <c r="Y615" i="3"/>
  <c r="Z615" i="3" s="1"/>
  <c r="X615" i="3"/>
  <c r="AT614" i="3"/>
  <c r="AU614" i="3"/>
  <c r="AW614" i="3"/>
  <c r="BM615" i="3"/>
  <c r="AG615" i="3"/>
  <c r="AO615" i="3"/>
  <c r="BA613" i="3"/>
  <c r="BC613" i="3" l="1"/>
  <c r="BD613" i="3" s="1"/>
  <c r="BG612" i="3"/>
  <c r="BH612" i="3" s="1"/>
  <c r="BI612" i="3" s="1"/>
  <c r="BM616" i="3"/>
  <c r="AY614" i="3"/>
  <c r="AT615" i="3"/>
  <c r="AG616" i="3"/>
  <c r="AX615" i="3"/>
  <c r="AO616" i="3"/>
  <c r="AU615" i="3"/>
  <c r="Y616" i="3"/>
  <c r="Z616" i="3" s="1"/>
  <c r="BQ613" i="3"/>
  <c r="BF613" i="3"/>
  <c r="BJ612" i="3" s="1"/>
  <c r="BK612" i="3" s="1"/>
  <c r="BB613" i="3"/>
  <c r="AV614" i="3"/>
  <c r="BA614" i="3"/>
  <c r="AR617" i="3"/>
  <c r="A618" i="3"/>
  <c r="AQ617" i="3"/>
  <c r="B617" i="3"/>
  <c r="D617" i="3"/>
  <c r="C617" i="3"/>
  <c r="AK617" i="3"/>
  <c r="S617" i="3"/>
  <c r="R617" i="3"/>
  <c r="AM617" i="3"/>
  <c r="Q617" i="3"/>
  <c r="AD617" i="3"/>
  <c r="P617" i="3"/>
  <c r="O617" i="3"/>
  <c r="M617" i="3"/>
  <c r="AE617" i="3"/>
  <c r="AF617" i="3"/>
  <c r="U617" i="3"/>
  <c r="V617" i="3"/>
  <c r="F617" i="3"/>
  <c r="G617" i="3"/>
  <c r="H617" i="3" s="1"/>
  <c r="BN617" i="3" s="1"/>
  <c r="T617" i="3"/>
  <c r="AW615" i="3"/>
  <c r="BN616" i="3"/>
  <c r="AH616" i="3"/>
  <c r="AN616" i="3"/>
  <c r="X616" i="3"/>
  <c r="BG613" i="3" l="1"/>
  <c r="BH613" i="3" s="1"/>
  <c r="BI613" i="3" s="1"/>
  <c r="AV615" i="3"/>
  <c r="BM617" i="3"/>
  <c r="BC614" i="3"/>
  <c r="BG614" i="3" s="1"/>
  <c r="BH614" i="3" s="1"/>
  <c r="BI614" i="3" s="1"/>
  <c r="AX616" i="3"/>
  <c r="AY615" i="3"/>
  <c r="AO617" i="3"/>
  <c r="AR618" i="3"/>
  <c r="AQ618" i="3"/>
  <c r="B618" i="3"/>
  <c r="A619" i="3"/>
  <c r="C618" i="3"/>
  <c r="D618" i="3"/>
  <c r="AK618" i="3"/>
  <c r="AM618" i="3"/>
  <c r="S618" i="3"/>
  <c r="Q618" i="3"/>
  <c r="R618" i="3"/>
  <c r="AD618" i="3"/>
  <c r="P618" i="3"/>
  <c r="O618" i="3"/>
  <c r="AE618" i="3"/>
  <c r="AF618" i="3"/>
  <c r="V618" i="3"/>
  <c r="U618" i="3"/>
  <c r="M618" i="3"/>
  <c r="G618" i="3"/>
  <c r="H618" i="3" s="1"/>
  <c r="F618" i="3"/>
  <c r="T618" i="3"/>
  <c r="BF614" i="3"/>
  <c r="BJ613" i="3" s="1"/>
  <c r="BK613" i="3" s="1"/>
  <c r="BB614" i="3"/>
  <c r="BQ614" i="3"/>
  <c r="AT616" i="3"/>
  <c r="Y617" i="3"/>
  <c r="Z617" i="3" s="1"/>
  <c r="AG617" i="3"/>
  <c r="AH617" i="3"/>
  <c r="AN617" i="3"/>
  <c r="X617" i="3"/>
  <c r="AU616" i="3"/>
  <c r="AW616" i="3"/>
  <c r="BA615" i="3"/>
  <c r="BM618" i="3" l="1"/>
  <c r="BC615" i="3"/>
  <c r="BG615" i="3" s="1"/>
  <c r="BH615" i="3" s="1"/>
  <c r="BI615" i="3" s="1"/>
  <c r="BN618" i="3"/>
  <c r="BD614" i="3"/>
  <c r="AV616" i="3"/>
  <c r="AN618" i="3"/>
  <c r="AY616" i="3"/>
  <c r="AU617" i="3"/>
  <c r="AT617" i="3"/>
  <c r="Y618" i="3"/>
  <c r="Z618" i="3" s="1"/>
  <c r="AH618" i="3"/>
  <c r="BF615" i="3"/>
  <c r="BJ614" i="3" s="1"/>
  <c r="BK614" i="3" s="1"/>
  <c r="BB615" i="3"/>
  <c r="BQ615" i="3"/>
  <c r="AX617" i="3"/>
  <c r="AG618" i="3"/>
  <c r="AO618" i="3"/>
  <c r="X618" i="3"/>
  <c r="A620" i="3"/>
  <c r="AQ619" i="3"/>
  <c r="AR619" i="3"/>
  <c r="B619" i="3"/>
  <c r="C619" i="3"/>
  <c r="D619" i="3"/>
  <c r="R619" i="3"/>
  <c r="AK619" i="3"/>
  <c r="AM619" i="3"/>
  <c r="S619" i="3"/>
  <c r="T619" i="3"/>
  <c r="Q619" i="3"/>
  <c r="AD619" i="3"/>
  <c r="M619" i="3"/>
  <c r="P619" i="3"/>
  <c r="O619" i="3"/>
  <c r="V619" i="3"/>
  <c r="AE619" i="3"/>
  <c r="AF619" i="3"/>
  <c r="U619" i="3"/>
  <c r="G619" i="3"/>
  <c r="H619" i="3" s="1"/>
  <c r="F619" i="3"/>
  <c r="AW617" i="3"/>
  <c r="BA616" i="3"/>
  <c r="BD615" i="3" l="1"/>
  <c r="AY617" i="3"/>
  <c r="BC616" i="3"/>
  <c r="BG616" i="3" s="1"/>
  <c r="BH616" i="3" s="1"/>
  <c r="BI616" i="3" s="1"/>
  <c r="BM619" i="3"/>
  <c r="AT618" i="3"/>
  <c r="BN619" i="3"/>
  <c r="AV617" i="3"/>
  <c r="AX618" i="3"/>
  <c r="AO619" i="3"/>
  <c r="AU618" i="3"/>
  <c r="AG619" i="3"/>
  <c r="A621" i="3"/>
  <c r="AR620" i="3"/>
  <c r="B620" i="3"/>
  <c r="AQ620" i="3"/>
  <c r="C620" i="3"/>
  <c r="AK620" i="3"/>
  <c r="R620" i="3"/>
  <c r="Q620" i="3"/>
  <c r="AM620" i="3"/>
  <c r="D620" i="3"/>
  <c r="S620" i="3"/>
  <c r="AD620" i="3"/>
  <c r="P620" i="3"/>
  <c r="O620" i="3"/>
  <c r="AF620" i="3"/>
  <c r="U620" i="3"/>
  <c r="M620" i="3"/>
  <c r="AE620" i="3"/>
  <c r="V620" i="3"/>
  <c r="G620" i="3"/>
  <c r="H620" i="3" s="1"/>
  <c r="F620" i="3"/>
  <c r="T620" i="3"/>
  <c r="AH619" i="3"/>
  <c r="AN619" i="3"/>
  <c r="X619" i="3"/>
  <c r="AW618" i="3"/>
  <c r="BQ616" i="3"/>
  <c r="BF616" i="3"/>
  <c r="BJ615" i="3" s="1"/>
  <c r="BK615" i="3" s="1"/>
  <c r="BB616" i="3"/>
  <c r="Y619" i="3"/>
  <c r="Z619" i="3" s="1"/>
  <c r="BA617" i="3"/>
  <c r="BM620" i="3" l="1"/>
  <c r="BC617" i="3"/>
  <c r="BD617" i="3" s="1"/>
  <c r="BD616" i="3"/>
  <c r="BN620" i="3"/>
  <c r="AV618" i="3"/>
  <c r="AO620" i="3"/>
  <c r="AY618" i="3"/>
  <c r="AT619" i="3"/>
  <c r="AG620" i="3"/>
  <c r="BA618" i="3"/>
  <c r="BB618" i="3" s="1"/>
  <c r="AU619" i="3"/>
  <c r="AW619" i="3"/>
  <c r="Y620" i="3"/>
  <c r="Z620" i="3" s="1"/>
  <c r="BB617" i="3"/>
  <c r="BQ617" i="3"/>
  <c r="BF617" i="3"/>
  <c r="BJ616" i="3" s="1"/>
  <c r="BK616" i="3" s="1"/>
  <c r="AR621" i="3"/>
  <c r="A622" i="3"/>
  <c r="AQ621" i="3"/>
  <c r="B621" i="3"/>
  <c r="C621" i="3"/>
  <c r="AM621" i="3"/>
  <c r="AK621" i="3"/>
  <c r="T621" i="3"/>
  <c r="S621" i="3"/>
  <c r="Q621" i="3"/>
  <c r="D621" i="3"/>
  <c r="R621" i="3"/>
  <c r="AD621" i="3"/>
  <c r="P621" i="3"/>
  <c r="O621" i="3"/>
  <c r="V621" i="3"/>
  <c r="M621" i="3"/>
  <c r="AF621" i="3"/>
  <c r="AE621" i="3"/>
  <c r="U621" i="3"/>
  <c r="F621" i="3"/>
  <c r="G621" i="3"/>
  <c r="H621" i="3" s="1"/>
  <c r="AX619" i="3"/>
  <c r="AN620" i="3"/>
  <c r="X620" i="3"/>
  <c r="AH620" i="3"/>
  <c r="BM621" i="3" l="1"/>
  <c r="BG617" i="3"/>
  <c r="BH617" i="3" s="1"/>
  <c r="BI617" i="3" s="1"/>
  <c r="BC618" i="3"/>
  <c r="BD618" i="3" s="1"/>
  <c r="BQ618" i="3"/>
  <c r="AG621" i="3"/>
  <c r="AO621" i="3"/>
  <c r="AV619" i="3"/>
  <c r="BF618" i="3"/>
  <c r="BJ617" i="3" s="1"/>
  <c r="BK617" i="3" s="1"/>
  <c r="AW620" i="3"/>
  <c r="BA619" i="3"/>
  <c r="BF619" i="3" s="1"/>
  <c r="AT620" i="3"/>
  <c r="AY619" i="3"/>
  <c r="AU620" i="3"/>
  <c r="AR622" i="3"/>
  <c r="AQ622" i="3"/>
  <c r="B622" i="3"/>
  <c r="A623" i="3"/>
  <c r="D622" i="3"/>
  <c r="T622" i="3"/>
  <c r="C622" i="3"/>
  <c r="AM622" i="3"/>
  <c r="AK622" i="3"/>
  <c r="R622" i="3"/>
  <c r="AD622" i="3"/>
  <c r="S622" i="3"/>
  <c r="Q622" i="3"/>
  <c r="P622" i="3"/>
  <c r="O622" i="3"/>
  <c r="AF622" i="3"/>
  <c r="V622" i="3"/>
  <c r="AE622" i="3"/>
  <c r="M622" i="3"/>
  <c r="U622" i="3"/>
  <c r="G622" i="3"/>
  <c r="H622" i="3" s="1"/>
  <c r="F622" i="3"/>
  <c r="AX620" i="3"/>
  <c r="BN621" i="3"/>
  <c r="AN621" i="3"/>
  <c r="Y621" i="3"/>
  <c r="Z621" i="3" s="1"/>
  <c r="AH621" i="3"/>
  <c r="X621" i="3"/>
  <c r="BG618" i="3" l="1"/>
  <c r="BH618" i="3" s="1"/>
  <c r="BI618" i="3" s="1"/>
  <c r="BJ618" i="3"/>
  <c r="BK618" i="3" s="1"/>
  <c r="BN622" i="3"/>
  <c r="AV620" i="3"/>
  <c r="BB619" i="3"/>
  <c r="BQ619" i="3"/>
  <c r="BC619" i="3"/>
  <c r="BD619" i="3" s="1"/>
  <c r="BA620" i="3"/>
  <c r="BB620" i="3" s="1"/>
  <c r="AX621" i="3"/>
  <c r="AO622" i="3"/>
  <c r="A624" i="3"/>
  <c r="AQ623" i="3"/>
  <c r="AR623" i="3"/>
  <c r="B623" i="3"/>
  <c r="C623" i="3"/>
  <c r="D623" i="3"/>
  <c r="AK623" i="3"/>
  <c r="AM623" i="3"/>
  <c r="S623" i="3"/>
  <c r="R623" i="3"/>
  <c r="Q623" i="3"/>
  <c r="T623" i="3"/>
  <c r="AD623" i="3"/>
  <c r="AE623" i="3"/>
  <c r="M623" i="3"/>
  <c r="V623" i="3"/>
  <c r="U623" i="3"/>
  <c r="P623" i="3"/>
  <c r="O623" i="3"/>
  <c r="AF623" i="3"/>
  <c r="F623" i="3"/>
  <c r="G623" i="3"/>
  <c r="H623" i="3" s="1"/>
  <c r="AY620" i="3"/>
  <c r="AU621" i="3"/>
  <c r="BM622" i="3"/>
  <c r="AG622" i="3"/>
  <c r="AH622" i="3"/>
  <c r="AN622" i="3"/>
  <c r="Y622" i="3"/>
  <c r="Z622" i="3" s="1"/>
  <c r="AT621" i="3"/>
  <c r="AW621" i="3"/>
  <c r="X622" i="3"/>
  <c r="BM623" i="3" l="1"/>
  <c r="BN623" i="3"/>
  <c r="AV621" i="3"/>
  <c r="BC620" i="3"/>
  <c r="BD620" i="3" s="1"/>
  <c r="BQ620" i="3"/>
  <c r="BG619" i="3"/>
  <c r="BH619" i="3" s="1"/>
  <c r="BI619" i="3" s="1"/>
  <c r="BF620" i="3"/>
  <c r="BJ619" i="3" s="1"/>
  <c r="BK619" i="3" s="1"/>
  <c r="AY621" i="3"/>
  <c r="AX622" i="3"/>
  <c r="AO623" i="3"/>
  <c r="Y623" i="3"/>
  <c r="Z623" i="3" s="1"/>
  <c r="BA621" i="3"/>
  <c r="AW622" i="3"/>
  <c r="AT622" i="3"/>
  <c r="AH623" i="3"/>
  <c r="AG623" i="3"/>
  <c r="AN623" i="3"/>
  <c r="A625" i="3"/>
  <c r="AR624" i="3"/>
  <c r="B624" i="3"/>
  <c r="AQ624" i="3"/>
  <c r="D624" i="3"/>
  <c r="C624" i="3"/>
  <c r="AM624" i="3"/>
  <c r="AK624" i="3"/>
  <c r="S624" i="3"/>
  <c r="Q624" i="3"/>
  <c r="AD624" i="3"/>
  <c r="T624" i="3"/>
  <c r="R624" i="3"/>
  <c r="AE624" i="3"/>
  <c r="P624" i="3"/>
  <c r="O624" i="3"/>
  <c r="M624" i="3"/>
  <c r="AF624" i="3"/>
  <c r="V624" i="3"/>
  <c r="U624" i="3"/>
  <c r="G624" i="3"/>
  <c r="H624" i="3" s="1"/>
  <c r="F624" i="3"/>
  <c r="BM624" i="3" s="1"/>
  <c r="AU622" i="3"/>
  <c r="X623" i="3"/>
  <c r="BN624" i="3" l="1"/>
  <c r="BC621" i="3"/>
  <c r="BG621" i="3" s="1"/>
  <c r="BH621" i="3" s="1"/>
  <c r="BI621" i="3" s="1"/>
  <c r="BG620" i="3"/>
  <c r="BH620" i="3" s="1"/>
  <c r="BI620" i="3" s="1"/>
  <c r="AY622" i="3"/>
  <c r="AV622" i="3"/>
  <c r="AT623" i="3"/>
  <c r="AN624" i="3"/>
  <c r="AH624" i="3"/>
  <c r="AU623" i="3"/>
  <c r="BB621" i="3"/>
  <c r="BQ621" i="3"/>
  <c r="BF621" i="3"/>
  <c r="BJ620" i="3" s="1"/>
  <c r="BK620" i="3" s="1"/>
  <c r="AG624" i="3"/>
  <c r="AO624" i="3"/>
  <c r="X624" i="3"/>
  <c r="AW623" i="3"/>
  <c r="BA622" i="3"/>
  <c r="Y624" i="3"/>
  <c r="Z624" i="3" s="1"/>
  <c r="AR625" i="3"/>
  <c r="A626" i="3"/>
  <c r="AQ625" i="3"/>
  <c r="B625" i="3"/>
  <c r="D625" i="3"/>
  <c r="AM625" i="3"/>
  <c r="R625" i="3"/>
  <c r="C625" i="3"/>
  <c r="AK625" i="3"/>
  <c r="S625" i="3"/>
  <c r="Q625" i="3"/>
  <c r="AD625" i="3"/>
  <c r="P625" i="3"/>
  <c r="O625" i="3"/>
  <c r="M625" i="3"/>
  <c r="AE625" i="3"/>
  <c r="AF625" i="3"/>
  <c r="V625" i="3"/>
  <c r="U625" i="3"/>
  <c r="G625" i="3"/>
  <c r="H625" i="3" s="1"/>
  <c r="F625" i="3"/>
  <c r="T625" i="3"/>
  <c r="AX623" i="3"/>
  <c r="BD621" i="3" l="1"/>
  <c r="BC622" i="3"/>
  <c r="BG622" i="3" s="1"/>
  <c r="BH622" i="3" s="1"/>
  <c r="BI622" i="3" s="1"/>
  <c r="BN625" i="3"/>
  <c r="AV623" i="3"/>
  <c r="AN625" i="3"/>
  <c r="BA623" i="3"/>
  <c r="BB623" i="3" s="1"/>
  <c r="AG625" i="3"/>
  <c r="Y625" i="3"/>
  <c r="Z625" i="3" s="1"/>
  <c r="AW624" i="3"/>
  <c r="AX624" i="3"/>
  <c r="AT624" i="3"/>
  <c r="X625" i="3"/>
  <c r="BM625" i="3"/>
  <c r="AO625" i="3"/>
  <c r="AY623" i="3"/>
  <c r="AU624" i="3"/>
  <c r="AR626" i="3"/>
  <c r="AQ626" i="3"/>
  <c r="B626" i="3"/>
  <c r="A627" i="3"/>
  <c r="D626" i="3"/>
  <c r="AK626" i="3"/>
  <c r="T626" i="3"/>
  <c r="Q626" i="3"/>
  <c r="C626" i="3"/>
  <c r="AM626" i="3"/>
  <c r="S626" i="3"/>
  <c r="AD626" i="3"/>
  <c r="P626" i="3"/>
  <c r="M626" i="3"/>
  <c r="AF626" i="3"/>
  <c r="AE626" i="3"/>
  <c r="U626" i="3"/>
  <c r="V626" i="3"/>
  <c r="O626" i="3"/>
  <c r="F626" i="3"/>
  <c r="R626" i="3"/>
  <c r="G626" i="3"/>
  <c r="H626" i="3" s="1"/>
  <c r="BB622" i="3"/>
  <c r="BQ622" i="3"/>
  <c r="BF622" i="3"/>
  <c r="BJ621" i="3" s="1"/>
  <c r="BK621" i="3" s="1"/>
  <c r="AH625" i="3"/>
  <c r="BD622" i="3" l="1"/>
  <c r="AN626" i="3"/>
  <c r="AX625" i="3"/>
  <c r="BC623" i="3"/>
  <c r="BD623" i="3" s="1"/>
  <c r="BQ623" i="3"/>
  <c r="BN626" i="3"/>
  <c r="BF623" i="3"/>
  <c r="BJ622" i="3" s="1"/>
  <c r="BK622" i="3" s="1"/>
  <c r="AY624" i="3"/>
  <c r="BA624" i="3"/>
  <c r="BF624" i="3" s="1"/>
  <c r="AV624" i="3"/>
  <c r="A628" i="3"/>
  <c r="AQ627" i="3"/>
  <c r="AR627" i="3"/>
  <c r="B627" i="3"/>
  <c r="D627" i="3"/>
  <c r="AK627" i="3"/>
  <c r="AM627" i="3"/>
  <c r="C627" i="3"/>
  <c r="Q627" i="3"/>
  <c r="S627" i="3"/>
  <c r="AD627" i="3"/>
  <c r="P627" i="3"/>
  <c r="R627" i="3"/>
  <c r="O627" i="3"/>
  <c r="M627" i="3"/>
  <c r="U627" i="3"/>
  <c r="AF627" i="3"/>
  <c r="AE627" i="3"/>
  <c r="V627" i="3"/>
  <c r="F627" i="3"/>
  <c r="BM627" i="3" s="1"/>
  <c r="G627" i="3"/>
  <c r="H627" i="3" s="1"/>
  <c r="BN627" i="3" s="1"/>
  <c r="T627" i="3"/>
  <c r="BM626" i="3"/>
  <c r="AG626" i="3"/>
  <c r="AH626" i="3"/>
  <c r="AO626" i="3"/>
  <c r="AU625" i="3"/>
  <c r="Y626" i="3"/>
  <c r="Z626" i="3" s="1"/>
  <c r="X626" i="3"/>
  <c r="AT625" i="3"/>
  <c r="AW625" i="3"/>
  <c r="AY625" i="3" l="1"/>
  <c r="BJ623" i="3"/>
  <c r="BK623" i="3" s="1"/>
  <c r="BG623" i="3"/>
  <c r="BH623" i="3" s="1"/>
  <c r="BI623" i="3" s="1"/>
  <c r="BC624" i="3"/>
  <c r="BD624" i="3" s="1"/>
  <c r="BQ624" i="3"/>
  <c r="BB624" i="3"/>
  <c r="AU626" i="3"/>
  <c r="AN627" i="3"/>
  <c r="AT626" i="3"/>
  <c r="AX626" i="3"/>
  <c r="AV625" i="3"/>
  <c r="BA625" i="3"/>
  <c r="AH627" i="3"/>
  <c r="AW626" i="3"/>
  <c r="Y627" i="3"/>
  <c r="Z627" i="3" s="1"/>
  <c r="AG627" i="3"/>
  <c r="X627" i="3"/>
  <c r="AO627" i="3"/>
  <c r="A629" i="3"/>
  <c r="AR628" i="3"/>
  <c r="B628" i="3"/>
  <c r="AQ628" i="3"/>
  <c r="C628" i="3"/>
  <c r="D628" i="3"/>
  <c r="AK628" i="3"/>
  <c r="S628" i="3"/>
  <c r="AM628" i="3"/>
  <c r="Q628" i="3"/>
  <c r="R628" i="3"/>
  <c r="AD628" i="3"/>
  <c r="P628" i="3"/>
  <c r="O628" i="3"/>
  <c r="M628" i="3"/>
  <c r="AE628" i="3"/>
  <c r="AF628" i="3"/>
  <c r="U628" i="3"/>
  <c r="V628" i="3"/>
  <c r="G628" i="3"/>
  <c r="H628" i="3" s="1"/>
  <c r="F628" i="3"/>
  <c r="BM628" i="3" s="1"/>
  <c r="T628" i="3"/>
  <c r="BN628" i="3" l="1"/>
  <c r="BC625" i="3"/>
  <c r="BG625" i="3" s="1"/>
  <c r="BH625" i="3" s="1"/>
  <c r="BI625" i="3" s="1"/>
  <c r="BG624" i="3"/>
  <c r="BH624" i="3" s="1"/>
  <c r="BI624" i="3" s="1"/>
  <c r="AV626" i="3"/>
  <c r="AN628" i="3"/>
  <c r="AY626" i="3"/>
  <c r="AU627" i="3"/>
  <c r="BA626" i="3"/>
  <c r="BQ626" i="3" s="1"/>
  <c r="AR629" i="3"/>
  <c r="A630" i="3"/>
  <c r="AQ629" i="3"/>
  <c r="B629" i="3"/>
  <c r="D629" i="3"/>
  <c r="C629" i="3"/>
  <c r="AK629" i="3"/>
  <c r="AM629" i="3"/>
  <c r="T629" i="3"/>
  <c r="S629" i="3"/>
  <c r="Q629" i="3"/>
  <c r="R629" i="3"/>
  <c r="AD629" i="3"/>
  <c r="O629" i="3"/>
  <c r="M629" i="3"/>
  <c r="AE629" i="3"/>
  <c r="P629" i="3"/>
  <c r="V629" i="3"/>
  <c r="AF629" i="3"/>
  <c r="U629" i="3"/>
  <c r="G629" i="3"/>
  <c r="H629" i="3" s="1"/>
  <c r="BN629" i="3" s="1"/>
  <c r="F629" i="3"/>
  <c r="AO628" i="3"/>
  <c r="Y628" i="3"/>
  <c r="Z628" i="3" s="1"/>
  <c r="AG628" i="3"/>
  <c r="AH628" i="3"/>
  <c r="AX627" i="3"/>
  <c r="AT627" i="3"/>
  <c r="AW627" i="3"/>
  <c r="BB625" i="3"/>
  <c r="BF625" i="3"/>
  <c r="BJ624" i="3" s="1"/>
  <c r="BK624" i="3" s="1"/>
  <c r="BQ625" i="3"/>
  <c r="X628" i="3"/>
  <c r="BM629" i="3" l="1"/>
  <c r="BD625" i="3"/>
  <c r="BC626" i="3"/>
  <c r="BG626" i="3" s="1"/>
  <c r="BH626" i="3" s="1"/>
  <c r="BI626" i="3" s="1"/>
  <c r="AN629" i="3"/>
  <c r="BB626" i="3"/>
  <c r="AT628" i="3"/>
  <c r="AG629" i="3"/>
  <c r="BF626" i="3"/>
  <c r="BJ625" i="3" s="1"/>
  <c r="BK625" i="3" s="1"/>
  <c r="BA627" i="3"/>
  <c r="AV627" i="3"/>
  <c r="Y629" i="3"/>
  <c r="Z629" i="3" s="1"/>
  <c r="AY627" i="3"/>
  <c r="AW628" i="3"/>
  <c r="AH629" i="3"/>
  <c r="AO629" i="3"/>
  <c r="AU628" i="3"/>
  <c r="AX628" i="3"/>
  <c r="AR630" i="3"/>
  <c r="AQ630" i="3"/>
  <c r="B630" i="3"/>
  <c r="A631" i="3"/>
  <c r="C630" i="3"/>
  <c r="AM630" i="3"/>
  <c r="S630" i="3"/>
  <c r="AK630" i="3"/>
  <c r="D630" i="3"/>
  <c r="R630" i="3"/>
  <c r="Q630" i="3"/>
  <c r="P630" i="3"/>
  <c r="AD630" i="3"/>
  <c r="AE630" i="3"/>
  <c r="O630" i="3"/>
  <c r="AF630" i="3"/>
  <c r="V630" i="3"/>
  <c r="M630" i="3"/>
  <c r="U630" i="3"/>
  <c r="G630" i="3"/>
  <c r="H630" i="3" s="1"/>
  <c r="F630" i="3"/>
  <c r="T630" i="3"/>
  <c r="X629" i="3"/>
  <c r="BM630" i="3" l="1"/>
  <c r="BD626" i="3"/>
  <c r="AO630" i="3"/>
  <c r="BN630" i="3"/>
  <c r="AU629" i="3"/>
  <c r="AV628" i="3"/>
  <c r="AW629" i="3"/>
  <c r="BA628" i="3"/>
  <c r="BQ628" i="3" s="1"/>
  <c r="BB627" i="3"/>
  <c r="BF627" i="3"/>
  <c r="BQ627" i="3"/>
  <c r="AH630" i="3"/>
  <c r="X630" i="3"/>
  <c r="AY628" i="3"/>
  <c r="A632" i="3"/>
  <c r="AQ631" i="3"/>
  <c r="AR631" i="3"/>
  <c r="B631" i="3"/>
  <c r="C631" i="3"/>
  <c r="T631" i="3"/>
  <c r="S631" i="3"/>
  <c r="D631" i="3"/>
  <c r="AM631" i="3"/>
  <c r="AK631" i="3"/>
  <c r="R631" i="3"/>
  <c r="AD631" i="3"/>
  <c r="Q631" i="3"/>
  <c r="P631" i="3"/>
  <c r="AF631" i="3"/>
  <c r="U631" i="3"/>
  <c r="O631" i="3"/>
  <c r="AE631" i="3"/>
  <c r="M631" i="3"/>
  <c r="V631" i="3"/>
  <c r="G631" i="3"/>
  <c r="H631" i="3" s="1"/>
  <c r="F631" i="3"/>
  <c r="AT629" i="3"/>
  <c r="AX629" i="3"/>
  <c r="Y630" i="3"/>
  <c r="Z630" i="3" s="1"/>
  <c r="AG630" i="3"/>
  <c r="AN630" i="3"/>
  <c r="BC627" i="3"/>
  <c r="BC628" i="3" l="1"/>
  <c r="BG628" i="3" s="1"/>
  <c r="BH628" i="3" s="1"/>
  <c r="BI628" i="3" s="1"/>
  <c r="BM631" i="3"/>
  <c r="AW630" i="3"/>
  <c r="AO631" i="3"/>
  <c r="BN631" i="3"/>
  <c r="AG631" i="3"/>
  <c r="AY629" i="3"/>
  <c r="AT630" i="3"/>
  <c r="BB628" i="3"/>
  <c r="BF628" i="3"/>
  <c r="BJ627" i="3" s="1"/>
  <c r="BK627" i="3" s="1"/>
  <c r="BD627" i="3"/>
  <c r="BG627" i="3"/>
  <c r="BH627" i="3" s="1"/>
  <c r="BI627" i="3" s="1"/>
  <c r="AV629" i="3"/>
  <c r="BA629" i="3"/>
  <c r="A633" i="3"/>
  <c r="AR632" i="3"/>
  <c r="B632" i="3"/>
  <c r="AQ632" i="3"/>
  <c r="D632" i="3"/>
  <c r="C632" i="3"/>
  <c r="AM632" i="3"/>
  <c r="AK632" i="3"/>
  <c r="T632" i="3"/>
  <c r="R632" i="3"/>
  <c r="Q632" i="3"/>
  <c r="P632" i="3"/>
  <c r="S632" i="3"/>
  <c r="AD632" i="3"/>
  <c r="O632" i="3"/>
  <c r="M632" i="3"/>
  <c r="AE632" i="3"/>
  <c r="AF632" i="3"/>
  <c r="V632" i="3"/>
  <c r="U632" i="3"/>
  <c r="G632" i="3"/>
  <c r="H632" i="3" s="1"/>
  <c r="BN632" i="3" s="1"/>
  <c r="F632" i="3"/>
  <c r="BM632" i="3" s="1"/>
  <c r="BJ626" i="3"/>
  <c r="AN631" i="3"/>
  <c r="X631" i="3"/>
  <c r="Y631" i="3"/>
  <c r="Z631" i="3" s="1"/>
  <c r="AU630" i="3"/>
  <c r="AH631" i="3"/>
  <c r="AX630" i="3"/>
  <c r="BD628" i="3" l="1"/>
  <c r="AY630" i="3"/>
  <c r="AX631" i="3"/>
  <c r="BC629" i="3"/>
  <c r="BG629" i="3" s="1"/>
  <c r="BH629" i="3" s="1"/>
  <c r="BI629" i="3" s="1"/>
  <c r="AG632" i="3"/>
  <c r="AN632" i="3"/>
  <c r="BA630" i="3"/>
  <c r="BB630" i="3" s="1"/>
  <c r="BK626" i="3"/>
  <c r="BK6" i="3" s="1"/>
  <c r="A261" i="2" s="1"/>
  <c r="BK5" i="3"/>
  <c r="A692" i="3" s="1"/>
  <c r="B692" i="3" s="1"/>
  <c r="BF629" i="3"/>
  <c r="BJ628" i="3" s="1"/>
  <c r="BK628" i="3" s="1"/>
  <c r="BB629" i="3"/>
  <c r="BQ629" i="3"/>
  <c r="AU631" i="3"/>
  <c r="AW631" i="3"/>
  <c r="AT631" i="3"/>
  <c r="AH632" i="3"/>
  <c r="AO632" i="3"/>
  <c r="X632" i="3"/>
  <c r="AV630" i="3"/>
  <c r="Y632" i="3"/>
  <c r="Z632" i="3" s="1"/>
  <c r="AR633" i="3"/>
  <c r="A634" i="3"/>
  <c r="AQ633" i="3"/>
  <c r="B633" i="3"/>
  <c r="C633" i="3"/>
  <c r="D633" i="3"/>
  <c r="AK633" i="3"/>
  <c r="S633" i="3"/>
  <c r="Q633" i="3"/>
  <c r="AM633" i="3"/>
  <c r="T633" i="3"/>
  <c r="P633" i="3"/>
  <c r="AD633" i="3"/>
  <c r="O633" i="3"/>
  <c r="AE633" i="3"/>
  <c r="M633" i="3"/>
  <c r="AF633" i="3"/>
  <c r="V633" i="3"/>
  <c r="U633" i="3"/>
  <c r="F633" i="3"/>
  <c r="R633" i="3"/>
  <c r="G633" i="3"/>
  <c r="H633" i="3" s="1"/>
  <c r="BN633" i="3" s="1"/>
  <c r="AY631" i="3" l="1"/>
  <c r="BD629" i="3"/>
  <c r="BC630" i="3"/>
  <c r="BG630" i="3" s="1"/>
  <c r="BH630" i="3" s="1"/>
  <c r="BI630" i="3" s="1"/>
  <c r="AH633" i="3"/>
  <c r="A688" i="3"/>
  <c r="A690" i="3"/>
  <c r="B690" i="3" s="1"/>
  <c r="A691" i="3"/>
  <c r="B691" i="3" s="1"/>
  <c r="A260" i="2"/>
  <c r="C260" i="2"/>
  <c r="B260" i="2"/>
  <c r="B261" i="2"/>
  <c r="BM633" i="3"/>
  <c r="AU632" i="3"/>
  <c r="AT632" i="3"/>
  <c r="AW632" i="3"/>
  <c r="AN633" i="3"/>
  <c r="BF630" i="3"/>
  <c r="BJ629" i="3" s="1"/>
  <c r="BK629" i="3" s="1"/>
  <c r="BQ630" i="3"/>
  <c r="Y633" i="3"/>
  <c r="Z633" i="3" s="1"/>
  <c r="AR634" i="3"/>
  <c r="AQ634" i="3"/>
  <c r="B634" i="3"/>
  <c r="A635" i="3"/>
  <c r="C634" i="3"/>
  <c r="D634" i="3"/>
  <c r="S634" i="3"/>
  <c r="AK634" i="3"/>
  <c r="AM634" i="3"/>
  <c r="T634" i="3"/>
  <c r="R634" i="3"/>
  <c r="AD634" i="3"/>
  <c r="O634" i="3"/>
  <c r="AE634" i="3"/>
  <c r="P634" i="3"/>
  <c r="M634" i="3"/>
  <c r="AF634" i="3"/>
  <c r="V634" i="3"/>
  <c r="U634" i="3"/>
  <c r="F634" i="3"/>
  <c r="Q634" i="3"/>
  <c r="G634" i="3"/>
  <c r="H634" i="3" s="1"/>
  <c r="BN634" i="3" s="1"/>
  <c r="AG633" i="3"/>
  <c r="AO633" i="3"/>
  <c r="X633" i="3"/>
  <c r="AX632" i="3"/>
  <c r="AV631" i="3"/>
  <c r="BA631" i="3"/>
  <c r="BD630" i="3" l="1"/>
  <c r="BC631" i="3"/>
  <c r="BG631" i="3" s="1"/>
  <c r="BH631" i="3" s="1"/>
  <c r="BI631" i="3" s="1"/>
  <c r="AT633" i="3"/>
  <c r="B688" i="3"/>
  <c r="C688" i="3"/>
  <c r="F688" i="3"/>
  <c r="M688" i="3"/>
  <c r="O688" i="3"/>
  <c r="Q688" i="3"/>
  <c r="S688" i="3"/>
  <c r="U688" i="3"/>
  <c r="AE688" i="3"/>
  <c r="AK688" i="3"/>
  <c r="AR688" i="3"/>
  <c r="D688" i="3"/>
  <c r="G688" i="3"/>
  <c r="H688" i="3" s="1"/>
  <c r="P688" i="3"/>
  <c r="R688" i="3"/>
  <c r="T688" i="3"/>
  <c r="V688" i="3"/>
  <c r="AD688" i="3"/>
  <c r="AF688" i="3"/>
  <c r="AM688" i="3"/>
  <c r="AQ688" i="3"/>
  <c r="BM634" i="3"/>
  <c r="AV632" i="3"/>
  <c r="BA632" i="3"/>
  <c r="BQ632" i="3" s="1"/>
  <c r="AG634" i="3"/>
  <c r="AY632" i="3"/>
  <c r="AW633" i="3"/>
  <c r="AO634" i="3"/>
  <c r="BF631" i="3"/>
  <c r="BJ630" i="3" s="1"/>
  <c r="BK630" i="3" s="1"/>
  <c r="BQ631" i="3"/>
  <c r="BB631" i="3"/>
  <c r="Y634" i="3"/>
  <c r="Z634" i="3" s="1"/>
  <c r="A636" i="3"/>
  <c r="AQ635" i="3"/>
  <c r="AR635" i="3"/>
  <c r="B635" i="3"/>
  <c r="C635" i="3"/>
  <c r="AM635" i="3"/>
  <c r="AK635" i="3"/>
  <c r="D635" i="3"/>
  <c r="S635" i="3"/>
  <c r="R635" i="3"/>
  <c r="Q635" i="3"/>
  <c r="AD635" i="3"/>
  <c r="P635" i="3"/>
  <c r="O635" i="3"/>
  <c r="M635" i="3"/>
  <c r="AF635" i="3"/>
  <c r="AE635" i="3"/>
  <c r="V635" i="3"/>
  <c r="U635" i="3"/>
  <c r="G635" i="3"/>
  <c r="H635" i="3" s="1"/>
  <c r="F635" i="3"/>
  <c r="T635" i="3"/>
  <c r="AU633" i="3"/>
  <c r="AX633" i="3"/>
  <c r="AH634" i="3"/>
  <c r="AN634" i="3"/>
  <c r="X634" i="3"/>
  <c r="BM635" i="3" l="1"/>
  <c r="BN635" i="3"/>
  <c r="BD631" i="3"/>
  <c r="AN688" i="3"/>
  <c r="AV633" i="3"/>
  <c r="BF632" i="3"/>
  <c r="BJ631" i="3" s="1"/>
  <c r="BK631" i="3" s="1"/>
  <c r="AH688" i="3"/>
  <c r="AG688" i="3"/>
  <c r="Y688" i="3"/>
  <c r="Z688" i="3" s="1"/>
  <c r="AO688" i="3"/>
  <c r="X688" i="3"/>
  <c r="BC632" i="3"/>
  <c r="BG632" i="3" s="1"/>
  <c r="BH632" i="3" s="1"/>
  <c r="BI632" i="3" s="1"/>
  <c r="BB632" i="3"/>
  <c r="AT634" i="3"/>
  <c r="AY633" i="3"/>
  <c r="AU634" i="3"/>
  <c r="AW634" i="3"/>
  <c r="AG635" i="3"/>
  <c r="AO635" i="3"/>
  <c r="Y635" i="3"/>
  <c r="Z635" i="3" s="1"/>
  <c r="A637" i="3"/>
  <c r="AR636" i="3"/>
  <c r="B636" i="3"/>
  <c r="AQ636" i="3"/>
  <c r="D636" i="3"/>
  <c r="C636" i="3"/>
  <c r="AM636" i="3"/>
  <c r="T636" i="3"/>
  <c r="S636" i="3"/>
  <c r="AK636" i="3"/>
  <c r="Q636" i="3"/>
  <c r="AD636" i="3"/>
  <c r="P636" i="3"/>
  <c r="O636" i="3"/>
  <c r="AE636" i="3"/>
  <c r="M636" i="3"/>
  <c r="AF636" i="3"/>
  <c r="V636" i="3"/>
  <c r="U636" i="3"/>
  <c r="R636" i="3"/>
  <c r="G636" i="3"/>
  <c r="H636" i="3" s="1"/>
  <c r="BN636" i="3" s="1"/>
  <c r="F636" i="3"/>
  <c r="X635" i="3"/>
  <c r="BA633" i="3"/>
  <c r="AX634" i="3"/>
  <c r="AH635" i="3"/>
  <c r="AN635" i="3"/>
  <c r="BM636" i="3" l="1"/>
  <c r="BC633" i="3"/>
  <c r="BD633" i="3" s="1"/>
  <c r="BD632" i="3"/>
  <c r="AV634" i="3"/>
  <c r="AW688" i="3"/>
  <c r="AT688" i="3"/>
  <c r="AU688" i="3"/>
  <c r="AX688" i="3"/>
  <c r="AY634" i="3"/>
  <c r="AN636" i="3"/>
  <c r="AG636" i="3"/>
  <c r="BA634" i="3"/>
  <c r="BQ634" i="3" s="1"/>
  <c r="BQ633" i="3"/>
  <c r="BB633" i="3"/>
  <c r="BF633" i="3"/>
  <c r="BJ632" i="3" s="1"/>
  <c r="BK632" i="3" s="1"/>
  <c r="AX635" i="3"/>
  <c r="AT635" i="3"/>
  <c r="AW635" i="3"/>
  <c r="AU635" i="3"/>
  <c r="AH636" i="3"/>
  <c r="AO636" i="3"/>
  <c r="X636" i="3"/>
  <c r="Y636" i="3"/>
  <c r="Z636" i="3" s="1"/>
  <c r="AR637" i="3"/>
  <c r="A638" i="3"/>
  <c r="AQ637" i="3"/>
  <c r="B637" i="3"/>
  <c r="D637" i="3"/>
  <c r="S637" i="3"/>
  <c r="C637" i="3"/>
  <c r="AK637" i="3"/>
  <c r="AM637" i="3"/>
  <c r="Q637" i="3"/>
  <c r="R637" i="3"/>
  <c r="P637" i="3"/>
  <c r="AD637" i="3"/>
  <c r="AE637" i="3"/>
  <c r="M637" i="3"/>
  <c r="U637" i="3"/>
  <c r="O637" i="3"/>
  <c r="AF637" i="3"/>
  <c r="V637" i="3"/>
  <c r="G637" i="3"/>
  <c r="H637" i="3" s="1"/>
  <c r="F637" i="3"/>
  <c r="T637" i="3"/>
  <c r="BG633" i="3" l="1"/>
  <c r="BH633" i="3" s="1"/>
  <c r="BI633" i="3" s="1"/>
  <c r="BM637" i="3"/>
  <c r="BC634" i="3"/>
  <c r="BD634" i="3" s="1"/>
  <c r="AY688" i="3"/>
  <c r="AV688" i="3"/>
  <c r="BA688" i="3"/>
  <c r="BB688" i="3" s="1"/>
  <c r="AY635" i="3"/>
  <c r="BN637" i="3"/>
  <c r="AN637" i="3"/>
  <c r="AX636" i="3"/>
  <c r="AH637" i="3"/>
  <c r="AT636" i="3"/>
  <c r="AU636" i="3"/>
  <c r="BF634" i="3"/>
  <c r="BJ633" i="3" s="1"/>
  <c r="BK633" i="3" s="1"/>
  <c r="BB634" i="3"/>
  <c r="X637" i="3"/>
  <c r="AR638" i="3"/>
  <c r="AQ638" i="3"/>
  <c r="B638" i="3"/>
  <c r="A639" i="3"/>
  <c r="D638" i="3"/>
  <c r="AM638" i="3"/>
  <c r="AK638" i="3"/>
  <c r="R638" i="3"/>
  <c r="C638" i="3"/>
  <c r="S638" i="3"/>
  <c r="Q638" i="3"/>
  <c r="AD638" i="3"/>
  <c r="P638" i="3"/>
  <c r="O638" i="3"/>
  <c r="M638" i="3"/>
  <c r="AE638" i="3"/>
  <c r="AF638" i="3"/>
  <c r="V638" i="3"/>
  <c r="U638" i="3"/>
  <c r="G638" i="3"/>
  <c r="H638" i="3" s="1"/>
  <c r="F638" i="3"/>
  <c r="T638" i="3"/>
  <c r="BA635" i="3"/>
  <c r="AV635" i="3"/>
  <c r="Y637" i="3"/>
  <c r="Z637" i="3" s="1"/>
  <c r="AG637" i="3"/>
  <c r="AO637" i="3"/>
  <c r="AW636" i="3"/>
  <c r="BM638" i="3" l="1"/>
  <c r="BC635" i="3"/>
  <c r="BG635" i="3" s="1"/>
  <c r="BH635" i="3" s="1"/>
  <c r="BI635" i="3" s="1"/>
  <c r="BG634" i="3"/>
  <c r="BH634" i="3" s="1"/>
  <c r="BI634" i="3" s="1"/>
  <c r="AY636" i="3"/>
  <c r="BC688" i="3"/>
  <c r="BD688" i="3" s="1"/>
  <c r="BN638" i="3"/>
  <c r="AV636" i="3"/>
  <c r="AX637" i="3"/>
  <c r="AO638" i="3"/>
  <c r="Y638" i="3"/>
  <c r="Z638" i="3" s="1"/>
  <c r="BQ635" i="3"/>
  <c r="BB635" i="3"/>
  <c r="BF635" i="3"/>
  <c r="BJ634" i="3" s="1"/>
  <c r="BK634" i="3" s="1"/>
  <c r="X638" i="3"/>
  <c r="AT637" i="3"/>
  <c r="A640" i="3"/>
  <c r="AQ639" i="3"/>
  <c r="AR639" i="3"/>
  <c r="B639" i="3"/>
  <c r="C639" i="3"/>
  <c r="D639" i="3"/>
  <c r="S639" i="3"/>
  <c r="AM639" i="3"/>
  <c r="AK639" i="3"/>
  <c r="Q639" i="3"/>
  <c r="AD639" i="3"/>
  <c r="P639" i="3"/>
  <c r="O639" i="3"/>
  <c r="AE639" i="3"/>
  <c r="U639" i="3"/>
  <c r="M639" i="3"/>
  <c r="AF639" i="3"/>
  <c r="V639" i="3"/>
  <c r="F639" i="3"/>
  <c r="R639" i="3"/>
  <c r="G639" i="3"/>
  <c r="H639" i="3" s="1"/>
  <c r="T639" i="3"/>
  <c r="BA636" i="3"/>
  <c r="AW637" i="3"/>
  <c r="AG638" i="3"/>
  <c r="AH638" i="3"/>
  <c r="AN638" i="3"/>
  <c r="AU637" i="3"/>
  <c r="BM639" i="3" l="1"/>
  <c r="BD635" i="3"/>
  <c r="BC636" i="3"/>
  <c r="BG636" i="3" s="1"/>
  <c r="BH636" i="3" s="1"/>
  <c r="BI636" i="3" s="1"/>
  <c r="BG688" i="3"/>
  <c r="BH688" i="3" s="1"/>
  <c r="BI688" i="3" s="1"/>
  <c r="BN639" i="3"/>
  <c r="AY637" i="3"/>
  <c r="AO639" i="3"/>
  <c r="AU638" i="3"/>
  <c r="BQ636" i="3"/>
  <c r="BF636" i="3"/>
  <c r="BJ635" i="3" s="1"/>
  <c r="BK635" i="3" s="1"/>
  <c r="BB636" i="3"/>
  <c r="AV637" i="3"/>
  <c r="BA637" i="3"/>
  <c r="AH639" i="3"/>
  <c r="X639" i="3"/>
  <c r="AX638" i="3"/>
  <c r="Y639" i="3"/>
  <c r="Z639" i="3" s="1"/>
  <c r="AG639" i="3"/>
  <c r="AN639" i="3"/>
  <c r="A641" i="3"/>
  <c r="AR640" i="3"/>
  <c r="B640" i="3"/>
  <c r="AQ640" i="3"/>
  <c r="C640" i="3"/>
  <c r="AK640" i="3"/>
  <c r="S640" i="3"/>
  <c r="Q640" i="3"/>
  <c r="D640" i="3"/>
  <c r="AM640" i="3"/>
  <c r="R640" i="3"/>
  <c r="AD640" i="3"/>
  <c r="P640" i="3"/>
  <c r="M640" i="3"/>
  <c r="AE640" i="3"/>
  <c r="V640" i="3"/>
  <c r="O640" i="3"/>
  <c r="AF640" i="3"/>
  <c r="U640" i="3"/>
  <c r="F640" i="3"/>
  <c r="G640" i="3"/>
  <c r="H640" i="3" s="1"/>
  <c r="T640" i="3"/>
  <c r="AW638" i="3"/>
  <c r="AT638" i="3"/>
  <c r="BN640" i="3" l="1"/>
  <c r="AU639" i="3"/>
  <c r="BD636" i="3"/>
  <c r="BG690" i="3"/>
  <c r="BH690" i="3" s="1"/>
  <c r="BI690" i="3" s="1"/>
  <c r="BG689" i="3"/>
  <c r="BH689" i="3" s="1"/>
  <c r="BI689" i="3" s="1"/>
  <c r="AT639" i="3"/>
  <c r="BC637" i="3"/>
  <c r="BG637" i="3" s="1"/>
  <c r="BH637" i="3" s="1"/>
  <c r="BI637" i="3" s="1"/>
  <c r="AN640" i="3"/>
  <c r="BM640" i="3"/>
  <c r="Y640" i="3"/>
  <c r="Z640" i="3" s="1"/>
  <c r="BA638" i="3"/>
  <c r="AV638" i="3"/>
  <c r="AR641" i="3"/>
  <c r="A642" i="3"/>
  <c r="AQ641" i="3"/>
  <c r="B641" i="3"/>
  <c r="C641" i="3"/>
  <c r="D641" i="3"/>
  <c r="AM641" i="3"/>
  <c r="AK641" i="3"/>
  <c r="T641" i="3"/>
  <c r="S641" i="3"/>
  <c r="AD641" i="3"/>
  <c r="R641" i="3"/>
  <c r="Q641" i="3"/>
  <c r="P641" i="3"/>
  <c r="O641" i="3"/>
  <c r="AE641" i="3"/>
  <c r="M641" i="3"/>
  <c r="AF641" i="3"/>
  <c r="V641" i="3"/>
  <c r="U641" i="3"/>
  <c r="G641" i="3"/>
  <c r="H641" i="3" s="1"/>
  <c r="F641" i="3"/>
  <c r="BB637" i="3"/>
  <c r="BF637" i="3"/>
  <c r="BJ636" i="3" s="1"/>
  <c r="BK636" i="3" s="1"/>
  <c r="BQ637" i="3"/>
  <c r="AY638" i="3"/>
  <c r="AG640" i="3"/>
  <c r="X640" i="3"/>
  <c r="AW639" i="3"/>
  <c r="AH640" i="3"/>
  <c r="AO640" i="3"/>
  <c r="AX639" i="3"/>
  <c r="AV639" i="3" l="1"/>
  <c r="BD637" i="3"/>
  <c r="BA639" i="3"/>
  <c r="BF639" i="3" s="1"/>
  <c r="AX640" i="3"/>
  <c r="BM641" i="3"/>
  <c r="AO641" i="3"/>
  <c r="AG641" i="3"/>
  <c r="BB638" i="3"/>
  <c r="BF638" i="3"/>
  <c r="BJ637" i="3" s="1"/>
  <c r="BK637" i="3" s="1"/>
  <c r="BQ638" i="3"/>
  <c r="AT640" i="3"/>
  <c r="AW640" i="3"/>
  <c r="AU640" i="3"/>
  <c r="AY639" i="3"/>
  <c r="BN641" i="3"/>
  <c r="AH641" i="3"/>
  <c r="AN641" i="3"/>
  <c r="X641" i="3"/>
  <c r="Y641" i="3"/>
  <c r="Z641" i="3" s="1"/>
  <c r="AR642" i="3"/>
  <c r="AQ642" i="3"/>
  <c r="B642" i="3"/>
  <c r="A643" i="3"/>
  <c r="C642" i="3"/>
  <c r="D642" i="3"/>
  <c r="AK642" i="3"/>
  <c r="S642" i="3"/>
  <c r="R642" i="3"/>
  <c r="Q642" i="3"/>
  <c r="AD642" i="3"/>
  <c r="P642" i="3"/>
  <c r="AM642" i="3"/>
  <c r="AE642" i="3"/>
  <c r="M642" i="3"/>
  <c r="AF642" i="3"/>
  <c r="O642" i="3"/>
  <c r="V642" i="3"/>
  <c r="U642" i="3"/>
  <c r="F642" i="3"/>
  <c r="G642" i="3"/>
  <c r="H642" i="3" s="1"/>
  <c r="T642" i="3"/>
  <c r="BC638" i="3"/>
  <c r="BC639" i="3" l="1"/>
  <c r="BG639" i="3" s="1"/>
  <c r="BH639" i="3" s="1"/>
  <c r="BI639" i="3" s="1"/>
  <c r="AN642" i="3"/>
  <c r="BQ639" i="3"/>
  <c r="BB639" i="3"/>
  <c r="AY640" i="3"/>
  <c r="BM642" i="3"/>
  <c r="AX641" i="3"/>
  <c r="AT641" i="3"/>
  <c r="AG642" i="3"/>
  <c r="Y642" i="3"/>
  <c r="Z642" i="3" s="1"/>
  <c r="A644" i="3"/>
  <c r="AQ643" i="3"/>
  <c r="AR643" i="3"/>
  <c r="B643" i="3"/>
  <c r="D643" i="3"/>
  <c r="AK643" i="3"/>
  <c r="C643" i="3"/>
  <c r="AM643" i="3"/>
  <c r="T643" i="3"/>
  <c r="R643" i="3"/>
  <c r="Q643" i="3"/>
  <c r="AD643" i="3"/>
  <c r="S643" i="3"/>
  <c r="P643" i="3"/>
  <c r="O643" i="3"/>
  <c r="AF643" i="3"/>
  <c r="V643" i="3"/>
  <c r="U643" i="3"/>
  <c r="AE643" i="3"/>
  <c r="M643" i="3"/>
  <c r="G643" i="3"/>
  <c r="H643" i="3" s="1"/>
  <c r="BN643" i="3" s="1"/>
  <c r="F643" i="3"/>
  <c r="BD638" i="3"/>
  <c r="BG638" i="3"/>
  <c r="BH638" i="3" s="1"/>
  <c r="BI638" i="3" s="1"/>
  <c r="AV640" i="3"/>
  <c r="BA640" i="3"/>
  <c r="AH642" i="3"/>
  <c r="BN642" i="3"/>
  <c r="AO642" i="3"/>
  <c r="X642" i="3"/>
  <c r="AU641" i="3"/>
  <c r="BJ638" i="3"/>
  <c r="BK638" i="3" s="1"/>
  <c r="AW641" i="3"/>
  <c r="BD639" i="3" l="1"/>
  <c r="AU642" i="3"/>
  <c r="AN643" i="3"/>
  <c r="BC640" i="3"/>
  <c r="BD640" i="3" s="1"/>
  <c r="AY641" i="3"/>
  <c r="BM643" i="3"/>
  <c r="AV641" i="3"/>
  <c r="AT642" i="3"/>
  <c r="AW642" i="3"/>
  <c r="BB640" i="3"/>
  <c r="BQ640" i="3"/>
  <c r="BF640" i="3"/>
  <c r="BJ639" i="3" s="1"/>
  <c r="BK639" i="3" s="1"/>
  <c r="Y643" i="3"/>
  <c r="Z643" i="3" s="1"/>
  <c r="A645" i="3"/>
  <c r="AR644" i="3"/>
  <c r="B644" i="3"/>
  <c r="AQ644" i="3"/>
  <c r="D644" i="3"/>
  <c r="C644" i="3"/>
  <c r="AK644" i="3"/>
  <c r="AM644" i="3"/>
  <c r="T644" i="3"/>
  <c r="R644" i="3"/>
  <c r="S644" i="3"/>
  <c r="AD644" i="3"/>
  <c r="Q644" i="3"/>
  <c r="P644" i="3"/>
  <c r="O644" i="3"/>
  <c r="U644" i="3"/>
  <c r="V644" i="3"/>
  <c r="M644" i="3"/>
  <c r="AE644" i="3"/>
  <c r="AF644" i="3"/>
  <c r="G644" i="3"/>
  <c r="H644" i="3" s="1"/>
  <c r="BN644" i="3" s="1"/>
  <c r="F644" i="3"/>
  <c r="AH643" i="3"/>
  <c r="BA641" i="3"/>
  <c r="AX642" i="3"/>
  <c r="AG643" i="3"/>
  <c r="X643" i="3"/>
  <c r="AO643" i="3"/>
  <c r="BM644" i="3" l="1"/>
  <c r="AV642" i="3"/>
  <c r="BG640" i="3"/>
  <c r="BH640" i="3" s="1"/>
  <c r="BI640" i="3" s="1"/>
  <c r="BC641" i="3"/>
  <c r="BD641" i="3" s="1"/>
  <c r="AN644" i="3"/>
  <c r="AY642" i="3"/>
  <c r="AT643" i="3"/>
  <c r="BA642" i="3"/>
  <c r="BQ642" i="3" s="1"/>
  <c r="AU643" i="3"/>
  <c r="Y644" i="3"/>
  <c r="Z644" i="3" s="1"/>
  <c r="AR645" i="3"/>
  <c r="A646" i="3"/>
  <c r="AQ645" i="3"/>
  <c r="B645" i="3"/>
  <c r="C645" i="3"/>
  <c r="AM645" i="3"/>
  <c r="S645" i="3"/>
  <c r="R645" i="3"/>
  <c r="Q645" i="3"/>
  <c r="D645" i="3"/>
  <c r="AK645" i="3"/>
  <c r="AD645" i="3"/>
  <c r="P645" i="3"/>
  <c r="O645" i="3"/>
  <c r="M645" i="3"/>
  <c r="AF645" i="3"/>
  <c r="AE645" i="3"/>
  <c r="U645" i="3"/>
  <c r="V645" i="3"/>
  <c r="G645" i="3"/>
  <c r="H645" i="3" s="1"/>
  <c r="F645" i="3"/>
  <c r="BM645" i="3" s="1"/>
  <c r="T645" i="3"/>
  <c r="AX643" i="3"/>
  <c r="AG644" i="3"/>
  <c r="AO644" i="3"/>
  <c r="BQ641" i="3"/>
  <c r="BF641" i="3"/>
  <c r="BJ640" i="3" s="1"/>
  <c r="BK640" i="3" s="1"/>
  <c r="BB641" i="3"/>
  <c r="AW643" i="3"/>
  <c r="AH644" i="3"/>
  <c r="X644" i="3"/>
  <c r="BC642" i="3" l="1"/>
  <c r="BD642" i="3" s="1"/>
  <c r="BN645" i="3"/>
  <c r="BG641" i="3"/>
  <c r="BH641" i="3" s="1"/>
  <c r="BI641" i="3" s="1"/>
  <c r="AO645" i="3"/>
  <c r="AV643" i="3"/>
  <c r="BB642" i="3"/>
  <c r="BF642" i="3"/>
  <c r="BJ641" i="3" s="1"/>
  <c r="BK641" i="3" s="1"/>
  <c r="AX644" i="3"/>
  <c r="AG645" i="3"/>
  <c r="AY643" i="3"/>
  <c r="BA643" i="3"/>
  <c r="BB643" i="3" s="1"/>
  <c r="AR646" i="3"/>
  <c r="AQ646" i="3"/>
  <c r="B646" i="3"/>
  <c r="A647" i="3"/>
  <c r="C646" i="3"/>
  <c r="AM646" i="3"/>
  <c r="T646" i="3"/>
  <c r="D646" i="3"/>
  <c r="AK646" i="3"/>
  <c r="S646" i="3"/>
  <c r="Q646" i="3"/>
  <c r="R646" i="3"/>
  <c r="AD646" i="3"/>
  <c r="P646" i="3"/>
  <c r="O646" i="3"/>
  <c r="AE646" i="3"/>
  <c r="M646" i="3"/>
  <c r="AF646" i="3"/>
  <c r="V646" i="3"/>
  <c r="U646" i="3"/>
  <c r="F646" i="3"/>
  <c r="BM646" i="3" s="1"/>
  <c r="G646" i="3"/>
  <c r="H646" i="3" s="1"/>
  <c r="AW644" i="3"/>
  <c r="AU644" i="3"/>
  <c r="Y645" i="3"/>
  <c r="Z645" i="3" s="1"/>
  <c r="AH645" i="3"/>
  <c r="AN645" i="3"/>
  <c r="AT644" i="3"/>
  <c r="X645" i="3"/>
  <c r="BG642" i="3" l="1"/>
  <c r="BH642" i="3" s="1"/>
  <c r="BI642" i="3" s="1"/>
  <c r="BN646" i="3"/>
  <c r="AY644" i="3"/>
  <c r="BC643" i="3"/>
  <c r="BD643" i="3" s="1"/>
  <c r="BF643" i="3"/>
  <c r="BJ642" i="3" s="1"/>
  <c r="BK642" i="3" s="1"/>
  <c r="AW645" i="3"/>
  <c r="AU645" i="3"/>
  <c r="AG646" i="3"/>
  <c r="AN646" i="3"/>
  <c r="BQ643" i="3"/>
  <c r="AV644" i="3"/>
  <c r="BA644" i="3"/>
  <c r="AT645" i="3"/>
  <c r="AX645" i="3"/>
  <c r="AH646" i="3"/>
  <c r="AO646" i="3"/>
  <c r="X646" i="3"/>
  <c r="Y646" i="3"/>
  <c r="Z646" i="3" s="1"/>
  <c r="A648" i="3"/>
  <c r="AQ647" i="3"/>
  <c r="AR647" i="3"/>
  <c r="B647" i="3"/>
  <c r="C647" i="3"/>
  <c r="AK647" i="3"/>
  <c r="AM647" i="3"/>
  <c r="D647" i="3"/>
  <c r="R647" i="3"/>
  <c r="Q647" i="3"/>
  <c r="S647" i="3"/>
  <c r="AD647" i="3"/>
  <c r="P647" i="3"/>
  <c r="O647" i="3"/>
  <c r="AE647" i="3"/>
  <c r="V647" i="3"/>
  <c r="M647" i="3"/>
  <c r="AF647" i="3"/>
  <c r="U647" i="3"/>
  <c r="G647" i="3"/>
  <c r="H647" i="3" s="1"/>
  <c r="F647" i="3"/>
  <c r="BM647" i="3" s="1"/>
  <c r="T647" i="3"/>
  <c r="BN647" i="3" l="1"/>
  <c r="BC644" i="3"/>
  <c r="BD644" i="3" s="1"/>
  <c r="BG643" i="3"/>
  <c r="BH643" i="3" s="1"/>
  <c r="BI643" i="3" s="1"/>
  <c r="AT646" i="3"/>
  <c r="AU646" i="3"/>
  <c r="AY645" i="3"/>
  <c r="AO647" i="3"/>
  <c r="AW646" i="3"/>
  <c r="AH647" i="3"/>
  <c r="Y647" i="3"/>
  <c r="Z647" i="3" s="1"/>
  <c r="A649" i="3"/>
  <c r="AR648" i="3"/>
  <c r="B648" i="3"/>
  <c r="AQ648" i="3"/>
  <c r="D648" i="3"/>
  <c r="C648" i="3"/>
  <c r="AK648" i="3"/>
  <c r="R648" i="3"/>
  <c r="AM648" i="3"/>
  <c r="S648" i="3"/>
  <c r="Q648" i="3"/>
  <c r="AD648" i="3"/>
  <c r="P648" i="3"/>
  <c r="O648" i="3"/>
  <c r="M648" i="3"/>
  <c r="U648" i="3"/>
  <c r="V648" i="3"/>
  <c r="AF648" i="3"/>
  <c r="AE648" i="3"/>
  <c r="F648" i="3"/>
  <c r="G648" i="3"/>
  <c r="H648" i="3" s="1"/>
  <c r="BN648" i="3" s="1"/>
  <c r="T648" i="3"/>
  <c r="AV645" i="3"/>
  <c r="BA645" i="3"/>
  <c r="AG647" i="3"/>
  <c r="AN647" i="3"/>
  <c r="X647" i="3"/>
  <c r="AX646" i="3"/>
  <c r="BQ644" i="3"/>
  <c r="BF644" i="3"/>
  <c r="BJ643" i="3" s="1"/>
  <c r="BK643" i="3" s="1"/>
  <c r="BB644" i="3"/>
  <c r="BG644" i="3" l="1"/>
  <c r="BH644" i="3" s="1"/>
  <c r="BI644" i="3" s="1"/>
  <c r="BM648" i="3"/>
  <c r="AV646" i="3"/>
  <c r="AN648" i="3"/>
  <c r="BC645" i="3"/>
  <c r="BD645" i="3" s="1"/>
  <c r="BA646" i="3"/>
  <c r="BB646" i="3" s="1"/>
  <c r="AT647" i="3"/>
  <c r="AU647" i="3"/>
  <c r="AX647" i="3"/>
  <c r="BB645" i="3"/>
  <c r="BF645" i="3"/>
  <c r="BJ644" i="3" s="1"/>
  <c r="BK644" i="3" s="1"/>
  <c r="BQ645" i="3"/>
  <c r="AW647" i="3"/>
  <c r="Y648" i="3"/>
  <c r="Z648" i="3" s="1"/>
  <c r="X648" i="3"/>
  <c r="AY646" i="3"/>
  <c r="AH648" i="3"/>
  <c r="AG648" i="3"/>
  <c r="AR649" i="3"/>
  <c r="A650" i="3"/>
  <c r="AQ649" i="3"/>
  <c r="B649" i="3"/>
  <c r="C649" i="3"/>
  <c r="D649" i="3"/>
  <c r="AM649" i="3"/>
  <c r="AK649" i="3"/>
  <c r="R649" i="3"/>
  <c r="Q649" i="3"/>
  <c r="S649" i="3"/>
  <c r="AD649" i="3"/>
  <c r="P649" i="3"/>
  <c r="O649" i="3"/>
  <c r="M649" i="3"/>
  <c r="AE649" i="3"/>
  <c r="AF649" i="3"/>
  <c r="V649" i="3"/>
  <c r="U649" i="3"/>
  <c r="F649" i="3"/>
  <c r="G649" i="3"/>
  <c r="H649" i="3" s="1"/>
  <c r="T649" i="3"/>
  <c r="AO648" i="3"/>
  <c r="BC646" i="3" l="1"/>
  <c r="BG646" i="3" s="1"/>
  <c r="BH646" i="3" s="1"/>
  <c r="BI646" i="3" s="1"/>
  <c r="BG645" i="3"/>
  <c r="BH645" i="3" s="1"/>
  <c r="BI645" i="3" s="1"/>
  <c r="BQ646" i="3"/>
  <c r="BN649" i="3"/>
  <c r="BF646" i="3"/>
  <c r="BJ645" i="3" s="1"/>
  <c r="BK645" i="3" s="1"/>
  <c r="AY647" i="3"/>
  <c r="AV647" i="3"/>
  <c r="AW648" i="3"/>
  <c r="AN649" i="3"/>
  <c r="BA647" i="3"/>
  <c r="BF647" i="3" s="1"/>
  <c r="AR650" i="3"/>
  <c r="AQ650" i="3"/>
  <c r="B650" i="3"/>
  <c r="A651" i="3"/>
  <c r="C650" i="3"/>
  <c r="D650" i="3"/>
  <c r="S650" i="3"/>
  <c r="Q650" i="3"/>
  <c r="R650" i="3"/>
  <c r="AM650" i="3"/>
  <c r="AK650" i="3"/>
  <c r="AD650" i="3"/>
  <c r="P650" i="3"/>
  <c r="O650" i="3"/>
  <c r="M650" i="3"/>
  <c r="AF650" i="3"/>
  <c r="U650" i="3"/>
  <c r="V650" i="3"/>
  <c r="AE650" i="3"/>
  <c r="G650" i="3"/>
  <c r="H650" i="3" s="1"/>
  <c r="F650" i="3"/>
  <c r="BM650" i="3" s="1"/>
  <c r="T650" i="3"/>
  <c r="X649" i="3"/>
  <c r="Y649" i="3"/>
  <c r="Z649" i="3" s="1"/>
  <c r="BM649" i="3"/>
  <c r="AG649" i="3"/>
  <c r="AH649" i="3"/>
  <c r="AO649" i="3"/>
  <c r="AU648" i="3"/>
  <c r="AX648" i="3"/>
  <c r="AT648" i="3"/>
  <c r="BD646" i="3" l="1"/>
  <c r="BN650" i="3"/>
  <c r="BJ646" i="3"/>
  <c r="BK646" i="3" s="1"/>
  <c r="AY648" i="3"/>
  <c r="BC647" i="3"/>
  <c r="BG647" i="3" s="1"/>
  <c r="BH647" i="3" s="1"/>
  <c r="BI647" i="3" s="1"/>
  <c r="AT649" i="3"/>
  <c r="BQ647" i="3"/>
  <c r="BB647" i="3"/>
  <c r="AU649" i="3"/>
  <c r="AW649" i="3"/>
  <c r="AV648" i="3"/>
  <c r="BA648" i="3"/>
  <c r="AN650" i="3"/>
  <c r="AO650" i="3"/>
  <c r="Y650" i="3"/>
  <c r="Z650" i="3" s="1"/>
  <c r="AX649" i="3"/>
  <c r="AG650" i="3"/>
  <c r="X650" i="3"/>
  <c r="A652" i="3"/>
  <c r="AQ651" i="3"/>
  <c r="AR651" i="3"/>
  <c r="B651" i="3"/>
  <c r="C651" i="3"/>
  <c r="AM651" i="3"/>
  <c r="AK651" i="3"/>
  <c r="T651" i="3"/>
  <c r="S651" i="3"/>
  <c r="R651" i="3"/>
  <c r="Q651" i="3"/>
  <c r="D651" i="3"/>
  <c r="AD651" i="3"/>
  <c r="O651" i="3"/>
  <c r="M651" i="3"/>
  <c r="U651" i="3"/>
  <c r="V651" i="3"/>
  <c r="P651" i="3"/>
  <c r="AE651" i="3"/>
  <c r="AF651" i="3"/>
  <c r="G651" i="3"/>
  <c r="H651" i="3" s="1"/>
  <c r="F651" i="3"/>
  <c r="AH650" i="3"/>
  <c r="BD647" i="3" l="1"/>
  <c r="BC648" i="3"/>
  <c r="BD648" i="3" s="1"/>
  <c r="BM651" i="3"/>
  <c r="AN651" i="3"/>
  <c r="AV649" i="3"/>
  <c r="AH651" i="3"/>
  <c r="AW650" i="3"/>
  <c r="AY649" i="3"/>
  <c r="BB648" i="3"/>
  <c r="BF648" i="3"/>
  <c r="BJ647" i="3" s="1"/>
  <c r="BK647" i="3" s="1"/>
  <c r="BQ648" i="3"/>
  <c r="A653" i="3"/>
  <c r="AR652" i="3"/>
  <c r="B652" i="3"/>
  <c r="AQ652" i="3"/>
  <c r="D652" i="3"/>
  <c r="C652" i="3"/>
  <c r="AK652" i="3"/>
  <c r="AM652" i="3"/>
  <c r="Q652" i="3"/>
  <c r="S652" i="3"/>
  <c r="R652" i="3"/>
  <c r="AD652" i="3"/>
  <c r="P652" i="3"/>
  <c r="O652" i="3"/>
  <c r="AF652" i="3"/>
  <c r="AE652" i="3"/>
  <c r="U652" i="3"/>
  <c r="M652" i="3"/>
  <c r="V652" i="3"/>
  <c r="G652" i="3"/>
  <c r="H652" i="3" s="1"/>
  <c r="F652" i="3"/>
  <c r="T652" i="3"/>
  <c r="AU650" i="3"/>
  <c r="AX650" i="3"/>
  <c r="BN651" i="3"/>
  <c r="AG651" i="3"/>
  <c r="AO651" i="3"/>
  <c r="X651" i="3"/>
  <c r="BA649" i="3"/>
  <c r="Y651" i="3"/>
  <c r="Z651" i="3" s="1"/>
  <c r="AT650" i="3"/>
  <c r="AY650" i="3" l="1"/>
  <c r="BG648" i="3"/>
  <c r="BH648" i="3" s="1"/>
  <c r="BI648" i="3" s="1"/>
  <c r="BM652" i="3"/>
  <c r="AO652" i="3"/>
  <c r="BC649" i="3"/>
  <c r="BG649" i="3" s="1"/>
  <c r="BH649" i="3" s="1"/>
  <c r="BI649" i="3" s="1"/>
  <c r="AW651" i="3"/>
  <c r="AU651" i="3"/>
  <c r="AV650" i="3"/>
  <c r="BA650" i="3"/>
  <c r="AX651" i="3"/>
  <c r="AT651" i="3"/>
  <c r="Y652" i="3"/>
  <c r="Z652" i="3" s="1"/>
  <c r="BN652" i="3"/>
  <c r="AG652" i="3"/>
  <c r="AH652" i="3"/>
  <c r="AN652" i="3"/>
  <c r="X652" i="3"/>
  <c r="BF649" i="3"/>
  <c r="BJ648" i="3" s="1"/>
  <c r="BK648" i="3" s="1"/>
  <c r="BB649" i="3"/>
  <c r="BQ649" i="3"/>
  <c r="AQ653" i="3"/>
  <c r="B653" i="3"/>
  <c r="A654" i="3"/>
  <c r="AR653" i="3"/>
  <c r="C653" i="3"/>
  <c r="S653" i="3"/>
  <c r="Q653" i="3"/>
  <c r="D653" i="3"/>
  <c r="AK653" i="3"/>
  <c r="AM653" i="3"/>
  <c r="T653" i="3"/>
  <c r="R653" i="3"/>
  <c r="AD653" i="3"/>
  <c r="P653" i="3"/>
  <c r="O653" i="3"/>
  <c r="AE653" i="3"/>
  <c r="AF653" i="3"/>
  <c r="V653" i="3"/>
  <c r="U653" i="3"/>
  <c r="M653" i="3"/>
  <c r="G653" i="3"/>
  <c r="H653" i="3" s="1"/>
  <c r="F653" i="3"/>
  <c r="BC650" i="3" l="1"/>
  <c r="BD650" i="3" s="1"/>
  <c r="BN653" i="3"/>
  <c r="BD649" i="3"/>
  <c r="AY651" i="3"/>
  <c r="AT652" i="3"/>
  <c r="AO653" i="3"/>
  <c r="AX652" i="3"/>
  <c r="AR654" i="3"/>
  <c r="AQ654" i="3"/>
  <c r="B654" i="3"/>
  <c r="A655" i="3"/>
  <c r="C654" i="3"/>
  <c r="S654" i="3"/>
  <c r="AM654" i="3"/>
  <c r="AK654" i="3"/>
  <c r="D654" i="3"/>
  <c r="T654" i="3"/>
  <c r="R654" i="3"/>
  <c r="Q654" i="3"/>
  <c r="AD654" i="3"/>
  <c r="P654" i="3"/>
  <c r="AE654" i="3"/>
  <c r="V654" i="3"/>
  <c r="O654" i="3"/>
  <c r="M654" i="3"/>
  <c r="AF654" i="3"/>
  <c r="U654" i="3"/>
  <c r="G654" i="3"/>
  <c r="H654" i="3" s="1"/>
  <c r="F654" i="3"/>
  <c r="Y653" i="3"/>
  <c r="Z653" i="3" s="1"/>
  <c r="BB650" i="3"/>
  <c r="BQ650" i="3"/>
  <c r="BF650" i="3"/>
  <c r="BJ649" i="3" s="1"/>
  <c r="BK649" i="3" s="1"/>
  <c r="BM653" i="3"/>
  <c r="AG653" i="3"/>
  <c r="AN653" i="3"/>
  <c r="AU652" i="3"/>
  <c r="AW652" i="3"/>
  <c r="AV651" i="3"/>
  <c r="BA651" i="3"/>
  <c r="AH653" i="3"/>
  <c r="X653" i="3"/>
  <c r="BN654" i="3" l="1"/>
  <c r="BG650" i="3"/>
  <c r="BH650" i="3" s="1"/>
  <c r="BI650" i="3" s="1"/>
  <c r="AV652" i="3"/>
  <c r="BC651" i="3"/>
  <c r="BG651" i="3" s="1"/>
  <c r="BH651" i="3" s="1"/>
  <c r="BI651" i="3" s="1"/>
  <c r="BM654" i="3"/>
  <c r="AO654" i="3"/>
  <c r="AH654" i="3"/>
  <c r="AX653" i="3"/>
  <c r="AY652" i="3"/>
  <c r="BA652" i="3"/>
  <c r="BQ652" i="3" s="1"/>
  <c r="AU653" i="3"/>
  <c r="BF651" i="3"/>
  <c r="BJ650" i="3" s="1"/>
  <c r="BK650" i="3" s="1"/>
  <c r="BQ651" i="3"/>
  <c r="BB651" i="3"/>
  <c r="AT653" i="3"/>
  <c r="AW653" i="3"/>
  <c r="AG654" i="3"/>
  <c r="Y654" i="3"/>
  <c r="Z654" i="3" s="1"/>
  <c r="AN654" i="3"/>
  <c r="X654" i="3"/>
  <c r="A656" i="3"/>
  <c r="AQ655" i="3"/>
  <c r="AR655" i="3"/>
  <c r="B655" i="3"/>
  <c r="C655" i="3"/>
  <c r="D655" i="3"/>
  <c r="AM655" i="3"/>
  <c r="T655" i="3"/>
  <c r="Q655" i="3"/>
  <c r="S655" i="3"/>
  <c r="R655" i="3"/>
  <c r="AD655" i="3"/>
  <c r="AK655" i="3"/>
  <c r="O655" i="3"/>
  <c r="M655" i="3"/>
  <c r="P655" i="3"/>
  <c r="AE655" i="3"/>
  <c r="AF655" i="3"/>
  <c r="U655" i="3"/>
  <c r="V655" i="3"/>
  <c r="G655" i="3"/>
  <c r="H655" i="3" s="1"/>
  <c r="F655" i="3"/>
  <c r="BC652" i="3" l="1"/>
  <c r="BD652" i="3" s="1"/>
  <c r="AO655" i="3"/>
  <c r="BD651" i="3"/>
  <c r="BM655" i="3"/>
  <c r="BN655" i="3"/>
  <c r="AT654" i="3"/>
  <c r="AX654" i="3"/>
  <c r="AU654" i="3"/>
  <c r="AV653" i="3"/>
  <c r="AY653" i="3"/>
  <c r="BF652" i="3"/>
  <c r="BJ651" i="3" s="1"/>
  <c r="BK651" i="3" s="1"/>
  <c r="BB652" i="3"/>
  <c r="BA653" i="3"/>
  <c r="BF653" i="3" s="1"/>
  <c r="AG655" i="3"/>
  <c r="Y655" i="3"/>
  <c r="Z655" i="3" s="1"/>
  <c r="AH655" i="3"/>
  <c r="AW654" i="3"/>
  <c r="A657" i="3"/>
  <c r="AR656" i="3"/>
  <c r="B656" i="3"/>
  <c r="AQ656" i="3"/>
  <c r="C656" i="3"/>
  <c r="D656" i="3"/>
  <c r="AK656" i="3"/>
  <c r="T656" i="3"/>
  <c r="S656" i="3"/>
  <c r="AM656" i="3"/>
  <c r="R656" i="3"/>
  <c r="Q656" i="3"/>
  <c r="AD656" i="3"/>
  <c r="O656" i="3"/>
  <c r="AF656" i="3"/>
  <c r="AE656" i="3"/>
  <c r="M656" i="3"/>
  <c r="U656" i="3"/>
  <c r="P656" i="3"/>
  <c r="V656" i="3"/>
  <c r="F656" i="3"/>
  <c r="BM656" i="3" s="1"/>
  <c r="G656" i="3"/>
  <c r="H656" i="3" s="1"/>
  <c r="AN655" i="3"/>
  <c r="X655" i="3"/>
  <c r="BN656" i="3" l="1"/>
  <c r="BG652" i="3"/>
  <c r="BH652" i="3" s="1"/>
  <c r="BI652" i="3" s="1"/>
  <c r="AV654" i="3"/>
  <c r="BJ652" i="3"/>
  <c r="BK652" i="3" s="1"/>
  <c r="AT655" i="3"/>
  <c r="BC653" i="3"/>
  <c r="BD653" i="3" s="1"/>
  <c r="AY654" i="3"/>
  <c r="BB653" i="3"/>
  <c r="BQ653" i="3"/>
  <c r="AN656" i="3"/>
  <c r="AG656" i="3"/>
  <c r="AR657" i="3"/>
  <c r="A658" i="3"/>
  <c r="AQ657" i="3"/>
  <c r="B657" i="3"/>
  <c r="C657" i="3"/>
  <c r="Q657" i="3"/>
  <c r="R657" i="3"/>
  <c r="D657" i="3"/>
  <c r="AM657" i="3"/>
  <c r="AK657" i="3"/>
  <c r="S657" i="3"/>
  <c r="AD657" i="3"/>
  <c r="P657" i="3"/>
  <c r="O657" i="3"/>
  <c r="AE657" i="3"/>
  <c r="M657" i="3"/>
  <c r="V657" i="3"/>
  <c r="U657" i="3"/>
  <c r="AF657" i="3"/>
  <c r="F657" i="3"/>
  <c r="G657" i="3"/>
  <c r="H657" i="3" s="1"/>
  <c r="T657" i="3"/>
  <c r="Y656" i="3"/>
  <c r="Z656" i="3" s="1"/>
  <c r="AX655" i="3"/>
  <c r="AW655" i="3"/>
  <c r="AH656" i="3"/>
  <c r="AO656" i="3"/>
  <c r="X656" i="3"/>
  <c r="AU655" i="3"/>
  <c r="BA654" i="3"/>
  <c r="BC654" i="3" l="1"/>
  <c r="BD654" i="3" s="1"/>
  <c r="BG653" i="3"/>
  <c r="BH653" i="3" s="1"/>
  <c r="BI653" i="3" s="1"/>
  <c r="AY655" i="3"/>
  <c r="BM657" i="3"/>
  <c r="BA655" i="3"/>
  <c r="BF655" i="3" s="1"/>
  <c r="AO657" i="3"/>
  <c r="AX656" i="3"/>
  <c r="AV655" i="3"/>
  <c r="Y657" i="3"/>
  <c r="Z657" i="3" s="1"/>
  <c r="BB654" i="3"/>
  <c r="BQ654" i="3"/>
  <c r="BF654" i="3"/>
  <c r="AR658" i="3"/>
  <c r="B658" i="3"/>
  <c r="AQ658" i="3"/>
  <c r="A659" i="3"/>
  <c r="C658" i="3"/>
  <c r="AK658" i="3"/>
  <c r="D658" i="3"/>
  <c r="AM658" i="3"/>
  <c r="T658" i="3"/>
  <c r="S658" i="3"/>
  <c r="Q658" i="3"/>
  <c r="AD658" i="3"/>
  <c r="P658" i="3"/>
  <c r="AE658" i="3"/>
  <c r="O658" i="3"/>
  <c r="U658" i="3"/>
  <c r="V658" i="3"/>
  <c r="M658" i="3"/>
  <c r="AF658" i="3"/>
  <c r="R658" i="3"/>
  <c r="G658" i="3"/>
  <c r="H658" i="3" s="1"/>
  <c r="F658" i="3"/>
  <c r="AT656" i="3"/>
  <c r="AU656" i="3"/>
  <c r="AW656" i="3"/>
  <c r="BN657" i="3"/>
  <c r="AH657" i="3"/>
  <c r="AG657" i="3"/>
  <c r="AN657" i="3"/>
  <c r="X657" i="3"/>
  <c r="BG654" i="3" l="1"/>
  <c r="BH654" i="3" s="1"/>
  <c r="BI654" i="3" s="1"/>
  <c r="BN658" i="3"/>
  <c r="AY656" i="3"/>
  <c r="AN658" i="3"/>
  <c r="BQ655" i="3"/>
  <c r="BC655" i="3"/>
  <c r="BD655" i="3" s="1"/>
  <c r="BM658" i="3"/>
  <c r="AG658" i="3"/>
  <c r="BB655" i="3"/>
  <c r="AU657" i="3"/>
  <c r="AV656" i="3"/>
  <c r="AR659" i="3"/>
  <c r="B659" i="3"/>
  <c r="AQ659" i="3"/>
  <c r="A660" i="3"/>
  <c r="C659" i="3"/>
  <c r="D659" i="3"/>
  <c r="AM659" i="3"/>
  <c r="AK659" i="3"/>
  <c r="S659" i="3"/>
  <c r="Q659" i="3"/>
  <c r="R659" i="3"/>
  <c r="P659" i="3"/>
  <c r="AD659" i="3"/>
  <c r="AE659" i="3"/>
  <c r="U659" i="3"/>
  <c r="O659" i="3"/>
  <c r="M659" i="3"/>
  <c r="AF659" i="3"/>
  <c r="V659" i="3"/>
  <c r="G659" i="3"/>
  <c r="H659" i="3" s="1"/>
  <c r="F659" i="3"/>
  <c r="T659" i="3"/>
  <c r="BJ654" i="3"/>
  <c r="BK654" i="3" s="1"/>
  <c r="BJ653" i="3"/>
  <c r="BK653" i="3" s="1"/>
  <c r="Y658" i="3"/>
  <c r="Z658" i="3" s="1"/>
  <c r="AX657" i="3"/>
  <c r="AH658" i="3"/>
  <c r="AO658" i="3"/>
  <c r="AT657" i="3"/>
  <c r="AW657" i="3"/>
  <c r="BA656" i="3"/>
  <c r="X658" i="3"/>
  <c r="BM659" i="3" l="1"/>
  <c r="BN659" i="3"/>
  <c r="BG655" i="3"/>
  <c r="BH655" i="3" s="1"/>
  <c r="BI655" i="3" s="1"/>
  <c r="BC656" i="3"/>
  <c r="BG656" i="3" s="1"/>
  <c r="BH656" i="3" s="1"/>
  <c r="BI656" i="3" s="1"/>
  <c r="AT658" i="3"/>
  <c r="AY657" i="3"/>
  <c r="AU658" i="3"/>
  <c r="AW658" i="3"/>
  <c r="Y659" i="3"/>
  <c r="Z659" i="3" s="1"/>
  <c r="AO659" i="3"/>
  <c r="A661" i="3"/>
  <c r="AR660" i="3"/>
  <c r="B660" i="3"/>
  <c r="AQ660" i="3"/>
  <c r="D660" i="3"/>
  <c r="AM660" i="3"/>
  <c r="C660" i="3"/>
  <c r="S660" i="3"/>
  <c r="AD660" i="3"/>
  <c r="P660" i="3"/>
  <c r="AK660" i="3"/>
  <c r="R660" i="3"/>
  <c r="Q660" i="3"/>
  <c r="O660" i="3"/>
  <c r="AF660" i="3"/>
  <c r="AE660" i="3"/>
  <c r="M660" i="3"/>
  <c r="V660" i="3"/>
  <c r="F660" i="3"/>
  <c r="U660" i="3"/>
  <c r="G660" i="3"/>
  <c r="H660" i="3" s="1"/>
  <c r="BN660" i="3" s="1"/>
  <c r="T660" i="3"/>
  <c r="BF656" i="3"/>
  <c r="BJ655" i="3" s="1"/>
  <c r="BK655" i="3" s="1"/>
  <c r="BQ656" i="3"/>
  <c r="BB656" i="3"/>
  <c r="AV657" i="3"/>
  <c r="BA657" i="3"/>
  <c r="AG659" i="3"/>
  <c r="AX658" i="3"/>
  <c r="AH659" i="3"/>
  <c r="AN659" i="3"/>
  <c r="X659" i="3"/>
  <c r="BM660" i="3" l="1"/>
  <c r="AY658" i="3"/>
  <c r="BD656" i="3"/>
  <c r="AV658" i="3"/>
  <c r="BC657" i="3"/>
  <c r="BD657" i="3" s="1"/>
  <c r="AO660" i="3"/>
  <c r="AX659" i="3"/>
  <c r="AT659" i="3"/>
  <c r="BQ657" i="3"/>
  <c r="BB657" i="3"/>
  <c r="BF657" i="3"/>
  <c r="AQ661" i="3"/>
  <c r="B661" i="3"/>
  <c r="A662" i="3"/>
  <c r="AR661" i="3"/>
  <c r="C661" i="3"/>
  <c r="D661" i="3"/>
  <c r="AM661" i="3"/>
  <c r="T661" i="3"/>
  <c r="AK661" i="3"/>
  <c r="R661" i="3"/>
  <c r="Q661" i="3"/>
  <c r="AD661" i="3"/>
  <c r="S661" i="3"/>
  <c r="M661" i="3"/>
  <c r="AF661" i="3"/>
  <c r="V661" i="3"/>
  <c r="P661" i="3"/>
  <c r="O661" i="3"/>
  <c r="AE661" i="3"/>
  <c r="U661" i="3"/>
  <c r="G661" i="3"/>
  <c r="H661" i="3" s="1"/>
  <c r="F661" i="3"/>
  <c r="AH660" i="3"/>
  <c r="X660" i="3"/>
  <c r="AU659" i="3"/>
  <c r="AW659" i="3"/>
  <c r="Y660" i="3"/>
  <c r="Z660" i="3" s="1"/>
  <c r="AG660" i="3"/>
  <c r="AN660" i="3"/>
  <c r="BA658" i="3"/>
  <c r="AO661" i="3" l="1"/>
  <c r="BC658" i="3"/>
  <c r="BG658" i="3" s="1"/>
  <c r="BH658" i="3" s="1"/>
  <c r="BI658" i="3" s="1"/>
  <c r="BG657" i="3"/>
  <c r="BH657" i="3" s="1"/>
  <c r="BI657" i="3" s="1"/>
  <c r="BN661" i="3"/>
  <c r="AY659" i="3"/>
  <c r="AV659" i="3"/>
  <c r="AU660" i="3"/>
  <c r="AG661" i="3"/>
  <c r="AW660" i="3"/>
  <c r="BA659" i="3"/>
  <c r="BQ659" i="3" s="1"/>
  <c r="AT660" i="3"/>
  <c r="AX660" i="3"/>
  <c r="AR662" i="3"/>
  <c r="AQ662" i="3"/>
  <c r="B662" i="3"/>
  <c r="A663" i="3"/>
  <c r="C662" i="3"/>
  <c r="D662" i="3"/>
  <c r="S662" i="3"/>
  <c r="AK662" i="3"/>
  <c r="AM662" i="3"/>
  <c r="R662" i="3"/>
  <c r="Q662" i="3"/>
  <c r="AD662" i="3"/>
  <c r="P662" i="3"/>
  <c r="AE662" i="3"/>
  <c r="AF662" i="3"/>
  <c r="V662" i="3"/>
  <c r="O662" i="3"/>
  <c r="M662" i="3"/>
  <c r="U662" i="3"/>
  <c r="G662" i="3"/>
  <c r="H662" i="3" s="1"/>
  <c r="F662" i="3"/>
  <c r="BM662" i="3" s="1"/>
  <c r="T662" i="3"/>
  <c r="BQ658" i="3"/>
  <c r="BF658" i="3"/>
  <c r="BJ657" i="3" s="1"/>
  <c r="BK657" i="3" s="1"/>
  <c r="BB658" i="3"/>
  <c r="Y661" i="3"/>
  <c r="Z661" i="3" s="1"/>
  <c r="BJ656" i="3"/>
  <c r="BK656" i="3" s="1"/>
  <c r="AH661" i="3"/>
  <c r="AN661" i="3"/>
  <c r="X661" i="3"/>
  <c r="BM661" i="3"/>
  <c r="AU661" i="3" l="1"/>
  <c r="BN662" i="3"/>
  <c r="BD658" i="3"/>
  <c r="BC659" i="3"/>
  <c r="BG659" i="3" s="1"/>
  <c r="BH659" i="3" s="1"/>
  <c r="BI659" i="3" s="1"/>
  <c r="AY660" i="3"/>
  <c r="AN662" i="3"/>
  <c r="AT661" i="3"/>
  <c r="AW661" i="3"/>
  <c r="AH662" i="3"/>
  <c r="BF659" i="3"/>
  <c r="BJ658" i="3" s="1"/>
  <c r="BK658" i="3" s="1"/>
  <c r="BB659" i="3"/>
  <c r="AV660" i="3"/>
  <c r="BA660" i="3"/>
  <c r="AR663" i="3"/>
  <c r="A664" i="3"/>
  <c r="AQ663" i="3"/>
  <c r="B663" i="3"/>
  <c r="C663" i="3"/>
  <c r="AM663" i="3"/>
  <c r="Q663" i="3"/>
  <c r="D663" i="3"/>
  <c r="AK663" i="3"/>
  <c r="T663" i="3"/>
  <c r="S663" i="3"/>
  <c r="R663" i="3"/>
  <c r="AD663" i="3"/>
  <c r="P663" i="3"/>
  <c r="O663" i="3"/>
  <c r="AE663" i="3"/>
  <c r="M663" i="3"/>
  <c r="AF663" i="3"/>
  <c r="V663" i="3"/>
  <c r="U663" i="3"/>
  <c r="F663" i="3"/>
  <c r="BM663" i="3" s="1"/>
  <c r="G663" i="3"/>
  <c r="H663" i="3" s="1"/>
  <c r="X662" i="3"/>
  <c r="AX661" i="3"/>
  <c r="Y662" i="3"/>
  <c r="Z662" i="3" s="1"/>
  <c r="AG662" i="3"/>
  <c r="AO662" i="3"/>
  <c r="AV661" i="3" l="1"/>
  <c r="BN663" i="3"/>
  <c r="BD659" i="3"/>
  <c r="AU662" i="3"/>
  <c r="BC660" i="3"/>
  <c r="BD660" i="3" s="1"/>
  <c r="AN663" i="3"/>
  <c r="AY661" i="3"/>
  <c r="Y663" i="3"/>
  <c r="Z663" i="3" s="1"/>
  <c r="A665" i="3"/>
  <c r="AR664" i="3"/>
  <c r="B664" i="3"/>
  <c r="AQ664" i="3"/>
  <c r="C664" i="3"/>
  <c r="D664" i="3"/>
  <c r="AK664" i="3"/>
  <c r="S664" i="3"/>
  <c r="Q664" i="3"/>
  <c r="AM664" i="3"/>
  <c r="AD664" i="3"/>
  <c r="P664" i="3"/>
  <c r="T664" i="3"/>
  <c r="R664" i="3"/>
  <c r="AF664" i="3"/>
  <c r="U664" i="3"/>
  <c r="O664" i="3"/>
  <c r="AE664" i="3"/>
  <c r="M664" i="3"/>
  <c r="V664" i="3"/>
  <c r="G664" i="3"/>
  <c r="H664" i="3" s="1"/>
  <c r="F664" i="3"/>
  <c r="BB660" i="3"/>
  <c r="BQ660" i="3"/>
  <c r="BF660" i="3"/>
  <c r="BJ659" i="3" s="1"/>
  <c r="BK659" i="3" s="1"/>
  <c r="AG663" i="3"/>
  <c r="AW662" i="3"/>
  <c r="AT662" i="3"/>
  <c r="AX662" i="3"/>
  <c r="AH663" i="3"/>
  <c r="AO663" i="3"/>
  <c r="X663" i="3"/>
  <c r="BA661" i="3"/>
  <c r="BC661" i="3" l="1"/>
  <c r="BD661" i="3" s="1"/>
  <c r="BM664" i="3"/>
  <c r="AN664" i="3"/>
  <c r="BG660" i="3"/>
  <c r="BH660" i="3" s="1"/>
  <c r="BI660" i="3" s="1"/>
  <c r="AU663" i="3"/>
  <c r="AG664" i="3"/>
  <c r="BQ661" i="3"/>
  <c r="BB661" i="3"/>
  <c r="BF661" i="3"/>
  <c r="Y664" i="3"/>
  <c r="Z664" i="3" s="1"/>
  <c r="BA662" i="3"/>
  <c r="AV662" i="3"/>
  <c r="AR665" i="3"/>
  <c r="A666" i="3"/>
  <c r="AQ665" i="3"/>
  <c r="B665" i="3"/>
  <c r="C665" i="3"/>
  <c r="D665" i="3"/>
  <c r="T665" i="3"/>
  <c r="AM665" i="3"/>
  <c r="AK665" i="3"/>
  <c r="S665" i="3"/>
  <c r="Q665" i="3"/>
  <c r="P665" i="3"/>
  <c r="AD665" i="3"/>
  <c r="AE665" i="3"/>
  <c r="M665" i="3"/>
  <c r="V665" i="3"/>
  <c r="U665" i="3"/>
  <c r="O665" i="3"/>
  <c r="AF665" i="3"/>
  <c r="R665" i="3"/>
  <c r="G665" i="3"/>
  <c r="H665" i="3" s="1"/>
  <c r="F665" i="3"/>
  <c r="AY662" i="3"/>
  <c r="AW663" i="3"/>
  <c r="AT663" i="3"/>
  <c r="AX663" i="3"/>
  <c r="BN664" i="3"/>
  <c r="AH664" i="3"/>
  <c r="AO664" i="3"/>
  <c r="X664" i="3"/>
  <c r="BG661" i="3" l="1"/>
  <c r="BH661" i="3" s="1"/>
  <c r="BI661" i="3" s="1"/>
  <c r="AX664" i="3"/>
  <c r="BN665" i="3"/>
  <c r="AY663" i="3"/>
  <c r="AH665" i="3"/>
  <c r="AO665" i="3"/>
  <c r="BQ662" i="3"/>
  <c r="BB662" i="3"/>
  <c r="BF662" i="3"/>
  <c r="BJ661" i="3" s="1"/>
  <c r="BK661" i="3" s="1"/>
  <c r="AV663" i="3"/>
  <c r="BA663" i="3"/>
  <c r="Y665" i="3"/>
  <c r="Z665" i="3" s="1"/>
  <c r="AR666" i="3"/>
  <c r="AQ666" i="3"/>
  <c r="B666" i="3"/>
  <c r="A667" i="3"/>
  <c r="AM666" i="3"/>
  <c r="T666" i="3"/>
  <c r="S666" i="3"/>
  <c r="C666" i="3"/>
  <c r="D666" i="3"/>
  <c r="R666" i="3"/>
  <c r="Q666" i="3"/>
  <c r="AK666" i="3"/>
  <c r="AD666" i="3"/>
  <c r="AE666" i="3"/>
  <c r="M666" i="3"/>
  <c r="P666" i="3"/>
  <c r="O666" i="3"/>
  <c r="AF666" i="3"/>
  <c r="V666" i="3"/>
  <c r="U666" i="3"/>
  <c r="F666" i="3"/>
  <c r="G666" i="3"/>
  <c r="H666" i="3" s="1"/>
  <c r="BJ660" i="3"/>
  <c r="BK660" i="3" s="1"/>
  <c r="AT664" i="3"/>
  <c r="AW664" i="3"/>
  <c r="X665" i="3"/>
  <c r="AU664" i="3"/>
  <c r="BM665" i="3"/>
  <c r="AG665" i="3"/>
  <c r="AN665" i="3"/>
  <c r="BC662" i="3"/>
  <c r="AY664" i="3" l="1"/>
  <c r="BC663" i="3"/>
  <c r="BD663" i="3" s="1"/>
  <c r="BM666" i="3"/>
  <c r="AT665" i="3"/>
  <c r="AV664" i="3"/>
  <c r="AN666" i="3"/>
  <c r="AX665" i="3"/>
  <c r="Y666" i="3"/>
  <c r="Z666" i="3" s="1"/>
  <c r="BG662" i="3"/>
  <c r="BH662" i="3" s="1"/>
  <c r="BI662" i="3" s="1"/>
  <c r="BD662" i="3"/>
  <c r="A668" i="3"/>
  <c r="AQ667" i="3"/>
  <c r="AR667" i="3"/>
  <c r="B667" i="3"/>
  <c r="C667" i="3"/>
  <c r="D667" i="3"/>
  <c r="AM667" i="3"/>
  <c r="AK667" i="3"/>
  <c r="S667" i="3"/>
  <c r="AD667" i="3"/>
  <c r="R667" i="3"/>
  <c r="Q667" i="3"/>
  <c r="P667" i="3"/>
  <c r="O667" i="3"/>
  <c r="AE667" i="3"/>
  <c r="M667" i="3"/>
  <c r="AF667" i="3"/>
  <c r="U667" i="3"/>
  <c r="V667" i="3"/>
  <c r="F667" i="3"/>
  <c r="G667" i="3"/>
  <c r="H667" i="3" s="1"/>
  <c r="T667" i="3"/>
  <c r="BB663" i="3"/>
  <c r="BQ663" i="3"/>
  <c r="BF663" i="3"/>
  <c r="BJ662" i="3" s="1"/>
  <c r="BK662" i="3" s="1"/>
  <c r="AW665" i="3"/>
  <c r="AU665" i="3"/>
  <c r="BA664" i="3"/>
  <c r="BN666" i="3"/>
  <c r="AH666" i="3"/>
  <c r="AG666" i="3"/>
  <c r="AO666" i="3"/>
  <c r="X666" i="3"/>
  <c r="BC664" i="3" l="1"/>
  <c r="BD664" i="3" s="1"/>
  <c r="BG663" i="3"/>
  <c r="BH663" i="3" s="1"/>
  <c r="BI663" i="3" s="1"/>
  <c r="BM667" i="3"/>
  <c r="AV665" i="3"/>
  <c r="AY665" i="3"/>
  <c r="AO667" i="3"/>
  <c r="AW666" i="3"/>
  <c r="AH667" i="3"/>
  <c r="Y667" i="3"/>
  <c r="Z667" i="3" s="1"/>
  <c r="BB664" i="3"/>
  <c r="BQ664" i="3"/>
  <c r="BF664" i="3"/>
  <c r="BJ663" i="3" s="1"/>
  <c r="BK663" i="3" s="1"/>
  <c r="A669" i="3"/>
  <c r="AR668" i="3"/>
  <c r="B668" i="3"/>
  <c r="AQ668" i="3"/>
  <c r="C668" i="3"/>
  <c r="S668" i="3"/>
  <c r="D668" i="3"/>
  <c r="AM668" i="3"/>
  <c r="AK668" i="3"/>
  <c r="T668" i="3"/>
  <c r="Q668" i="3"/>
  <c r="AD668" i="3"/>
  <c r="P668" i="3"/>
  <c r="O668" i="3"/>
  <c r="M668" i="3"/>
  <c r="AE668" i="3"/>
  <c r="AF668" i="3"/>
  <c r="V668" i="3"/>
  <c r="U668" i="3"/>
  <c r="R668" i="3"/>
  <c r="F668" i="3"/>
  <c r="BM668" i="3" s="1"/>
  <c r="G668" i="3"/>
  <c r="H668" i="3" s="1"/>
  <c r="AT666" i="3"/>
  <c r="BA665" i="3"/>
  <c r="AU666" i="3"/>
  <c r="AX666" i="3"/>
  <c r="BN667" i="3"/>
  <c r="AG667" i="3"/>
  <c r="AN667" i="3"/>
  <c r="X667" i="3"/>
  <c r="AY666" i="3" l="1"/>
  <c r="BG664" i="3"/>
  <c r="BH664" i="3" s="1"/>
  <c r="BI664" i="3" s="1"/>
  <c r="BC665" i="3"/>
  <c r="BD665" i="3" s="1"/>
  <c r="AW667" i="3"/>
  <c r="AO668" i="3"/>
  <c r="Y668" i="3"/>
  <c r="Z668" i="3" s="1"/>
  <c r="AQ669" i="3"/>
  <c r="B669" i="3"/>
  <c r="A670" i="3"/>
  <c r="AR669" i="3"/>
  <c r="D669" i="3"/>
  <c r="S669" i="3"/>
  <c r="AM669" i="3"/>
  <c r="C669" i="3"/>
  <c r="AK669" i="3"/>
  <c r="R669" i="3"/>
  <c r="P669" i="3"/>
  <c r="Q669" i="3"/>
  <c r="AD669" i="3"/>
  <c r="O669" i="3"/>
  <c r="M669" i="3"/>
  <c r="AE669" i="3"/>
  <c r="AF669" i="3"/>
  <c r="U669" i="3"/>
  <c r="V669" i="3"/>
  <c r="G669" i="3"/>
  <c r="H669" i="3" s="1"/>
  <c r="F669" i="3"/>
  <c r="T669" i="3"/>
  <c r="BF665" i="3"/>
  <c r="BJ664" i="3" s="1"/>
  <c r="BK664" i="3" s="1"/>
  <c r="BB665" i="3"/>
  <c r="BQ665" i="3"/>
  <c r="AV666" i="3"/>
  <c r="BA666" i="3"/>
  <c r="AU667" i="3"/>
  <c r="AX667" i="3"/>
  <c r="X668" i="3"/>
  <c r="AT667" i="3"/>
  <c r="BN668" i="3"/>
  <c r="AG668" i="3"/>
  <c r="AH668" i="3"/>
  <c r="AN668" i="3"/>
  <c r="BC666" i="3" l="1"/>
  <c r="BD666" i="3" s="1"/>
  <c r="AO669" i="3"/>
  <c r="BG665" i="3"/>
  <c r="BH665" i="3" s="1"/>
  <c r="BI665" i="3" s="1"/>
  <c r="BN669" i="3"/>
  <c r="AU668" i="3"/>
  <c r="AY667" i="3"/>
  <c r="AX668" i="3"/>
  <c r="Y669" i="3"/>
  <c r="Z669" i="3" s="1"/>
  <c r="AG669" i="3"/>
  <c r="AV667" i="3"/>
  <c r="BA667" i="3"/>
  <c r="BB666" i="3"/>
  <c r="BF666" i="3"/>
  <c r="BJ665" i="3" s="1"/>
  <c r="BK665" i="3" s="1"/>
  <c r="BQ666" i="3"/>
  <c r="AR670" i="3"/>
  <c r="AQ670" i="3"/>
  <c r="B670" i="3"/>
  <c r="A671" i="3"/>
  <c r="D670" i="3"/>
  <c r="C670" i="3"/>
  <c r="AM670" i="3"/>
  <c r="R670" i="3"/>
  <c r="S670" i="3"/>
  <c r="AK670" i="3"/>
  <c r="Q670" i="3"/>
  <c r="P670" i="3"/>
  <c r="AD670" i="3"/>
  <c r="M670" i="3"/>
  <c r="O670" i="3"/>
  <c r="AF670" i="3"/>
  <c r="AE670" i="3"/>
  <c r="V670" i="3"/>
  <c r="U670" i="3"/>
  <c r="G670" i="3"/>
  <c r="H670" i="3" s="1"/>
  <c r="F670" i="3"/>
  <c r="T670" i="3"/>
  <c r="X669" i="3"/>
  <c r="AT668" i="3"/>
  <c r="AW668" i="3"/>
  <c r="BM669" i="3"/>
  <c r="AH669" i="3"/>
  <c r="AN669" i="3"/>
  <c r="BG666" i="3" l="1"/>
  <c r="BH666" i="3" s="1"/>
  <c r="BI666" i="3" s="1"/>
  <c r="AY668" i="3"/>
  <c r="AU669" i="3"/>
  <c r="BC667" i="3"/>
  <c r="BG667" i="3" s="1"/>
  <c r="BH667" i="3" s="1"/>
  <c r="BI667" i="3" s="1"/>
  <c r="BN670" i="3"/>
  <c r="AO670" i="3"/>
  <c r="Y670" i="3"/>
  <c r="Z670" i="3" s="1"/>
  <c r="AV668" i="3"/>
  <c r="BA668" i="3"/>
  <c r="AR671" i="3"/>
  <c r="B671" i="3"/>
  <c r="AQ671" i="3"/>
  <c r="A672" i="3"/>
  <c r="C671" i="3"/>
  <c r="D671" i="3"/>
  <c r="AK671" i="3"/>
  <c r="AM671" i="3"/>
  <c r="S671" i="3"/>
  <c r="AD671" i="3"/>
  <c r="Q671" i="3"/>
  <c r="P671" i="3"/>
  <c r="O671" i="3"/>
  <c r="AE671" i="3"/>
  <c r="AF671" i="3"/>
  <c r="M671" i="3"/>
  <c r="U671" i="3"/>
  <c r="V671" i="3"/>
  <c r="R671" i="3"/>
  <c r="G671" i="3"/>
  <c r="H671" i="3" s="1"/>
  <c r="F671" i="3"/>
  <c r="T671" i="3"/>
  <c r="BQ667" i="3"/>
  <c r="BF667" i="3"/>
  <c r="BJ666" i="3" s="1"/>
  <c r="BK666" i="3" s="1"/>
  <c r="BB667" i="3"/>
  <c r="X670" i="3"/>
  <c r="AX669" i="3"/>
  <c r="AT669" i="3"/>
  <c r="AW669" i="3"/>
  <c r="BM670" i="3"/>
  <c r="AG670" i="3"/>
  <c r="AH670" i="3"/>
  <c r="AN670" i="3"/>
  <c r="BN671" i="3" l="1"/>
  <c r="BC668" i="3"/>
  <c r="BG668" i="3" s="1"/>
  <c r="BH668" i="3" s="1"/>
  <c r="BI668" i="3" s="1"/>
  <c r="BD667" i="3"/>
  <c r="BM671" i="3"/>
  <c r="AN671" i="3"/>
  <c r="AG671" i="3"/>
  <c r="Y671" i="3"/>
  <c r="Z671" i="3" s="1"/>
  <c r="AX670" i="3"/>
  <c r="BA669" i="3"/>
  <c r="AV669" i="3"/>
  <c r="A673" i="3"/>
  <c r="AR672" i="3"/>
  <c r="B672" i="3"/>
  <c r="AQ672" i="3"/>
  <c r="C672" i="3"/>
  <c r="D672" i="3"/>
  <c r="AK672" i="3"/>
  <c r="S672" i="3"/>
  <c r="R672" i="3"/>
  <c r="Q672" i="3"/>
  <c r="AD672" i="3"/>
  <c r="AM672" i="3"/>
  <c r="P672" i="3"/>
  <c r="O672" i="3"/>
  <c r="M672" i="3"/>
  <c r="AF672" i="3"/>
  <c r="V672" i="3"/>
  <c r="AE672" i="3"/>
  <c r="U672" i="3"/>
  <c r="F672" i="3"/>
  <c r="G672" i="3"/>
  <c r="H672" i="3" s="1"/>
  <c r="T672" i="3"/>
  <c r="BQ668" i="3"/>
  <c r="BB668" i="3"/>
  <c r="BF668" i="3"/>
  <c r="BJ667" i="3" s="1"/>
  <c r="BK667" i="3" s="1"/>
  <c r="AH671" i="3"/>
  <c r="AT670" i="3"/>
  <c r="AW670" i="3"/>
  <c r="AY669" i="3"/>
  <c r="AU670" i="3"/>
  <c r="AO671" i="3"/>
  <c r="X671" i="3"/>
  <c r="BD668" i="3" l="1"/>
  <c r="AT671" i="3"/>
  <c r="AY670" i="3"/>
  <c r="BM672" i="3"/>
  <c r="AW671" i="3"/>
  <c r="AN672" i="3"/>
  <c r="AU671" i="3"/>
  <c r="AG672" i="3"/>
  <c r="Y672" i="3"/>
  <c r="Z672" i="3" s="1"/>
  <c r="BC669" i="3"/>
  <c r="BD669" i="3" s="1"/>
  <c r="AV670" i="3"/>
  <c r="BA670" i="3"/>
  <c r="AR673" i="3"/>
  <c r="A674" i="3"/>
  <c r="AQ673" i="3"/>
  <c r="B673" i="3"/>
  <c r="C673" i="3"/>
  <c r="D673" i="3"/>
  <c r="AK673" i="3"/>
  <c r="AM673" i="3"/>
  <c r="S673" i="3"/>
  <c r="T673" i="3"/>
  <c r="Q673" i="3"/>
  <c r="R673" i="3"/>
  <c r="AD673" i="3"/>
  <c r="P673" i="3"/>
  <c r="O673" i="3"/>
  <c r="M673" i="3"/>
  <c r="AE673" i="3"/>
  <c r="U673" i="3"/>
  <c r="AF673" i="3"/>
  <c r="V673" i="3"/>
  <c r="G673" i="3"/>
  <c r="H673" i="3" s="1"/>
  <c r="F673" i="3"/>
  <c r="BB669" i="3"/>
  <c r="BF669" i="3"/>
  <c r="BJ668" i="3" s="1"/>
  <c r="BK668" i="3" s="1"/>
  <c r="BQ669" i="3"/>
  <c r="AH672" i="3"/>
  <c r="AX671" i="3"/>
  <c r="BN672" i="3"/>
  <c r="AO672" i="3"/>
  <c r="X672" i="3"/>
  <c r="BC670" i="3" l="1"/>
  <c r="BD670" i="3" s="1"/>
  <c r="AV671" i="3"/>
  <c r="BA671" i="3"/>
  <c r="BB671" i="3" s="1"/>
  <c r="BM673" i="3"/>
  <c r="AN673" i="3"/>
  <c r="AX672" i="3"/>
  <c r="AU672" i="3"/>
  <c r="BG669" i="3"/>
  <c r="BH669" i="3" s="1"/>
  <c r="BI669" i="3" s="1"/>
  <c r="AY671" i="3"/>
  <c r="Y673" i="3"/>
  <c r="Z673" i="3" s="1"/>
  <c r="AR674" i="3"/>
  <c r="B674" i="3"/>
  <c r="AQ674" i="3"/>
  <c r="A675" i="3"/>
  <c r="C674" i="3"/>
  <c r="R674" i="3"/>
  <c r="AM674" i="3"/>
  <c r="D674" i="3"/>
  <c r="AK674" i="3"/>
  <c r="S674" i="3"/>
  <c r="P674" i="3"/>
  <c r="AD674" i="3"/>
  <c r="O674" i="3"/>
  <c r="M674" i="3"/>
  <c r="AE674" i="3"/>
  <c r="AF674" i="3"/>
  <c r="V674" i="3"/>
  <c r="U674" i="3"/>
  <c r="Q674" i="3"/>
  <c r="G674" i="3"/>
  <c r="H674" i="3" s="1"/>
  <c r="BN674" i="3" s="1"/>
  <c r="F674" i="3"/>
  <c r="T674" i="3"/>
  <c r="BQ670" i="3"/>
  <c r="BB670" i="3"/>
  <c r="BF670" i="3"/>
  <c r="BJ669" i="3" s="1"/>
  <c r="BK669" i="3" s="1"/>
  <c r="AT672" i="3"/>
  <c r="AW672" i="3"/>
  <c r="BN673" i="3"/>
  <c r="AG673" i="3"/>
  <c r="AH673" i="3"/>
  <c r="AO673" i="3"/>
  <c r="X673" i="3"/>
  <c r="BG670" i="3" l="1"/>
  <c r="BH670" i="3" s="1"/>
  <c r="BI670" i="3" s="1"/>
  <c r="BC671" i="3"/>
  <c r="BD671" i="3" s="1"/>
  <c r="AO674" i="3"/>
  <c r="AY672" i="3"/>
  <c r="BQ671" i="3"/>
  <c r="BF671" i="3"/>
  <c r="BJ670" i="3" s="1"/>
  <c r="BK670" i="3" s="1"/>
  <c r="AU673" i="3"/>
  <c r="AG674" i="3"/>
  <c r="X674" i="3"/>
  <c r="BM674" i="3"/>
  <c r="BA672" i="3"/>
  <c r="AV672" i="3"/>
  <c r="A676" i="3"/>
  <c r="AQ675" i="3"/>
  <c r="AR675" i="3"/>
  <c r="B675" i="3"/>
  <c r="D675" i="3"/>
  <c r="T675" i="3"/>
  <c r="S675" i="3"/>
  <c r="C675" i="3"/>
  <c r="AM675" i="3"/>
  <c r="Q675" i="3"/>
  <c r="R675" i="3"/>
  <c r="AK675" i="3"/>
  <c r="AD675" i="3"/>
  <c r="P675" i="3"/>
  <c r="O675" i="3"/>
  <c r="M675" i="3"/>
  <c r="AF675" i="3"/>
  <c r="AE675" i="3"/>
  <c r="V675" i="3"/>
  <c r="U675" i="3"/>
  <c r="G675" i="3"/>
  <c r="H675" i="3" s="1"/>
  <c r="BN675" i="3" s="1"/>
  <c r="F675" i="3"/>
  <c r="AW673" i="3"/>
  <c r="AN674" i="3"/>
  <c r="AT673" i="3"/>
  <c r="AX673" i="3"/>
  <c r="Y674" i="3"/>
  <c r="Z674" i="3" s="1"/>
  <c r="AH674" i="3"/>
  <c r="BG671" i="3" l="1"/>
  <c r="BH671" i="3" s="1"/>
  <c r="BI671" i="3" s="1"/>
  <c r="BM675" i="3"/>
  <c r="BC672" i="3"/>
  <c r="BG672" i="3" s="1"/>
  <c r="BH672" i="3" s="1"/>
  <c r="BI672" i="3" s="1"/>
  <c r="AO675" i="3"/>
  <c r="AW674" i="3"/>
  <c r="AG675" i="3"/>
  <c r="AV673" i="3"/>
  <c r="BA673" i="3"/>
  <c r="Y675" i="3"/>
  <c r="Z675" i="3" s="1"/>
  <c r="AQ676" i="3"/>
  <c r="AR676" i="3"/>
  <c r="B676" i="3"/>
  <c r="D676" i="3"/>
  <c r="C676" i="3"/>
  <c r="AK676" i="3"/>
  <c r="T676" i="3"/>
  <c r="S676" i="3"/>
  <c r="AM676" i="3"/>
  <c r="R676" i="3"/>
  <c r="Q676" i="3"/>
  <c r="AD676" i="3"/>
  <c r="P676" i="3"/>
  <c r="O676" i="3"/>
  <c r="AE676" i="3"/>
  <c r="M676" i="3"/>
  <c r="AF676" i="3"/>
  <c r="U676" i="3"/>
  <c r="V676" i="3"/>
  <c r="F676" i="3"/>
  <c r="G676" i="3"/>
  <c r="H676" i="3" s="1"/>
  <c r="BF672" i="3"/>
  <c r="BJ671" i="3" s="1"/>
  <c r="BK671" i="3" s="1"/>
  <c r="BB672" i="3"/>
  <c r="BQ672" i="3"/>
  <c r="X675" i="3"/>
  <c r="AX674" i="3"/>
  <c r="AU674" i="3"/>
  <c r="AY673" i="3"/>
  <c r="AH675" i="3"/>
  <c r="AN675" i="3"/>
  <c r="AT674" i="3"/>
  <c r="BD672" i="3" l="1"/>
  <c r="AY674" i="3"/>
  <c r="BN676" i="3"/>
  <c r="AN676" i="3"/>
  <c r="AV674" i="3"/>
  <c r="BA674" i="3"/>
  <c r="AT675" i="3"/>
  <c r="AX675" i="3"/>
  <c r="Y676" i="3"/>
  <c r="Z676" i="3" s="1"/>
  <c r="BB673" i="3"/>
  <c r="BF673" i="3"/>
  <c r="BJ672" i="3" s="1"/>
  <c r="BK672" i="3" s="1"/>
  <c r="BQ673" i="3"/>
  <c r="AU675" i="3"/>
  <c r="AW675" i="3"/>
  <c r="AG676" i="3"/>
  <c r="X676" i="3"/>
  <c r="BC673" i="3"/>
  <c r="BM676" i="3"/>
  <c r="AH676" i="3"/>
  <c r="AO676" i="3"/>
  <c r="BC674" i="3" l="1"/>
  <c r="BG674" i="3" s="1"/>
  <c r="BH674" i="3" s="1"/>
  <c r="BI674" i="3" s="1"/>
  <c r="AY675" i="3"/>
  <c r="AX676" i="3"/>
  <c r="AT676" i="3"/>
  <c r="BD673" i="3"/>
  <c r="BG673" i="3"/>
  <c r="BH673" i="3" s="1"/>
  <c r="BI673" i="3" s="1"/>
  <c r="BB674" i="3"/>
  <c r="BQ674" i="3"/>
  <c r="BF674" i="3"/>
  <c r="BJ673" i="3" s="1"/>
  <c r="BK673" i="3" s="1"/>
  <c r="BA675" i="3"/>
  <c r="AU676" i="3"/>
  <c r="AW676" i="3"/>
  <c r="AV675" i="3"/>
  <c r="BD674" i="3" l="1"/>
  <c r="BC675" i="3"/>
  <c r="BD675" i="3" s="1"/>
  <c r="AY676" i="3"/>
  <c r="AV676" i="3"/>
  <c r="BQ675" i="3"/>
  <c r="BB675" i="3"/>
  <c r="BF675" i="3"/>
  <c r="BJ674" i="3" s="1"/>
  <c r="BK674" i="3" s="1"/>
  <c r="BA676" i="3"/>
  <c r="BG675" i="3" l="1"/>
  <c r="BH675" i="3" s="1"/>
  <c r="BI675" i="3" s="1"/>
  <c r="BC676" i="3"/>
  <c r="BG676" i="3" s="1"/>
  <c r="BH676" i="3" s="1"/>
  <c r="BI676" i="3" s="1"/>
  <c r="BQ676" i="3"/>
  <c r="BB676" i="3"/>
  <c r="BF676" i="3"/>
  <c r="BD676" i="3" l="1"/>
  <c r="BJ676" i="3"/>
  <c r="BK676" i="3" s="1"/>
  <c r="BJ675" i="3"/>
  <c r="BK675" i="3" s="1"/>
  <c r="H159" i="8" l="1"/>
  <c r="H158" i="8" s="1"/>
  <c r="H157" i="8" s="1"/>
  <c r="H156" i="8" s="1"/>
  <c r="H155" i="8" s="1"/>
  <c r="H154" i="8" s="1"/>
  <c r="H153" i="8" s="1"/>
  <c r="H152" i="8" s="1"/>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s="1"/>
  <c r="S23" i="8" s="1"/>
  <c r="B65" i="2" s="1"/>
  <c r="B270" i="2" l="1"/>
  <c r="D42" i="16" s="1"/>
  <c r="C270" i="2"/>
  <c r="B266" i="2"/>
  <c r="C266" i="2"/>
  <c r="R12" i="8"/>
  <c r="S6" i="8"/>
  <c r="B56" i="2" s="1"/>
  <c r="C42" i="16" l="1"/>
  <c r="B264" i="2"/>
  <c r="B268" i="2" s="1"/>
  <c r="A264" i="2"/>
  <c r="C264" i="2"/>
  <c r="E26" i="1"/>
  <c r="C54" i="16" l="1"/>
  <c r="D54" i="16" s="1"/>
  <c r="C268" i="2"/>
  <c r="D59"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BDATSC</author>
    <author>Hegarty, Timothy</author>
  </authors>
  <commentList>
    <comment ref="A3" authorId="0" shapeId="0" xr:uid="{00000000-0006-0000-0000-000001000000}">
      <text>
        <r>
          <rPr>
            <b/>
            <sz val="11"/>
            <color indexed="10"/>
            <rFont val="Tahoma"/>
            <family val="2"/>
          </rPr>
          <t>Welcome to the LM(2)5145/6/-Q1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LM(2)5145/6/-Q1 synchronous buck controller</t>
        </r>
        <r>
          <rPr>
            <sz val="9"/>
            <color indexed="81"/>
            <rFont val="Tahoma"/>
            <family val="2"/>
          </rPr>
          <t xml:space="preserve">. As such, the user can expeditiously arrive at an optimized design by virtue of the following:
- Determine buck inductance, input and output capacitances
- Select components for switching frequency, soft-start, UVLO, and OCP
- Optimize compensation values and pole/zero placement in terms of control loop stability using crossover frquency as a performance metric
- Inspect regulator efficiency and component power dissipation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 is used throughout.</t>
        </r>
        <r>
          <rPr>
            <b/>
            <sz val="9"/>
            <color indexed="81"/>
            <rFont val="Tahoma"/>
            <family val="2"/>
          </rPr>
          <t xml:space="preserve"> </t>
        </r>
        <r>
          <rPr>
            <b/>
            <u/>
            <sz val="9"/>
            <color indexed="81"/>
            <rFont val="Tahoma"/>
            <family val="2"/>
          </rPr>
          <t>Also, set Windows zoom factor to 100% for correct schematic viewing.</t>
        </r>
        <r>
          <rPr>
            <sz val="9"/>
            <color indexed="81"/>
            <rFont val="Tahoma"/>
            <family val="2"/>
          </rPr>
          <t xml:space="preserve">
</t>
        </r>
        <r>
          <rPr>
            <u/>
            <sz val="9"/>
            <color indexed="12"/>
            <rFont val="Tahoma"/>
            <family val="2"/>
          </rPr>
          <t>www.ti.com/widevin</t>
        </r>
        <r>
          <rPr>
            <sz val="9"/>
            <color indexed="81"/>
            <rFont val="Tahoma"/>
            <family val="2"/>
          </rPr>
          <t xml:space="preserve">
</t>
        </r>
        <r>
          <rPr>
            <b/>
            <sz val="9"/>
            <color indexed="81"/>
            <rFont val="Tahoma"/>
            <family val="2"/>
          </rPr>
          <t xml:space="preserve">
Rev. A5, Sept. 2024, Timothy Hegarty, Texas Instruments, Inc.</t>
        </r>
      </text>
    </comment>
    <comment ref="O3" authorId="0" shapeId="0" xr:uid="{00000000-0006-0000-00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LM(2)5145/6/-Q1 product datasheets and EVM user's guides for more details.
</t>
        </r>
        <r>
          <rPr>
            <b/>
            <sz val="9"/>
            <color indexed="81"/>
            <rFont val="Tahoma"/>
            <family val="2"/>
          </rPr>
          <t>Rev. A5, Timothy Hegarty, Texas Instruments, Inc.</t>
        </r>
      </text>
    </comment>
    <comment ref="E6" authorId="0" shapeId="0" xr:uid="{00000000-0006-0000-0000-000003000000}">
      <text>
        <r>
          <rPr>
            <b/>
            <u/>
            <sz val="9"/>
            <color indexed="81"/>
            <rFont val="Tahoma"/>
            <family val="2"/>
          </rPr>
          <t>Minimum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(LM25145), 75V (LM5145) or 100V (LM5146)</t>
        </r>
        <r>
          <rPr>
            <sz val="9"/>
            <color indexed="81"/>
            <rFont val="Tahoma"/>
            <family val="2"/>
          </rPr>
          <t xml:space="preserve">
-The input voltage is below </t>
        </r>
        <r>
          <rPr>
            <b/>
            <sz val="9"/>
            <color indexed="10"/>
            <rFont val="Tahoma"/>
            <family val="2"/>
          </rPr>
          <t>5.5V (LM5146) or 6V (LM25145, LM5145)
-</t>
        </r>
        <r>
          <rPr>
            <sz val="9"/>
            <color indexed="81"/>
            <rFont val="Tahoma"/>
            <family val="2"/>
          </rPr>
          <t xml:space="preserve">The minimum PWM off-time of </t>
        </r>
        <r>
          <rPr>
            <b/>
            <sz val="9"/>
            <color indexed="10"/>
            <rFont val="Tahoma"/>
            <family val="2"/>
          </rPr>
          <t>140ns</t>
        </r>
        <r>
          <rPr>
            <sz val="9"/>
            <color indexed="81"/>
            <rFont val="Tahoma"/>
            <family val="2"/>
          </rPr>
          <t xml:space="preserve"> is reached</t>
        </r>
      </text>
    </comment>
    <comment ref="E7"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(LM25145), 75V (LM5145) or 100V (LM5146)</t>
        </r>
        <r>
          <rPr>
            <sz val="9"/>
            <color indexed="81"/>
            <rFont val="Tahoma"/>
            <family val="2"/>
          </rPr>
          <t xml:space="preserve">
-The input voltage is below </t>
        </r>
        <r>
          <rPr>
            <b/>
            <sz val="9"/>
            <color indexed="10"/>
            <rFont val="Tahoma"/>
            <family val="2"/>
          </rPr>
          <t>5.5V (LM5146) or 6V (LM25145, LM5145)</t>
        </r>
      </text>
    </comment>
    <comment ref="E8" authorId="0" shapeId="0" xr:uid="{00000000-0006-0000-0000-000005000000}">
      <text>
        <r>
          <rPr>
            <b/>
            <u/>
            <sz val="9"/>
            <color indexed="81"/>
            <rFont val="Tahoma"/>
            <family val="2"/>
          </rPr>
          <t>Maximum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(LM@5145), 75V (LM5145) or 100V (LM5146)</t>
        </r>
        <r>
          <rPr>
            <sz val="9"/>
            <color indexed="81"/>
            <rFont val="Tahoma"/>
            <family val="2"/>
          </rPr>
          <t xml:space="preserve">
-The input voltage is below </t>
        </r>
        <r>
          <rPr>
            <b/>
            <sz val="9"/>
            <color indexed="10"/>
            <rFont val="Tahoma"/>
            <family val="2"/>
          </rPr>
          <t xml:space="preserve">5.5V (LM5146) or 6V (LM25145, LM5145)
</t>
        </r>
        <r>
          <rPr>
            <sz val="9"/>
            <color indexed="81"/>
            <rFont val="Tahoma"/>
            <family val="2"/>
          </rPr>
          <t xml:space="preserve">-The minimum PWM on-time of </t>
        </r>
        <r>
          <rPr>
            <b/>
            <sz val="9"/>
            <color indexed="10"/>
            <rFont val="Tahoma"/>
            <family val="2"/>
          </rPr>
          <t>40ns</t>
        </r>
        <r>
          <rPr>
            <sz val="9"/>
            <color indexed="81"/>
            <rFont val="Tahoma"/>
            <family val="2"/>
          </rPr>
          <t xml:space="preserve"> is reached</t>
        </r>
      </text>
    </comment>
    <comment ref="E9"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
        </r>
        <r>
          <rPr>
            <sz val="9"/>
            <color indexed="81"/>
            <rFont val="Tahoma"/>
            <family val="2"/>
          </rPr>
          <t>The text in this cell is red if:</t>
        </r>
        <r>
          <rPr>
            <b/>
            <sz val="9"/>
            <color indexed="81"/>
            <rFont val="Tahoma"/>
            <family val="2"/>
          </rPr>
          <t xml:space="preserve">
</t>
        </r>
        <r>
          <rPr>
            <b/>
            <sz val="9"/>
            <color indexed="10"/>
            <rFont val="Tahoma"/>
            <family val="2"/>
          </rPr>
          <t>-The output voltage is above the nominal input voltage 
-The output voltage is below 0.8V
-The output voltage is above 42V (LM25145) and 60V (LM5145, LM5146)</t>
        </r>
      </text>
    </comment>
    <comment ref="E11" authorId="0" shapeId="0" xr:uid="{00000000-0006-0000-0000-000007000000}">
      <text>
        <r>
          <rPr>
            <b/>
            <u/>
            <sz val="9"/>
            <color indexed="81"/>
            <rFont val="Tahoma"/>
            <family val="2"/>
          </rPr>
          <t>Operating Frequency</t>
        </r>
        <r>
          <rPr>
            <b/>
            <sz val="9"/>
            <color indexed="81"/>
            <rFont val="Tahoma"/>
            <family val="2"/>
          </rPr>
          <t xml:space="preserve"> (set by R</t>
        </r>
        <r>
          <rPr>
            <b/>
            <vertAlign val="subscript"/>
            <sz val="9"/>
            <color indexed="81"/>
            <rFont val="Tahoma"/>
            <family val="2"/>
          </rPr>
          <t>FADJ</t>
        </r>
        <r>
          <rPr>
            <b/>
            <sz val="9"/>
            <color indexed="81"/>
            <rFont val="Tahoma"/>
            <family val="2"/>
          </rPr>
          <t>):</t>
        </r>
        <r>
          <rPr>
            <sz val="9"/>
            <color indexed="81"/>
            <rFont val="Tahoma"/>
            <family val="2"/>
          </rPr>
          <t xml:space="preserve">
This cell defines the free running frequency set by the R</t>
        </r>
        <r>
          <rPr>
            <vertAlign val="subscript"/>
            <sz val="9"/>
            <color indexed="81"/>
            <rFont val="Tahoma"/>
            <family val="2"/>
          </rPr>
          <t>RT</t>
        </r>
        <r>
          <rPr>
            <sz val="9"/>
            <color indexed="81"/>
            <rFont val="Tahoma"/>
            <family val="2"/>
          </rPr>
          <t xml:space="preserve"> resistor. 
</t>
        </r>
        <r>
          <rPr>
            <b/>
            <sz val="9"/>
            <color indexed="81"/>
            <rFont val="Tahoma"/>
            <family val="2"/>
          </rPr>
          <t xml:space="preserve">The text in this cell is blue if:
</t>
        </r>
        <r>
          <rPr>
            <b/>
            <sz val="9"/>
            <color indexed="39"/>
            <rFont val="Tahoma"/>
            <family val="2"/>
          </rPr>
          <t>-The SYNC frequency is not with -20% to +50% of the free-running frequency set by R</t>
        </r>
        <r>
          <rPr>
            <b/>
            <vertAlign val="subscript"/>
            <sz val="9"/>
            <color indexed="39"/>
            <rFont val="Tahoma"/>
            <family val="2"/>
          </rPr>
          <t>RT</t>
        </r>
        <r>
          <rPr>
            <b/>
            <sz val="9"/>
            <color indexed="39"/>
            <rFont val="Tahoma"/>
            <family val="2"/>
          </rPr>
          <t>.</t>
        </r>
        <r>
          <rPr>
            <sz val="9"/>
            <color indexed="81"/>
            <rFont val="Tahoma"/>
            <family val="2"/>
          </rPr>
          <t xml:space="preserve">
</t>
        </r>
        <r>
          <rPr>
            <b/>
            <sz val="9"/>
            <color indexed="81"/>
            <rFont val="Tahoma"/>
            <family val="2"/>
          </rPr>
          <t xml:space="preserve">The text in this cell is red if:
</t>
        </r>
        <r>
          <rPr>
            <b/>
            <sz val="9"/>
            <color indexed="10"/>
            <rFont val="Tahoma"/>
            <family val="2"/>
          </rPr>
          <t>-The frequency is below 100 kHz
-The frequency is above 1 MHz</t>
        </r>
        <r>
          <rPr>
            <sz val="11"/>
            <color indexed="81"/>
            <rFont val="Tahoma"/>
            <family val="2"/>
          </rPr>
          <t xml:space="preserve">
</t>
        </r>
      </text>
    </comment>
    <comment ref="E12" authorId="0" shapeId="0" xr:uid="{00000000-0006-0000-0000-000008000000}">
      <text>
        <r>
          <rPr>
            <b/>
            <u/>
            <sz val="9"/>
            <color indexed="81"/>
            <rFont val="Tahoma"/>
            <family val="2"/>
          </rPr>
          <t>Operating SYNC Frequency</t>
        </r>
        <r>
          <rPr>
            <b/>
            <sz val="9"/>
            <color indexed="81"/>
            <rFont val="Tahoma"/>
            <family val="2"/>
          </rPr>
          <t xml:space="preserve">:
</t>
        </r>
        <r>
          <rPr>
            <sz val="9"/>
            <color indexed="81"/>
            <rFont val="Tahoma"/>
            <family val="2"/>
          </rPr>
          <t>This frequency sets the switching frequency the LM5146 should synchronize to. If SYNC is not used, the SYNCIN pin should be grounded for DCM or tied high (to VCC) for CCM, and the free-running frequency should be inserted here.</t>
        </r>
        <r>
          <rPr>
            <b/>
            <sz val="9"/>
            <color indexed="81"/>
            <rFont val="Tahoma"/>
            <family val="2"/>
          </rPr>
          <t xml:space="preserve">
The text in this cell is blue if 
</t>
        </r>
        <r>
          <rPr>
            <b/>
            <sz val="9"/>
            <color indexed="39"/>
            <rFont val="Tahoma"/>
            <family val="2"/>
          </rPr>
          <t>-The SYNC frequency is greater than 150% or less than 80% of the frequency set by R</t>
        </r>
        <r>
          <rPr>
            <b/>
            <vertAlign val="subscript"/>
            <sz val="9"/>
            <color indexed="39"/>
            <rFont val="Tahoma"/>
            <family val="2"/>
          </rPr>
          <t>RT</t>
        </r>
        <r>
          <rPr>
            <b/>
            <sz val="9"/>
            <color indexed="39"/>
            <rFont val="Tahoma"/>
            <family val="2"/>
          </rPr>
          <t>.
If the SYNC frequency is outside the applicable range, Fsw defaults in this tool to the free-running frequency value.</t>
        </r>
        <r>
          <rPr>
            <b/>
            <sz val="9"/>
            <color indexed="81"/>
            <rFont val="Tahoma"/>
            <family val="2"/>
          </rPr>
          <t xml:space="preserve">
The text in this cell is red if:
</t>
        </r>
        <r>
          <rPr>
            <b/>
            <sz val="9"/>
            <color indexed="10"/>
            <rFont val="Tahoma"/>
            <family val="2"/>
          </rPr>
          <t>- The frequency is below 100 kHz;
- The frequency is above 1 MHz;
- The frequency is not within -20% to +50% of the programmed frequency (set by the R</t>
        </r>
        <r>
          <rPr>
            <b/>
            <vertAlign val="subscript"/>
            <sz val="9"/>
            <color indexed="10"/>
            <rFont val="Tahoma"/>
            <family val="2"/>
          </rPr>
          <t>RT</t>
        </r>
        <r>
          <rPr>
            <b/>
            <sz val="9"/>
            <color indexed="10"/>
            <rFont val="Tahoma"/>
            <family val="2"/>
          </rPr>
          <t xml:space="preserve"> resistor).</t>
        </r>
      </text>
    </comment>
    <comment ref="E17" authorId="0" shapeId="0" xr:uid="{00000000-0006-0000-0000-000009000000}">
      <text>
        <r>
          <rPr>
            <b/>
            <sz val="9"/>
            <color indexed="81"/>
            <rFont val="Tahoma"/>
            <family val="2"/>
          </rPr>
          <t>L</t>
        </r>
        <r>
          <rPr>
            <b/>
            <vertAlign val="subscript"/>
            <sz val="9"/>
            <color indexed="81"/>
            <rFont val="Tahoma"/>
            <family val="2"/>
          </rPr>
          <t>F</t>
        </r>
        <r>
          <rPr>
            <b/>
            <sz val="9"/>
            <color indexed="81"/>
            <rFont val="Tahoma"/>
            <family val="2"/>
          </rPr>
          <t xml:space="preserve">:
</t>
        </r>
        <r>
          <rPr>
            <sz val="9"/>
            <color indexed="81"/>
            <rFont val="Tahoma"/>
            <family val="2"/>
          </rPr>
          <t>Enter the buck filter inductance here. Target inductor (peak-to-peak) ripple currrent is 25-45% of the DC full load current at nominal input voltage.</t>
        </r>
      </text>
    </comment>
    <comment ref="E18" authorId="0" shapeId="0" xr:uid="{00000000-0006-0000-0000-00000A00000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21" authorId="0" shapeId="0" xr:uid="{E16B2DB5-2E88-40B3-9726-C84913B304F3}">
      <text>
        <r>
          <rPr>
            <b/>
            <u/>
            <sz val="9"/>
            <color indexed="81"/>
            <rFont val="Tahoma"/>
            <family val="2"/>
          </rPr>
          <t>Core Loss</t>
        </r>
        <r>
          <rPr>
            <b/>
            <sz val="9"/>
            <color indexed="81"/>
            <rFont val="Tahoma"/>
            <family val="2"/>
          </rPr>
          <t xml:space="preserve">:
</t>
        </r>
        <r>
          <rPr>
            <sz val="9"/>
            <color indexed="81"/>
            <rFont val="Tahoma"/>
            <family val="2"/>
          </rPr>
          <t>Enter the estimated inductor AC loss at nominal input voltage.</t>
        </r>
      </text>
    </comment>
    <comment ref="E26" authorId="0" shapeId="0" xr:uid="{00000000-0006-0000-0000-00000B000000}">
      <text>
        <r>
          <rPr>
            <b/>
            <sz val="9"/>
            <color indexed="81"/>
            <rFont val="Tahoma"/>
            <family val="2"/>
          </rPr>
          <t>R</t>
        </r>
        <r>
          <rPr>
            <b/>
            <vertAlign val="subscript"/>
            <sz val="9"/>
            <color indexed="81"/>
            <rFont val="Tahoma"/>
            <family val="2"/>
          </rPr>
          <t>ILIM</t>
        </r>
        <r>
          <rPr>
            <b/>
            <sz val="9"/>
            <color indexed="81"/>
            <rFont val="Tahoma"/>
            <family val="2"/>
          </rPr>
          <t>:</t>
        </r>
        <r>
          <rPr>
            <sz val="9"/>
            <color indexed="81"/>
            <rFont val="Tahoma"/>
            <family val="2"/>
          </rPr>
          <t xml:space="preserve">
This resistor is used to set the overcurrent protection. As such, the calculation takes the required current limit setpoint, the inductor ripple current amplitude and the MOSFET RDS(on) or shunt resistance to calculate </t>
        </r>
        <r>
          <rPr>
            <b/>
            <sz val="9"/>
            <color indexed="81"/>
            <rFont val="Tahoma"/>
            <family val="2"/>
          </rPr>
          <t>R</t>
        </r>
        <r>
          <rPr>
            <b/>
            <vertAlign val="subscript"/>
            <sz val="9"/>
            <color indexed="81"/>
            <rFont val="Tahoma"/>
            <family val="2"/>
          </rPr>
          <t>ILIM</t>
        </r>
        <r>
          <rPr>
            <sz val="9"/>
            <color indexed="81"/>
            <rFont val="Tahoma"/>
            <family val="2"/>
          </rPr>
          <t>.</t>
        </r>
      </text>
    </comment>
    <comment ref="E31" authorId="0" shapeId="0" xr:uid="{00000000-0006-0000-0000-00000C000000}">
      <text>
        <r>
          <rPr>
            <b/>
            <u/>
            <sz val="9"/>
            <color indexed="81"/>
            <rFont val="Tahoma"/>
            <family val="2"/>
          </rPr>
          <t>Output Voltage Ripple</t>
        </r>
        <r>
          <rPr>
            <b/>
            <sz val="9"/>
            <color indexed="81"/>
            <rFont val="Tahoma"/>
            <family val="2"/>
          </rPr>
          <t xml:space="preserve">:
</t>
        </r>
        <r>
          <rPr>
            <sz val="9"/>
            <color indexed="81"/>
            <rFont val="Tahoma"/>
            <family val="2"/>
          </rPr>
          <t>Enter the desired maximum peak-to-peak output voltage ripple here. This will set the ideal output capacitance value.</t>
        </r>
        <r>
          <rPr>
            <b/>
            <sz val="9"/>
            <color indexed="81"/>
            <rFont val="Tahoma"/>
            <family val="2"/>
          </rPr>
          <t xml:space="preserve">
The text in this cell is red if:
</t>
        </r>
        <r>
          <rPr>
            <b/>
            <sz val="9"/>
            <color indexed="10"/>
            <rFont val="Tahoma"/>
            <family val="2"/>
          </rPr>
          <t>-The output voltage ripple is zero.</t>
        </r>
      </text>
    </comment>
    <comment ref="E33" authorId="0" shapeId="0" xr:uid="{00000000-0006-0000-0000-00000D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t>
        </r>
        <r>
          <rPr>
            <b/>
            <sz val="11"/>
            <color indexed="81"/>
            <rFont val="Tahoma"/>
            <family val="2"/>
          </rPr>
          <t>derated</t>
        </r>
        <r>
          <rPr>
            <sz val="9"/>
            <color indexed="81"/>
            <rFont val="Tahoma"/>
            <family val="2"/>
          </rPr>
          <t xml:space="preserve">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this cell is flagged red if:</t>
        </r>
        <r>
          <rPr>
            <sz val="9"/>
            <color indexed="81"/>
            <rFont val="Tahoma"/>
            <family val="2"/>
          </rPr>
          <t xml:space="preserve">
</t>
        </r>
        <r>
          <rPr>
            <b/>
            <sz val="9"/>
            <color indexed="10"/>
            <rFont val="Tahoma"/>
            <family val="2"/>
          </rPr>
          <t>-The chosen output capacitor is smaller than the minimum ideal capacitance.</t>
        </r>
      </text>
    </comment>
    <comment ref="E35" authorId="0" shapeId="0" xr:uid="{00000000-0006-0000-0000-00000E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E40" authorId="0" shapeId="0" xr:uid="{00000000-0006-0000-0000-00000F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this 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E42" authorId="0" shapeId="0" xr:uid="{00000000-0006-0000-0000-000010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this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E44" authorId="0" shapeId="0" xr:uid="{00000000-0006-0000-0000-000011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E49" authorId="0" shapeId="0" xr:uid="{00000000-0006-0000-0000-000012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soft-start time here. </t>
        </r>
      </text>
    </comment>
    <comment ref="E51" authorId="0" shapeId="0" xr:uid="{00000000-0006-0000-0000-000013000000}">
      <text>
        <r>
          <rPr>
            <b/>
            <u/>
            <sz val="9"/>
            <color indexed="81"/>
            <rFont val="Tahoma"/>
            <family val="2"/>
          </rPr>
          <t>Nominal UVLO Turn-On Input Voltage</t>
        </r>
        <r>
          <rPr>
            <b/>
            <sz val="9"/>
            <color indexed="81"/>
            <rFont val="Tahoma"/>
            <family val="2"/>
          </rPr>
          <t xml:space="preserve">:
</t>
        </r>
        <r>
          <rPr>
            <sz val="9"/>
            <color indexed="81"/>
            <rFont val="Tahoma"/>
            <family val="2"/>
          </rPr>
          <t xml:space="preserve">Enter the nominal input voltage at turn on.
The LM5146-Q1 input operating voltage range is 5.5V to 95V.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95V</t>
        </r>
        <r>
          <rPr>
            <sz val="9"/>
            <color indexed="81"/>
            <rFont val="Tahoma"/>
            <family val="2"/>
          </rPr>
          <t xml:space="preserve">
-The input voltage is below </t>
        </r>
        <r>
          <rPr>
            <b/>
            <sz val="9"/>
            <color indexed="10"/>
            <rFont val="Tahoma"/>
            <family val="2"/>
          </rPr>
          <t>5.5V</t>
        </r>
      </text>
    </comment>
    <comment ref="E52" authorId="0" shapeId="0" xr:uid="{00000000-0006-0000-0000-000014000000}">
      <text>
        <r>
          <rPr>
            <b/>
            <u/>
            <sz val="9"/>
            <color indexed="81"/>
            <rFont val="Tahoma"/>
            <family val="2"/>
          </rPr>
          <t>Nominal UVLO Turn-Off Input Voltage</t>
        </r>
        <r>
          <rPr>
            <b/>
            <sz val="9"/>
            <color indexed="81"/>
            <rFont val="Tahoma"/>
            <family val="2"/>
          </rPr>
          <t>:</t>
        </r>
        <r>
          <rPr>
            <sz val="9"/>
            <color indexed="81"/>
            <rFont val="Tahoma"/>
            <family val="2"/>
          </rPr>
          <t xml:space="preserve">
Enter the nominal input voltage at turn off.
The LM5146-Q1 input operating voltage range is 5.5V to 95V.
</t>
        </r>
        <r>
          <rPr>
            <b/>
            <sz val="9"/>
            <color indexed="81"/>
            <rFont val="Tahoma"/>
            <family val="2"/>
          </rPr>
          <t xml:space="preserve">
The text in this cell is red if:</t>
        </r>
        <r>
          <rPr>
            <sz val="9"/>
            <color indexed="81"/>
            <rFont val="Tahoma"/>
            <family val="2"/>
          </rPr>
          <t xml:space="preserve">
-The input voltage is above </t>
        </r>
        <r>
          <rPr>
            <b/>
            <sz val="9"/>
            <color indexed="10"/>
            <rFont val="Tahoma"/>
            <family val="2"/>
          </rPr>
          <t>90V</t>
        </r>
        <r>
          <rPr>
            <sz val="9"/>
            <color indexed="81"/>
            <rFont val="Tahoma"/>
            <family val="2"/>
          </rPr>
          <t xml:space="preserve">
-The input voltage is below </t>
        </r>
        <r>
          <rPr>
            <b/>
            <sz val="9"/>
            <color indexed="10"/>
            <rFont val="Tahoma"/>
            <family val="2"/>
          </rPr>
          <t>5.5V</t>
        </r>
      </text>
    </comment>
    <comment ref="F61" authorId="0" shapeId="0" xr:uid="{00000000-0006-0000-0000-000015000000}">
      <text>
        <r>
          <rPr>
            <b/>
            <u/>
            <sz val="9"/>
            <color indexed="81"/>
            <rFont val="Tahoma"/>
            <family val="2"/>
          </rPr>
          <t>Crossover Frequency</t>
        </r>
        <r>
          <rPr>
            <b/>
            <sz val="9"/>
            <color indexed="81"/>
            <rFont val="Tahoma"/>
            <family val="2"/>
          </rPr>
          <t>:</t>
        </r>
        <r>
          <rPr>
            <sz val="9"/>
            <color indexed="81"/>
            <rFont val="Tahoma"/>
            <family val="2"/>
          </rPr>
          <t xml:space="preserve">
Enter the desired open loop crossover frequency (usually between 10% and 20% of switching frequency). The LM5146 design tool determines feedback compensation components based on this target performance metric.</t>
        </r>
      </text>
    </comment>
    <comment ref="E63" authorId="0" shapeId="0" xr:uid="{00000000-0006-0000-0000-000016000000}">
      <text>
        <r>
          <rPr>
            <b/>
            <sz val="9"/>
            <color indexed="81"/>
            <rFont val="Tahoma"/>
            <family val="2"/>
          </rPr>
          <t>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FB1</t>
        </r>
        <r>
          <rPr>
            <sz val="9"/>
            <color indexed="81"/>
            <rFont val="Tahoma"/>
            <family val="2"/>
          </rPr>
          <t xml:space="preserve"> is 20kΩ.</t>
        </r>
      </text>
    </comment>
    <comment ref="D67" authorId="0" shapeId="0" xr:uid="{00000000-0006-0000-0000-000017000000}">
      <text>
        <r>
          <rPr>
            <b/>
            <sz val="9"/>
            <color indexed="81"/>
            <rFont val="Tahoma"/>
            <family val="2"/>
          </rPr>
          <t>F</t>
        </r>
        <r>
          <rPr>
            <b/>
            <vertAlign val="subscript"/>
            <sz val="9"/>
            <color indexed="81"/>
            <rFont val="Tahoma"/>
            <family val="2"/>
          </rPr>
          <t>Z1</t>
        </r>
        <r>
          <rPr>
            <b/>
            <sz val="9"/>
            <color indexed="81"/>
            <rFont val="Tahoma"/>
            <family val="2"/>
          </rPr>
          <t>:
F</t>
        </r>
        <r>
          <rPr>
            <b/>
            <vertAlign val="subscript"/>
            <sz val="9"/>
            <color indexed="81"/>
            <rFont val="Tahoma"/>
            <family val="2"/>
          </rPr>
          <t>Z1</t>
        </r>
        <r>
          <rPr>
            <sz val="9"/>
            <color indexed="81"/>
            <rFont val="Tahoma"/>
            <family val="2"/>
          </rPr>
          <t xml:space="preserve"> is the first zero of the compensator. By default, </t>
        </r>
        <r>
          <rPr>
            <b/>
            <sz val="9"/>
            <color indexed="81"/>
            <rFont val="Tahoma"/>
            <family val="2"/>
          </rPr>
          <t>F</t>
        </r>
        <r>
          <rPr>
            <b/>
            <vertAlign val="subscript"/>
            <sz val="9"/>
            <color indexed="81"/>
            <rFont val="Tahoma"/>
            <family val="2"/>
          </rPr>
          <t>Z1</t>
        </r>
        <r>
          <rPr>
            <sz val="9"/>
            <color indexed="81"/>
            <rFont val="Tahoma"/>
            <family val="2"/>
          </rPr>
          <t xml:space="preserve"> is located near the complex double pole (F</t>
        </r>
        <r>
          <rPr>
            <vertAlign val="subscript"/>
            <sz val="9"/>
            <color indexed="81"/>
            <rFont val="Tahoma"/>
            <family val="2"/>
          </rPr>
          <t>LC</t>
        </r>
        <r>
          <rPr>
            <sz val="9"/>
            <color indexed="81"/>
            <rFont val="Tahoma"/>
            <family val="2"/>
          </rPr>
          <t>) associated with L</t>
        </r>
        <r>
          <rPr>
            <vertAlign val="subscript"/>
            <sz val="9"/>
            <color indexed="81"/>
            <rFont val="Tahoma"/>
            <family val="2"/>
          </rPr>
          <t>F</t>
        </r>
        <r>
          <rPr>
            <sz val="9"/>
            <color indexed="81"/>
            <rFont val="Tahoma"/>
            <family val="2"/>
          </rPr>
          <t xml:space="preserve"> and C</t>
        </r>
        <r>
          <rPr>
            <vertAlign val="subscript"/>
            <sz val="9"/>
            <color indexed="81"/>
            <rFont val="Tahoma"/>
            <family val="2"/>
          </rPr>
          <t>OUT</t>
        </r>
        <r>
          <rPr>
            <sz val="9"/>
            <color indexed="81"/>
            <rFont val="Tahoma"/>
            <family val="2"/>
          </rPr>
          <t xml:space="preserve"> filter components. </t>
        </r>
        <r>
          <rPr>
            <b/>
            <sz val="9"/>
            <color indexed="81"/>
            <rFont val="Tahoma"/>
            <family val="2"/>
          </rPr>
          <t>F</t>
        </r>
        <r>
          <rPr>
            <b/>
            <vertAlign val="subscript"/>
            <sz val="9"/>
            <color indexed="81"/>
            <rFont val="Tahoma"/>
            <family val="2"/>
          </rPr>
          <t>Z1</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Z1</t>
        </r>
        <r>
          <rPr>
            <sz val="9"/>
            <color indexed="81"/>
            <rFont val="Tahoma"/>
            <family val="2"/>
          </rPr>
          <t xml:space="preserve"> cell.</t>
        </r>
      </text>
    </comment>
    <comment ref="D68" authorId="0" shapeId="0" xr:uid="{00000000-0006-0000-0000-000018000000}">
      <text>
        <r>
          <rPr>
            <b/>
            <sz val="9"/>
            <color indexed="81"/>
            <rFont val="Tahoma"/>
            <family val="2"/>
          </rPr>
          <t>F</t>
        </r>
        <r>
          <rPr>
            <b/>
            <vertAlign val="subscript"/>
            <sz val="9"/>
            <color indexed="81"/>
            <rFont val="Tahoma"/>
            <family val="2"/>
          </rPr>
          <t>Z2</t>
        </r>
        <r>
          <rPr>
            <b/>
            <sz val="9"/>
            <color indexed="81"/>
            <rFont val="Tahoma"/>
            <family val="2"/>
          </rPr>
          <t>:
F</t>
        </r>
        <r>
          <rPr>
            <b/>
            <vertAlign val="subscript"/>
            <sz val="9"/>
            <color indexed="81"/>
            <rFont val="Tahoma"/>
            <family val="2"/>
          </rPr>
          <t>Z2</t>
        </r>
        <r>
          <rPr>
            <sz val="9"/>
            <color indexed="81"/>
            <rFont val="Tahoma"/>
            <family val="2"/>
          </rPr>
          <t xml:space="preserve"> is the second zero of the compensator. By default, </t>
        </r>
        <r>
          <rPr>
            <b/>
            <sz val="9"/>
            <color indexed="81"/>
            <rFont val="Tahoma"/>
            <family val="2"/>
          </rPr>
          <t>F</t>
        </r>
        <r>
          <rPr>
            <b/>
            <vertAlign val="subscript"/>
            <sz val="9"/>
            <color indexed="81"/>
            <rFont val="Tahoma"/>
            <family val="2"/>
          </rPr>
          <t>Z2</t>
        </r>
        <r>
          <rPr>
            <sz val="9"/>
            <color indexed="81"/>
            <rFont val="Tahoma"/>
            <family val="2"/>
          </rPr>
          <t xml:space="preserve">  is located near the LC resonant frequency (F</t>
        </r>
        <r>
          <rPr>
            <vertAlign val="subscript"/>
            <sz val="9"/>
            <color indexed="81"/>
            <rFont val="Tahoma"/>
            <family val="2"/>
          </rPr>
          <t>LC</t>
        </r>
        <r>
          <rPr>
            <sz val="9"/>
            <color indexed="81"/>
            <rFont val="Tahoma"/>
            <family val="2"/>
          </rPr>
          <t>) caused by L</t>
        </r>
        <r>
          <rPr>
            <vertAlign val="subscript"/>
            <sz val="9"/>
            <color indexed="81"/>
            <rFont val="Tahoma"/>
            <family val="2"/>
          </rPr>
          <t>F</t>
        </r>
        <r>
          <rPr>
            <sz val="9"/>
            <color indexed="81"/>
            <rFont val="Tahoma"/>
            <family val="2"/>
          </rPr>
          <t xml:space="preserve"> and C</t>
        </r>
        <r>
          <rPr>
            <vertAlign val="subscript"/>
            <sz val="9"/>
            <color indexed="81"/>
            <rFont val="Tahoma"/>
            <family val="2"/>
          </rPr>
          <t>OUT</t>
        </r>
        <r>
          <rPr>
            <sz val="9"/>
            <color indexed="81"/>
            <rFont val="Tahoma"/>
            <family val="2"/>
          </rPr>
          <t xml:space="preserve"> filter components.  </t>
        </r>
        <r>
          <rPr>
            <b/>
            <sz val="9"/>
            <color indexed="81"/>
            <rFont val="Tahoma"/>
            <family val="2"/>
          </rPr>
          <t>F</t>
        </r>
        <r>
          <rPr>
            <b/>
            <vertAlign val="subscript"/>
            <sz val="9"/>
            <color indexed="81"/>
            <rFont val="Tahoma"/>
            <family val="2"/>
          </rPr>
          <t>Z2</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Z2</t>
        </r>
        <r>
          <rPr>
            <sz val="9"/>
            <color indexed="81"/>
            <rFont val="Tahoma"/>
            <family val="2"/>
          </rPr>
          <t xml:space="preserve"> cell.</t>
        </r>
      </text>
    </comment>
    <comment ref="D69" authorId="0" shapeId="0" xr:uid="{00000000-0006-0000-0000-000019000000}">
      <text>
        <r>
          <rPr>
            <b/>
            <sz val="9"/>
            <color indexed="81"/>
            <rFont val="Tahoma"/>
            <family val="2"/>
          </rPr>
          <t>F</t>
        </r>
        <r>
          <rPr>
            <b/>
            <vertAlign val="subscript"/>
            <sz val="9"/>
            <color indexed="81"/>
            <rFont val="Tahoma"/>
            <family val="2"/>
          </rPr>
          <t>P1</t>
        </r>
        <r>
          <rPr>
            <b/>
            <sz val="9"/>
            <color indexed="81"/>
            <rFont val="Tahoma"/>
            <family val="2"/>
          </rPr>
          <t>:</t>
        </r>
        <r>
          <rPr>
            <sz val="9"/>
            <color indexed="81"/>
            <rFont val="Tahoma"/>
            <family val="2"/>
          </rPr>
          <t xml:space="preserve">
</t>
        </r>
        <r>
          <rPr>
            <b/>
            <sz val="9"/>
            <color indexed="81"/>
            <rFont val="Tahoma"/>
            <family val="2"/>
          </rPr>
          <t>F</t>
        </r>
        <r>
          <rPr>
            <b/>
            <vertAlign val="subscript"/>
            <sz val="9"/>
            <color indexed="81"/>
            <rFont val="Tahoma"/>
            <family val="2"/>
          </rPr>
          <t>P1</t>
        </r>
        <r>
          <rPr>
            <sz val="9"/>
            <color indexed="81"/>
            <rFont val="Tahoma"/>
            <family val="2"/>
          </rPr>
          <t xml:space="preserve"> is the first pole of the compensator. By default, </t>
        </r>
        <r>
          <rPr>
            <b/>
            <sz val="9"/>
            <color indexed="81"/>
            <rFont val="Tahoma"/>
            <family val="2"/>
          </rPr>
          <t>F</t>
        </r>
        <r>
          <rPr>
            <b/>
            <vertAlign val="subscript"/>
            <sz val="9"/>
            <color indexed="81"/>
            <rFont val="Tahoma"/>
            <family val="2"/>
          </rPr>
          <t>P1</t>
        </r>
        <r>
          <rPr>
            <sz val="9"/>
            <color indexed="81"/>
            <rFont val="Tahoma"/>
            <family val="2"/>
          </rPr>
          <t xml:space="preserve"> is located at the zero (F</t>
        </r>
        <r>
          <rPr>
            <vertAlign val="subscript"/>
            <sz val="9"/>
            <color indexed="81"/>
            <rFont val="Tahoma"/>
            <family val="2"/>
          </rPr>
          <t>ESR</t>
        </r>
        <r>
          <rPr>
            <sz val="9"/>
            <color indexed="81"/>
            <rFont val="Tahoma"/>
            <family val="2"/>
          </rPr>
          <t>) caused by the output capacitance (C</t>
        </r>
        <r>
          <rPr>
            <vertAlign val="subscript"/>
            <sz val="9"/>
            <color indexed="81"/>
            <rFont val="Tahoma"/>
            <family val="2"/>
          </rPr>
          <t>OUT</t>
        </r>
        <r>
          <rPr>
            <sz val="9"/>
            <color indexed="81"/>
            <rFont val="Tahoma"/>
            <family val="2"/>
          </rPr>
          <t xml:space="preserve">) and its associated ESR. </t>
        </r>
        <r>
          <rPr>
            <b/>
            <sz val="9"/>
            <color indexed="81"/>
            <rFont val="Tahoma"/>
            <family val="2"/>
          </rPr>
          <t>F</t>
        </r>
        <r>
          <rPr>
            <b/>
            <vertAlign val="subscript"/>
            <sz val="9"/>
            <color indexed="81"/>
            <rFont val="Tahoma"/>
            <family val="2"/>
          </rPr>
          <t>P1</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P1</t>
        </r>
        <r>
          <rPr>
            <sz val="9"/>
            <color indexed="81"/>
            <rFont val="Tahoma"/>
            <family val="2"/>
          </rPr>
          <t xml:space="preserve"> cell.</t>
        </r>
      </text>
    </comment>
    <comment ref="D70" authorId="0" shapeId="0" xr:uid="{00000000-0006-0000-0000-00001A000000}">
      <text>
        <r>
          <rPr>
            <b/>
            <sz val="9"/>
            <color indexed="81"/>
            <rFont val="Tahoma"/>
            <family val="2"/>
          </rPr>
          <t>F</t>
        </r>
        <r>
          <rPr>
            <b/>
            <vertAlign val="subscript"/>
            <sz val="9"/>
            <color indexed="81"/>
            <rFont val="Tahoma"/>
            <family val="2"/>
          </rPr>
          <t>P2</t>
        </r>
        <r>
          <rPr>
            <b/>
            <sz val="9"/>
            <color indexed="81"/>
            <rFont val="Tahoma"/>
            <family val="2"/>
          </rPr>
          <t>:</t>
        </r>
        <r>
          <rPr>
            <sz val="9"/>
            <color indexed="81"/>
            <rFont val="Tahoma"/>
            <family val="2"/>
          </rPr>
          <t xml:space="preserve">
</t>
        </r>
        <r>
          <rPr>
            <b/>
            <sz val="9"/>
            <color indexed="81"/>
            <rFont val="Tahoma"/>
            <family val="2"/>
          </rPr>
          <t>F</t>
        </r>
        <r>
          <rPr>
            <b/>
            <vertAlign val="subscript"/>
            <sz val="9"/>
            <color indexed="81"/>
            <rFont val="Tahoma"/>
            <family val="2"/>
          </rPr>
          <t>P2</t>
        </r>
        <r>
          <rPr>
            <sz val="9"/>
            <color indexed="81"/>
            <rFont val="Tahoma"/>
            <family val="2"/>
          </rPr>
          <t xml:space="preserve"> is the second pole of the compensator. By default, </t>
        </r>
        <r>
          <rPr>
            <b/>
            <sz val="9"/>
            <color indexed="81"/>
            <rFont val="Tahoma"/>
            <family val="2"/>
          </rPr>
          <t>F</t>
        </r>
        <r>
          <rPr>
            <b/>
            <vertAlign val="subscript"/>
            <sz val="9"/>
            <color indexed="81"/>
            <rFont val="Tahoma"/>
            <family val="2"/>
          </rPr>
          <t>P2</t>
        </r>
        <r>
          <rPr>
            <sz val="9"/>
            <color indexed="81"/>
            <rFont val="Tahoma"/>
            <family val="2"/>
          </rPr>
          <t xml:space="preserve"> is located at F</t>
        </r>
        <r>
          <rPr>
            <vertAlign val="subscript"/>
            <sz val="9"/>
            <color indexed="81"/>
            <rFont val="Tahoma"/>
            <family val="2"/>
          </rPr>
          <t>SW</t>
        </r>
        <r>
          <rPr>
            <sz val="9"/>
            <color indexed="81"/>
            <rFont val="Tahoma"/>
            <family val="2"/>
          </rPr>
          <t xml:space="preserve">/2. </t>
        </r>
        <r>
          <rPr>
            <b/>
            <sz val="9"/>
            <color indexed="81"/>
            <rFont val="Tahoma"/>
            <family val="2"/>
          </rPr>
          <t>F</t>
        </r>
        <r>
          <rPr>
            <b/>
            <vertAlign val="subscript"/>
            <sz val="9"/>
            <color indexed="81"/>
            <rFont val="Tahoma"/>
            <family val="2"/>
          </rPr>
          <t>P2</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P2</t>
        </r>
        <r>
          <rPr>
            <sz val="9"/>
            <color indexed="81"/>
            <rFont val="Tahoma"/>
            <family val="2"/>
          </rPr>
          <t xml:space="preserve"> cell.</t>
        </r>
      </text>
    </comment>
    <comment ref="E85" authorId="1" shapeId="0" xr:uid="{00000000-0006-0000-0000-00001B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(V</t>
        </r>
        <r>
          <rPr>
            <vertAlign val="subscript"/>
            <sz val="10"/>
            <color indexed="81"/>
            <rFont val="Tahoma"/>
            <family val="2"/>
          </rPr>
          <t>GS</t>
        </r>
        <r>
          <rPr>
            <sz val="10"/>
            <color indexed="81"/>
            <rFont val="Tahoma"/>
            <family val="2"/>
          </rPr>
          <t xml:space="preserve"> = 7.5V).
High current designs (&gt;10A) will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E86" authorId="1" shapeId="0" xr:uid="{00000000-0006-0000-0000-00001C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t>
        </r>
      </text>
    </comment>
    <comment ref="E87" authorId="1" shapeId="0" xr:uid="{00000000-0006-0000-0000-00001D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will affect the turn-on and-off transition times. Slow transition times will result in a decrease in efficiency, especially at higher input voltages.</t>
        </r>
      </text>
    </comment>
    <comment ref="E88" authorId="1" shapeId="0" xr:uid="{00000000-0006-0000-0000-00001E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E89" authorId="1" shapeId="0" xr:uid="{00000000-0006-0000-0000-00001F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output capacitance of the high-side MOSFET at the relevant input voltage here. </t>
        </r>
      </text>
    </comment>
    <comment ref="E90" authorId="1" shapeId="0" xr:uid="{00000000-0006-0000-0000-000020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E91" authorId="1" shapeId="0" xr:uid="{00000000-0006-0000-0000-000021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E92" authorId="1" shapeId="0" xr:uid="{00000000-0006-0000-0000-000022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93" authorId="1" shapeId="0" xr:uid="{00000000-0006-0000-0000-000023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E94" authorId="1" shapeId="0" xr:uid="{00000000-0006-0000-0000-000024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97" authorId="1" shapeId="0" xr:uid="{00000000-0006-0000-0000-000025000000}">
      <text>
        <r>
          <rPr>
            <b/>
            <sz val="10"/>
            <color indexed="81"/>
            <rFont val="Tahoma"/>
            <family val="2"/>
          </rPr>
          <t>MOSFET On-State Resistance (R</t>
        </r>
        <r>
          <rPr>
            <b/>
            <vertAlign val="subscript"/>
            <sz val="10"/>
            <color indexed="81"/>
            <rFont val="Tahoma"/>
            <family val="2"/>
          </rPr>
          <t>DS(on)</t>
        </r>
        <r>
          <rPr>
            <b/>
            <sz val="10"/>
            <color indexed="81"/>
            <rFont val="Tahoma"/>
            <family val="2"/>
          </rPr>
          <t xml:space="preserve">):
</t>
        </r>
        <r>
          <rPr>
            <sz val="10"/>
            <color indexed="81"/>
            <rFont val="Tahoma"/>
            <family val="2"/>
          </rPr>
          <t>Enter the R</t>
        </r>
        <r>
          <rPr>
            <vertAlign val="subscript"/>
            <sz val="10"/>
            <color indexed="81"/>
            <rFont val="Tahoma"/>
            <family val="2"/>
          </rPr>
          <t>DS(on)</t>
        </r>
        <r>
          <rPr>
            <sz val="10"/>
            <color indexed="81"/>
            <rFont val="Tahoma"/>
            <family val="2"/>
          </rPr>
          <t xml:space="preserve"> of the low-side MOSFET here (V</t>
        </r>
        <r>
          <rPr>
            <vertAlign val="subscript"/>
            <sz val="10"/>
            <color indexed="81"/>
            <rFont val="Tahoma"/>
            <family val="2"/>
          </rPr>
          <t>GS</t>
        </r>
        <r>
          <rPr>
            <sz val="10"/>
            <color indexed="81"/>
            <rFont val="Tahoma"/>
            <family val="2"/>
          </rPr>
          <t xml:space="preserve"> = 7.5V).
High current designs (&gt;10A) can incur large conduction losses and, as such, demand MOSFETs with low R</t>
        </r>
        <r>
          <rPr>
            <vertAlign val="subscript"/>
            <sz val="10"/>
            <color indexed="81"/>
            <rFont val="Tahoma"/>
            <family val="2"/>
          </rPr>
          <t>DS(on)</t>
        </r>
        <r>
          <rPr>
            <sz val="10"/>
            <color indexed="81"/>
            <rFont val="Tahoma"/>
            <family val="2"/>
          </rPr>
          <t xml:space="preserve"> </t>
        </r>
        <r>
          <rPr>
            <sz val="10"/>
            <color indexed="81"/>
            <rFont val="Calibri"/>
            <family val="2"/>
          </rPr>
          <t xml:space="preserve">– </t>
        </r>
        <r>
          <rPr>
            <sz val="10"/>
            <color indexed="81"/>
            <rFont val="Tahoma"/>
            <family val="2"/>
          </rPr>
          <t>usually at the expense of larger Q</t>
        </r>
        <r>
          <rPr>
            <vertAlign val="subscript"/>
            <sz val="10"/>
            <color indexed="81"/>
            <rFont val="Tahoma"/>
            <family val="2"/>
          </rPr>
          <t>G</t>
        </r>
        <r>
          <rPr>
            <sz val="10"/>
            <color indexed="81"/>
            <rFont val="Tahoma"/>
            <family val="2"/>
          </rPr>
          <t>. MOSFET R</t>
        </r>
        <r>
          <rPr>
            <vertAlign val="subscript"/>
            <sz val="10"/>
            <color indexed="81"/>
            <rFont val="Tahoma"/>
            <family val="2"/>
          </rPr>
          <t>DS(on)</t>
        </r>
        <r>
          <rPr>
            <sz val="10"/>
            <color indexed="81"/>
            <rFont val="Tahoma"/>
            <family val="2"/>
          </rPr>
          <t xml:space="preserve"> temperature coefficient is accounted for in the efficiency and power dissipation calculations.  </t>
        </r>
      </text>
    </comment>
    <comment ref="E98" authorId="1" shapeId="0" xr:uid="{00000000-0006-0000-0000-000026000000}">
      <text>
        <r>
          <rPr>
            <b/>
            <sz val="10"/>
            <color indexed="81"/>
            <rFont val="Tahoma"/>
            <family val="2"/>
          </rPr>
          <t>Total Gate Charge (Q</t>
        </r>
        <r>
          <rPr>
            <b/>
            <vertAlign val="subscript"/>
            <sz val="10"/>
            <color indexed="81"/>
            <rFont val="Tahoma"/>
            <family val="2"/>
          </rPr>
          <t>G</t>
        </r>
        <r>
          <rPr>
            <b/>
            <sz val="10"/>
            <color indexed="81"/>
            <rFont val="Tahoma"/>
            <family val="2"/>
          </rPr>
          <t xml:space="preserve">):
</t>
        </r>
        <r>
          <rPr>
            <sz val="10"/>
            <color indexed="81"/>
            <rFont val="Tahoma"/>
            <family val="2"/>
          </rPr>
          <t>Enter the total gate charge of the low-side MOSFET here.</t>
        </r>
      </text>
    </comment>
    <comment ref="E99" authorId="1" shapeId="0" xr:uid="{00000000-0006-0000-0000-000027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output charge of the low-side MOSFET at the relevant input voltage here. </t>
        </r>
      </text>
    </comment>
    <comment ref="E100" authorId="1" shapeId="0" xr:uid="{00000000-0006-0000-0000-000028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MOSFET's output capacitance at the relevant input voltage here. </t>
        </r>
      </text>
    </comment>
    <comment ref="E101" authorId="1" shapeId="0" xr:uid="{00000000-0006-0000-0000-000029000000}">
      <text>
        <r>
          <rPr>
            <b/>
            <sz val="9"/>
            <color indexed="81"/>
            <rFont val="Tahoma"/>
            <family val="2"/>
          </rPr>
          <t>Body Diode Voltage (V</t>
        </r>
        <r>
          <rPr>
            <b/>
            <vertAlign val="subscript"/>
            <sz val="9"/>
            <color indexed="81"/>
            <rFont val="Tahoma"/>
            <family val="2"/>
          </rPr>
          <t>sd</t>
        </r>
        <r>
          <rPr>
            <b/>
            <sz val="9"/>
            <color indexed="81"/>
            <rFont val="Tahoma"/>
            <family val="2"/>
          </rPr>
          <t xml:space="preserve">):
</t>
        </r>
        <r>
          <rPr>
            <sz val="9"/>
            <color indexed="81"/>
            <rFont val="Tahoma"/>
            <family val="2"/>
          </rPr>
          <t>The low-side MOSFET body diode can contribute substantial power loss related to (1) body diode conduction drop during the deadtime, and (2) diode reverse recovery current.</t>
        </r>
      </text>
    </comment>
    <comment ref="E102" authorId="1" shapeId="0" xr:uid="{00000000-0006-0000-0000-00002A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103" authorId="1" shapeId="0" xr:uid="{00000000-0006-0000-0000-00002B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105" authorId="1" shapeId="0" xr:uid="{00000000-0006-0000-0000-00002C000000}">
      <text>
        <r>
          <rPr>
            <b/>
            <sz val="10"/>
            <color indexed="81"/>
            <rFont val="Tahoma"/>
            <family val="2"/>
          </rPr>
          <t xml:space="preserve">Schottky Forward Voltage:
</t>
        </r>
        <r>
          <rPr>
            <sz val="10"/>
            <color indexed="81"/>
            <rFont val="Tahoma"/>
            <family val="2"/>
          </rPr>
          <t>If a Schottky diode is used, enter the forward voltage at the rated current here. If a Schottky diode is not used, enter "0" into this cell.</t>
        </r>
      </text>
    </comment>
    <comment ref="E106" authorId="1" shapeId="0" xr:uid="{00000000-0006-0000-0000-00002D000000}">
      <text>
        <r>
          <rPr>
            <b/>
            <sz val="10"/>
            <color indexed="81"/>
            <rFont val="Tahoma"/>
            <family val="2"/>
          </rPr>
          <t xml:space="preserve">Schottky Diode Reverse Recovery Charge:
</t>
        </r>
        <r>
          <rPr>
            <sz val="10"/>
            <color indexed="81"/>
            <rFont val="Tahoma"/>
            <family val="2"/>
          </rPr>
          <t>Enter the diode reverse recovery charge here. If a Schottky diode is not used, enter "0" into this cell.</t>
        </r>
      </text>
    </comment>
    <comment ref="F109" authorId="2" shapeId="0" xr:uid="{70B3F286-F84F-461D-9F74-21CCF1BCDAF1}">
      <text>
        <r>
          <rPr>
            <b/>
            <sz val="9"/>
            <color indexed="81"/>
            <rFont val="Tahoma"/>
            <family val="2"/>
          </rPr>
          <t>IC Power Loss:</t>
        </r>
        <r>
          <rPr>
            <sz val="9"/>
            <color indexed="81"/>
            <rFont val="Tahoma"/>
            <family val="2"/>
          </rPr>
          <t xml:space="preserve">
IC power loss estimate based on nominal input voltage and MOSFET gate drive requirements.</t>
        </r>
      </text>
    </comment>
    <comment ref="F110" authorId="2" shapeId="0" xr:uid="{710413E0-2AA9-48A8-934E-8C0025083D74}">
      <text>
        <r>
          <rPr>
            <b/>
            <sz val="9"/>
            <color indexed="81"/>
            <rFont val="Tahoma"/>
            <family val="2"/>
          </rPr>
          <t>IC Junction Temperature Rise:</t>
        </r>
        <r>
          <rPr>
            <sz val="9"/>
            <color indexed="81"/>
            <rFont val="Tahoma"/>
            <family val="2"/>
          </rPr>
          <t xml:space="preserve">
IC junction temperature based on power loss estimate.</t>
        </r>
      </text>
    </comment>
  </commentList>
</comments>
</file>

<file path=xl/sharedStrings.xml><?xml version="1.0" encoding="utf-8"?>
<sst xmlns="http://schemas.openxmlformats.org/spreadsheetml/2006/main" count="1379" uniqueCount="775">
  <si>
    <t>V</t>
  </si>
  <si>
    <t>Output Voltage</t>
  </si>
  <si>
    <t>A</t>
  </si>
  <si>
    <t>kHz</t>
  </si>
  <si>
    <t>Vin</t>
  </si>
  <si>
    <t>Vout</t>
  </si>
  <si>
    <t>Iout</t>
  </si>
  <si>
    <t>Fsw</t>
  </si>
  <si>
    <t>Value</t>
  </si>
  <si>
    <t>STD Units</t>
  </si>
  <si>
    <t>Hz</t>
  </si>
  <si>
    <t>uH</t>
  </si>
  <si>
    <t>Rdcr</t>
  </si>
  <si>
    <t>Notes</t>
  </si>
  <si>
    <t>Nominal input voltage</t>
  </si>
  <si>
    <t>Maximum output Current</t>
  </si>
  <si>
    <t>Nominal Operational Frequency</t>
  </si>
  <si>
    <t>ideal Duty Cycle</t>
  </si>
  <si>
    <t>Ideal 1- Duty Cycle</t>
  </si>
  <si>
    <t>Don1</t>
  </si>
  <si>
    <t>Doff1</t>
  </si>
  <si>
    <t>Don2</t>
  </si>
  <si>
    <t>Doff2</t>
  </si>
  <si>
    <t>index</t>
  </si>
  <si>
    <t>H</t>
  </si>
  <si>
    <t>Ohms</t>
  </si>
  <si>
    <t>Vripple1</t>
  </si>
  <si>
    <t>Choosen Initial Voltage ripple Value</t>
  </si>
  <si>
    <t>Minimum Output Capacitnace</t>
  </si>
  <si>
    <t>Coutmin</t>
  </si>
  <si>
    <t>uF</t>
  </si>
  <si>
    <t>Lout1</t>
  </si>
  <si>
    <t>Lout2</t>
  </si>
  <si>
    <t>Irripple1</t>
  </si>
  <si>
    <t>F</t>
  </si>
  <si>
    <t>Choosen Output Capacitor</t>
  </si>
  <si>
    <t>Cout</t>
  </si>
  <si>
    <t>Compensation</t>
  </si>
  <si>
    <t>iteration</t>
  </si>
  <si>
    <t>Fo</t>
  </si>
  <si>
    <t>LC Double Pole Location</t>
  </si>
  <si>
    <t>Fesr</t>
  </si>
  <si>
    <t>Q</t>
  </si>
  <si>
    <t>Quality Factor of LC output Filter</t>
  </si>
  <si>
    <t>Frequency</t>
  </si>
  <si>
    <t>Bode Plot Setup</t>
  </si>
  <si>
    <t>Output Filter</t>
  </si>
  <si>
    <t>Esr zero</t>
  </si>
  <si>
    <t>LC Double Pole</t>
  </si>
  <si>
    <t>V/V</t>
  </si>
  <si>
    <t>Origin Pole</t>
  </si>
  <si>
    <t>Kmidband</t>
  </si>
  <si>
    <t>Rfb1</t>
  </si>
  <si>
    <t>pF</t>
  </si>
  <si>
    <t>Cc1ea</t>
  </si>
  <si>
    <t>Cc2ea</t>
  </si>
  <si>
    <t>Rcea2</t>
  </si>
  <si>
    <t>Cc3ea</t>
  </si>
  <si>
    <t>Rcea1</t>
  </si>
  <si>
    <t>Rcea1_u</t>
  </si>
  <si>
    <t>Cc1ea_u</t>
  </si>
  <si>
    <t>Cc2ea_u</t>
  </si>
  <si>
    <t>Rcea2_u</t>
  </si>
  <si>
    <t>Cc3ea_u</t>
  </si>
  <si>
    <t>Fz1</t>
  </si>
  <si>
    <t>Fz2</t>
  </si>
  <si>
    <t>Fp1</t>
  </si>
  <si>
    <t>Fp2</t>
  </si>
  <si>
    <t>Gain</t>
  </si>
  <si>
    <t>Phase</t>
  </si>
  <si>
    <t>Pi</t>
  </si>
  <si>
    <t>Total Gain</t>
  </si>
  <si>
    <t>Total Phase</t>
  </si>
  <si>
    <t>Phase margin</t>
  </si>
  <si>
    <t>Vramp</t>
  </si>
  <si>
    <t>Vp-p</t>
  </si>
  <si>
    <t>Pwm</t>
  </si>
  <si>
    <t>Rfb2</t>
  </si>
  <si>
    <t>Vref</t>
  </si>
  <si>
    <t>Reference Voltage</t>
  </si>
  <si>
    <t>Ro</t>
  </si>
  <si>
    <t>Eadcg</t>
  </si>
  <si>
    <t>GBP</t>
  </si>
  <si>
    <t>A(s)</t>
  </si>
  <si>
    <t>xover</t>
  </si>
  <si>
    <t>phase margin</t>
  </si>
  <si>
    <t>Z1</t>
  </si>
  <si>
    <t>Z3</t>
  </si>
  <si>
    <t>Real</t>
  </si>
  <si>
    <t>Imag</t>
  </si>
  <si>
    <t>Num</t>
  </si>
  <si>
    <t>Den</t>
  </si>
  <si>
    <t>Total</t>
  </si>
  <si>
    <t>a</t>
  </si>
  <si>
    <t>b</t>
  </si>
  <si>
    <t>c</t>
  </si>
  <si>
    <t>d</t>
  </si>
  <si>
    <t>Z1 Real</t>
  </si>
  <si>
    <t>Z1 Imag</t>
  </si>
  <si>
    <t>Z3 Imag</t>
  </si>
  <si>
    <t>Z3 Real</t>
  </si>
  <si>
    <t>EAGain</t>
  </si>
  <si>
    <t>Ea Phase</t>
  </si>
  <si>
    <t>Ea Gain (db)</t>
  </si>
  <si>
    <t>Total Phase Margin</t>
  </si>
  <si>
    <t>Design Output</t>
  </si>
  <si>
    <t>EA MODELING</t>
  </si>
  <si>
    <t>Ea Gain BW</t>
  </si>
  <si>
    <t>Complex EA</t>
  </si>
  <si>
    <t>Actual EA Response</t>
  </si>
  <si>
    <t>Actual Total System Response</t>
  </si>
  <si>
    <t>XOVER SEARCH</t>
  </si>
  <si>
    <t>Step 2: Inductor</t>
  </si>
  <si>
    <t>Variable Name</t>
  </si>
  <si>
    <t>Resrmax</t>
  </si>
  <si>
    <t>mΩ</t>
  </si>
  <si>
    <t>kΩ</t>
  </si>
  <si>
    <t>TERMS OF USE</t>
  </si>
  <si>
    <t>Currents</t>
  </si>
  <si>
    <t>IQ</t>
  </si>
  <si>
    <t>Step</t>
  </si>
  <si>
    <t>Core</t>
  </si>
  <si>
    <t>Total Loss</t>
  </si>
  <si>
    <t>OUTPUT POWER</t>
  </si>
  <si>
    <t>EFF</t>
  </si>
  <si>
    <t>Design</t>
  </si>
  <si>
    <t>L</t>
  </si>
  <si>
    <t>Cin</t>
  </si>
  <si>
    <t>Components</t>
  </si>
  <si>
    <t>Top FET</t>
  </si>
  <si>
    <t>Bottom FET</t>
  </si>
  <si>
    <t>RdsonDRB</t>
  </si>
  <si>
    <t>RdsonDRT</t>
  </si>
  <si>
    <t>Deadtime</t>
  </si>
  <si>
    <t>mOhms</t>
  </si>
  <si>
    <t>mA</t>
  </si>
  <si>
    <t>nC</t>
  </si>
  <si>
    <t>S</t>
  </si>
  <si>
    <t>QgBot</t>
  </si>
  <si>
    <t>RdsonBot</t>
  </si>
  <si>
    <t>GfsTop</t>
  </si>
  <si>
    <t>QgTop</t>
  </si>
  <si>
    <t>RdsonTop</t>
  </si>
  <si>
    <t xml:space="preserve">INDUCTOR </t>
  </si>
  <si>
    <t>VsdBot</t>
  </si>
  <si>
    <t>QrrBot</t>
  </si>
  <si>
    <t>TrrBot</t>
  </si>
  <si>
    <t>ns</t>
  </si>
  <si>
    <t>Units</t>
  </si>
  <si>
    <t>Outputs</t>
  </si>
  <si>
    <t>Bottom FET/Diode</t>
  </si>
  <si>
    <t>Dprime</t>
  </si>
  <si>
    <t>RdsonTopTc</t>
  </si>
  <si>
    <t>RdsonBotTc</t>
  </si>
  <si>
    <t>ppm</t>
  </si>
  <si>
    <t>LTc</t>
  </si>
  <si>
    <t>Ta</t>
  </si>
  <si>
    <t>Irms</t>
  </si>
  <si>
    <t>RCoutEsr</t>
  </si>
  <si>
    <t>RCinEsr</t>
  </si>
  <si>
    <t>ThetaJaBot</t>
  </si>
  <si>
    <t>ThetaJaTop</t>
  </si>
  <si>
    <t>RDSON Loss</t>
  </si>
  <si>
    <t>Cin Esr   Loss</t>
  </si>
  <si>
    <t>Cout Esr Loss</t>
  </si>
  <si>
    <t>DCR    Loss</t>
  </si>
  <si>
    <t>Tr</t>
  </si>
  <si>
    <t>Tf</t>
  </si>
  <si>
    <t>RGateTop</t>
  </si>
  <si>
    <t>RGateBot</t>
  </si>
  <si>
    <t>VthTop</t>
  </si>
  <si>
    <t>Reverse Recovery Loss</t>
  </si>
  <si>
    <t>DeadTime Loss</t>
  </si>
  <si>
    <t>Switching Frequency</t>
  </si>
  <si>
    <t>Max Output Current</t>
  </si>
  <si>
    <t>Ambient Temperature</t>
  </si>
  <si>
    <t>Inductor Series Resistance Temp Co</t>
  </si>
  <si>
    <t>Input Capacitor Capacitance</t>
  </si>
  <si>
    <t>Input Capacitor Series Resistance</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</si>
  <si>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</si>
  <si>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</si>
  <si>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</si>
  <si>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</si>
  <si>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</si>
  <si>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</si>
  <si>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</si>
  <si>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</si>
  <si>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</si>
  <si>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</si>
  <si>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</si>
  <si>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Output Inductor Inductance Value</t>
  </si>
  <si>
    <t>Inductor Series Resistance at 25 Degrees C</t>
  </si>
  <si>
    <t>Drain To Source Resistance of Bottom FET Driver</t>
  </si>
  <si>
    <t>Drain to Source Resistance Temp Co</t>
  </si>
  <si>
    <t xml:space="preserve">Drain to Source Resistance of Top FET </t>
  </si>
  <si>
    <t>BUCK CONTROLLER POWER TOOL</t>
  </si>
  <si>
    <t>Reverse Recovery Charge of Body Diode</t>
  </si>
  <si>
    <t>IQ      Loss</t>
  </si>
  <si>
    <t>Enter the values of your design and FET datasheet specifications below. Note that thermal resistance ("Theta JA") will change when components are placed on the PCB</t>
  </si>
  <si>
    <t>Output Capacitor Capcitance</t>
  </si>
  <si>
    <t>Output Capacitor Series Resistance</t>
  </si>
  <si>
    <t>Input Value</t>
  </si>
  <si>
    <t>Top Driver</t>
  </si>
  <si>
    <t>Bottom Driver</t>
  </si>
  <si>
    <t>Drain to Source Resistance of pull up Top FET Driver</t>
  </si>
  <si>
    <t>Drain to Source Resistance of pull down Top FET Driver</t>
  </si>
  <si>
    <t>Part Power</t>
  </si>
  <si>
    <t>Power Dis</t>
  </si>
  <si>
    <t>W</t>
  </si>
  <si>
    <t>Controller</t>
  </si>
  <si>
    <t>Theta Ja</t>
  </si>
  <si>
    <t>Temp rise</t>
  </si>
  <si>
    <t>θJA=80</t>
  </si>
  <si>
    <t>θJA=100</t>
  </si>
  <si>
    <t>θJA=120</t>
  </si>
  <si>
    <t>θJA=140</t>
  </si>
  <si>
    <t>θJA=160</t>
  </si>
  <si>
    <t>θJA=180</t>
  </si>
  <si>
    <t>QgdTop</t>
  </si>
  <si>
    <t>Gate to Drain Charge</t>
  </si>
  <si>
    <t>Qg</t>
  </si>
  <si>
    <t>θJA=20</t>
  </si>
  <si>
    <t>θJA=30</t>
  </si>
  <si>
    <t>θJA=40</t>
  </si>
  <si>
    <t>θJA=50</t>
  </si>
  <si>
    <t>250kHz / 5-1.2V /25A</t>
  </si>
  <si>
    <t>250kHz / 12-5V / 30A</t>
  </si>
  <si>
    <t>500kHz / 5-1.2V / 15A</t>
  </si>
  <si>
    <t>1Mhz / 5-1.2V / 10A</t>
  </si>
  <si>
    <t>1Mhz / 12-1.2V/ 10A</t>
  </si>
  <si>
    <t>500kHz / 12-5V / 15A</t>
  </si>
  <si>
    <t>250kHz / 18-1.2V / 20A</t>
  </si>
  <si>
    <t>500kHz / 18-1.2V / 20A</t>
  </si>
  <si>
    <t>θJA=120°C/W - 160°C/W</t>
  </si>
  <si>
    <t>θJA=30°C/W - 50°C/W</t>
  </si>
  <si>
    <t>VspTop</t>
  </si>
  <si>
    <t>QgsTop</t>
  </si>
  <si>
    <t>Part Losses</t>
  </si>
  <si>
    <t>RdsonDRB2</t>
  </si>
  <si>
    <t>RdsonDRT2</t>
  </si>
  <si>
    <t>EFF_1 @ 25°C</t>
  </si>
  <si>
    <t>Efficiency</t>
  </si>
  <si>
    <t>Pdis</t>
  </si>
  <si>
    <t>Vin=10V</t>
  </si>
  <si>
    <t>Vout=5.1V</t>
  </si>
  <si>
    <t xml:space="preserve">L=3.3uH/30mOhm </t>
  </si>
  <si>
    <t>4394 Top and Bottom Fets</t>
  </si>
  <si>
    <t>Duty Cycle</t>
  </si>
  <si>
    <t>Current Ripple p-p</t>
  </si>
  <si>
    <t xml:space="preserve">IQ </t>
  </si>
  <si>
    <t>ThetaCa</t>
  </si>
  <si>
    <t>Core to Ambient Thermal Resistance</t>
  </si>
  <si>
    <t>IRMS</t>
  </si>
  <si>
    <t>Total Part Loss</t>
  </si>
  <si>
    <t>RESULSTS</t>
  </si>
  <si>
    <t xml:space="preserve">LOW SIDE FET Losses </t>
  </si>
  <si>
    <t xml:space="preserve">HIGH SIDE FET losses </t>
  </si>
  <si>
    <t>Top FET Temp Rise</t>
  </si>
  <si>
    <t>Bottom FET Temp Rise</t>
  </si>
  <si>
    <t>Quiescent Current Of Controller (Not Switching!)</t>
  </si>
  <si>
    <t>Top Feedback Resistor</t>
  </si>
  <si>
    <t>This along with Rcea1 will set a zero</t>
  </si>
  <si>
    <t>This pole is set at half the switching frequency</t>
  </si>
  <si>
    <t>This pole cancels the zero from the Output Cap ESR</t>
  </si>
  <si>
    <t>PI</t>
  </si>
  <si>
    <t>s</t>
  </si>
  <si>
    <t>Switch Point Voltage of Top FET</t>
  </si>
  <si>
    <t>ThetaJaCtrl</t>
  </si>
  <si>
    <t>Part Characteristics</t>
  </si>
  <si>
    <t>C</t>
  </si>
  <si>
    <t>Switching Current Loss</t>
  </si>
  <si>
    <t>Rfb2_u</t>
  </si>
  <si>
    <t>CoutEsr</t>
  </si>
  <si>
    <t>Ilimit</t>
  </si>
  <si>
    <t>Ω</t>
  </si>
  <si>
    <t>Step 3: Current Limit</t>
  </si>
  <si>
    <t>Step 4: Output Capacitor</t>
  </si>
  <si>
    <t>Step 5: Input Capacitor</t>
  </si>
  <si>
    <t>nF</t>
  </si>
  <si>
    <t>R1</t>
  </si>
  <si>
    <t>R2</t>
  </si>
  <si>
    <t>VIN</t>
  </si>
  <si>
    <t>A (rms)</t>
  </si>
  <si>
    <t>Icinrms</t>
  </si>
  <si>
    <t>Icoutrms</t>
  </si>
  <si>
    <t>= Input Box</t>
  </si>
  <si>
    <t>Excel Variables Names/Calculations</t>
  </si>
  <si>
    <t>Input capacitance</t>
  </si>
  <si>
    <t>Step 1: Operational Specs</t>
  </si>
  <si>
    <t>Ilimit2</t>
  </si>
  <si>
    <t>Step 6: Soft Start</t>
  </si>
  <si>
    <t>ms</t>
  </si>
  <si>
    <t>Tss</t>
  </si>
  <si>
    <t>Soft Start Time</t>
  </si>
  <si>
    <t>Iss</t>
  </si>
  <si>
    <t>Css</t>
  </si>
  <si>
    <t>Rfadj</t>
  </si>
  <si>
    <t>C1</t>
  </si>
  <si>
    <t>C2</t>
  </si>
  <si>
    <t>Ripple I</t>
  </si>
  <si>
    <t>%</t>
  </si>
  <si>
    <t xml:space="preserve">I1 </t>
  </si>
  <si>
    <t xml:space="preserve">I2 </t>
  </si>
  <si>
    <t>Part Number</t>
  </si>
  <si>
    <t>Cby</t>
  </si>
  <si>
    <t>Csb</t>
  </si>
  <si>
    <t>Rh</t>
  </si>
  <si>
    <t>Capacitors</t>
  </si>
  <si>
    <t>(pF)</t>
  </si>
  <si>
    <t>Standard Result</t>
  </si>
  <si>
    <t>Inputs</t>
  </si>
  <si>
    <t>Css_u</t>
  </si>
  <si>
    <t>Resistors</t>
  </si>
  <si>
    <t>Radj</t>
  </si>
  <si>
    <t>inputs</t>
  </si>
  <si>
    <t>Cb</t>
  </si>
  <si>
    <t>Rs1</t>
  </si>
  <si>
    <t>Rs2</t>
  </si>
  <si>
    <t>Rs3</t>
  </si>
  <si>
    <t>Rs4</t>
  </si>
  <si>
    <t xml:space="preserve">                </t>
  </si>
  <si>
    <t>Cdd</t>
  </si>
  <si>
    <t>Cc1</t>
  </si>
  <si>
    <t>Cc2</t>
  </si>
  <si>
    <t>Cc3</t>
  </si>
  <si>
    <t>Csby</t>
  </si>
  <si>
    <t>Rc1</t>
  </si>
  <si>
    <t>Rc2</t>
  </si>
  <si>
    <t>Other Input Variables</t>
  </si>
  <si>
    <t>Step 7: Other Components</t>
  </si>
  <si>
    <t>Step 8: Compensation</t>
  </si>
  <si>
    <r>
      <t>R</t>
    </r>
    <r>
      <rPr>
        <vertAlign val="subscript"/>
        <sz val="10"/>
        <rFont val="Arial"/>
        <family val="2"/>
      </rPr>
      <t>PG</t>
    </r>
  </si>
  <si>
    <r>
      <t>R</t>
    </r>
    <r>
      <rPr>
        <vertAlign val="subscript"/>
        <sz val="10"/>
        <rFont val="Arial"/>
        <family val="2"/>
      </rPr>
      <t>SB</t>
    </r>
  </si>
  <si>
    <t>CSBY</t>
  </si>
  <si>
    <t>Actual Open Loop System Response</t>
  </si>
  <si>
    <t>Comp To Output</t>
  </si>
  <si>
    <t>Total Phase margin</t>
  </si>
  <si>
    <t>Rfets</t>
  </si>
  <si>
    <t>cap loss eq res</t>
  </si>
  <si>
    <t>Fet loss eq res</t>
  </si>
  <si>
    <t>Diode loss eq res</t>
  </si>
  <si>
    <t>Sw cap</t>
  </si>
  <si>
    <t>Output to Comp 5V In @ 500kHz 0A Iout 25DegC</t>
  </si>
  <si>
    <t xml:space="preserve"> </t>
  </si>
  <si>
    <t>Resulting Poles/Zero/Q Locations</t>
  </si>
  <si>
    <t>Rc1ea</t>
  </si>
  <si>
    <t>Rc2ea</t>
  </si>
  <si>
    <t>Frequency of Ringing</t>
  </si>
  <si>
    <t>MHz</t>
  </si>
  <si>
    <t>STD UNITS</t>
  </si>
  <si>
    <t>UNITS</t>
  </si>
  <si>
    <t>SW capacitance</t>
  </si>
  <si>
    <t>Csnub</t>
  </si>
  <si>
    <t>Lpar</t>
  </si>
  <si>
    <t>nH</t>
  </si>
  <si>
    <t>Rsnub</t>
  </si>
  <si>
    <t>TL</t>
  </si>
  <si>
    <t>L/R Time Constant</t>
  </si>
  <si>
    <t>Blank out</t>
  </si>
  <si>
    <t>Sugested Cs</t>
  </si>
  <si>
    <t>Input from user =</t>
  </si>
  <si>
    <t>Constant</t>
  </si>
  <si>
    <t>Step 8: Efficiency</t>
  </si>
  <si>
    <t>Vripple</t>
  </si>
  <si>
    <t>Bottom Shotkey</t>
  </si>
  <si>
    <t>VfdSky</t>
  </si>
  <si>
    <t>QrrSky</t>
  </si>
  <si>
    <t>Ireverse</t>
  </si>
  <si>
    <t>Diode Forward Voltage</t>
  </si>
  <si>
    <t>Diode Reverse Recovery Charge</t>
  </si>
  <si>
    <t>Reverse Leakage Current</t>
  </si>
  <si>
    <t>Diod/eFET</t>
  </si>
  <si>
    <t>External Diode</t>
  </si>
  <si>
    <t>Total Inductor Loss/Diss</t>
  </si>
  <si>
    <t>Total Cout Loss/Diss</t>
  </si>
  <si>
    <t>Total Cin Loss/Diss</t>
  </si>
  <si>
    <t>Total Top FET Loss/Diss</t>
  </si>
  <si>
    <t xml:space="preserve">Dead Time Loss </t>
  </si>
  <si>
    <t>VsdTop</t>
  </si>
  <si>
    <t>Switching Current Diss</t>
  </si>
  <si>
    <t>Diode Forward Voltage of Top FET Body diode</t>
  </si>
  <si>
    <t>°C/W</t>
  </si>
  <si>
    <t>SCHEMATIC LABELS</t>
  </si>
  <si>
    <r>
      <t xml:space="preserve">Choosen Compensation Components from the </t>
    </r>
    <r>
      <rPr>
        <b/>
        <u/>
        <sz val="10"/>
        <color indexed="10"/>
        <rFont val="Arial"/>
        <family val="2"/>
      </rPr>
      <t>standard value sheet</t>
    </r>
  </si>
  <si>
    <t>\</t>
  </si>
  <si>
    <t>OUTPUT CURRENT</t>
  </si>
  <si>
    <t>Dmax</t>
  </si>
  <si>
    <t>Ipp</t>
  </si>
  <si>
    <t>Current (switching)</t>
  </si>
  <si>
    <t>Qrr Current</t>
  </si>
  <si>
    <t>Diode Current</t>
  </si>
  <si>
    <t>Std Units</t>
  </si>
  <si>
    <t>Part Power Disipation</t>
  </si>
  <si>
    <t>Total Application Switching IQ</t>
  </si>
  <si>
    <t xml:space="preserve">VIN </t>
  </si>
  <si>
    <t>CBOOT</t>
  </si>
  <si>
    <t>VDD</t>
  </si>
  <si>
    <t>SYNC</t>
  </si>
  <si>
    <t>EN</t>
  </si>
  <si>
    <t>PGOOD</t>
  </si>
  <si>
    <t>SS/TRACK</t>
  </si>
  <si>
    <t>FADJ</t>
  </si>
  <si>
    <t>GND</t>
  </si>
  <si>
    <t>COMP</t>
  </si>
  <si>
    <t>FB</t>
  </si>
  <si>
    <t>CS-</t>
  </si>
  <si>
    <t>CS+</t>
  </si>
  <si>
    <t>LG</t>
  </si>
  <si>
    <t>SW</t>
  </si>
  <si>
    <t>HG</t>
  </si>
  <si>
    <t>CIN</t>
  </si>
  <si>
    <t>DCR at hot</t>
  </si>
  <si>
    <t>Temp</t>
  </si>
  <si>
    <t>µH</t>
  </si>
  <si>
    <t>µF</t>
  </si>
  <si>
    <t>Cinmin</t>
  </si>
  <si>
    <t>Vinripple1</t>
  </si>
  <si>
    <t>CinEsrMax</t>
  </si>
  <si>
    <t>Vinripple2</t>
  </si>
  <si>
    <t>DCR</t>
  </si>
  <si>
    <t>Output =</t>
  </si>
  <si>
    <t>Calculated Inductor value for 30% ripple</t>
  </si>
  <si>
    <t>Duty Cycle with DCR accounted for</t>
  </si>
  <si>
    <t>1-Duty Cycle with DCR accounted for</t>
  </si>
  <si>
    <t>OTP</t>
  </si>
  <si>
    <t>D+</t>
  </si>
  <si>
    <t>D-</t>
  </si>
  <si>
    <t>RS</t>
  </si>
  <si>
    <t>Bottom Schottky</t>
  </si>
  <si>
    <t>Rotp</t>
  </si>
  <si>
    <t>Step 2: Filter Inductor</t>
  </si>
  <si>
    <t>This component will first set the midband gain</t>
  </si>
  <si>
    <t>Error Amplifier Finite DC Gain (AOL)</t>
  </si>
  <si>
    <t>Error Amplifier Gain Bandwidth Product (GBW)</t>
  </si>
  <si>
    <t>Cout ESR Zero Location</t>
  </si>
  <si>
    <t>EA Gain (dB)</t>
  </si>
  <si>
    <t>EA Phase</t>
  </si>
  <si>
    <t>EA Gain</t>
  </si>
  <si>
    <t>EA Gain BW</t>
  </si>
  <si>
    <t>Midband Gain For the Error Amplifier</t>
  </si>
  <si>
    <t>Load Cap current during soft start</t>
  </si>
  <si>
    <t>Step 1: Operating Specifications</t>
  </si>
  <si>
    <t>°C</t>
  </si>
  <si>
    <t>Std Values</t>
  </si>
  <si>
    <t>Compensation Components</t>
  </si>
  <si>
    <t>Actual P/Z Frequencies</t>
  </si>
  <si>
    <r>
      <t>A</t>
    </r>
    <r>
      <rPr>
        <vertAlign val="subscript"/>
        <sz val="10"/>
        <rFont val="Arial"/>
        <family val="2"/>
      </rPr>
      <t>pk-pk</t>
    </r>
  </si>
  <si>
    <r>
      <t>mV</t>
    </r>
    <r>
      <rPr>
        <b/>
        <vertAlign val="subscript"/>
        <sz val="10"/>
        <rFont val="Arial"/>
        <family val="2"/>
      </rPr>
      <t>pk-pk</t>
    </r>
  </si>
  <si>
    <r>
      <t>R</t>
    </r>
    <r>
      <rPr>
        <b/>
        <vertAlign val="subscript"/>
        <sz val="10"/>
        <rFont val="Arial"/>
        <family val="2"/>
      </rPr>
      <t>C1</t>
    </r>
  </si>
  <si>
    <r>
      <t>kHz (F</t>
    </r>
    <r>
      <rPr>
        <b/>
        <vertAlign val="subscript"/>
        <sz val="10"/>
        <rFont val="Arial"/>
        <family val="2"/>
      </rPr>
      <t>Z1</t>
    </r>
    <r>
      <rPr>
        <b/>
        <sz val="10"/>
        <rFont val="Arial"/>
        <family val="2"/>
      </rPr>
      <t>)</t>
    </r>
  </si>
  <si>
    <r>
      <t>C</t>
    </r>
    <r>
      <rPr>
        <b/>
        <vertAlign val="subscript"/>
        <sz val="10"/>
        <rFont val="Arial"/>
        <family val="2"/>
      </rPr>
      <t>C1</t>
    </r>
  </si>
  <si>
    <r>
      <t>kHz (F</t>
    </r>
    <r>
      <rPr>
        <b/>
        <vertAlign val="subscript"/>
        <sz val="10"/>
        <rFont val="Arial"/>
        <family val="2"/>
      </rPr>
      <t>Z2</t>
    </r>
    <r>
      <rPr>
        <b/>
        <sz val="10"/>
        <rFont val="Arial"/>
        <family val="2"/>
      </rPr>
      <t>)</t>
    </r>
  </si>
  <si>
    <r>
      <t>C</t>
    </r>
    <r>
      <rPr>
        <b/>
        <vertAlign val="subscript"/>
        <sz val="10"/>
        <rFont val="Arial"/>
        <family val="2"/>
      </rPr>
      <t>C2</t>
    </r>
  </si>
  <si>
    <r>
      <t>kHz (F</t>
    </r>
    <r>
      <rPr>
        <b/>
        <vertAlign val="subscript"/>
        <sz val="10"/>
        <rFont val="Arial"/>
        <family val="2"/>
      </rPr>
      <t>P1</t>
    </r>
    <r>
      <rPr>
        <b/>
        <sz val="10"/>
        <rFont val="Arial"/>
        <family val="2"/>
      </rPr>
      <t>)</t>
    </r>
  </si>
  <si>
    <r>
      <t>R</t>
    </r>
    <r>
      <rPr>
        <b/>
        <vertAlign val="subscript"/>
        <sz val="10"/>
        <rFont val="Arial"/>
        <family val="2"/>
      </rPr>
      <t>C2</t>
    </r>
  </si>
  <si>
    <r>
      <t>kHz (F</t>
    </r>
    <r>
      <rPr>
        <b/>
        <vertAlign val="subscript"/>
        <sz val="10"/>
        <rFont val="Arial"/>
        <family val="2"/>
      </rPr>
      <t>P2</t>
    </r>
    <r>
      <rPr>
        <b/>
        <sz val="10"/>
        <rFont val="Arial"/>
        <family val="2"/>
      </rPr>
      <t>)</t>
    </r>
  </si>
  <si>
    <r>
      <t>C</t>
    </r>
    <r>
      <rPr>
        <b/>
        <vertAlign val="subscript"/>
        <sz val="10"/>
        <rFont val="Arial"/>
        <family val="2"/>
      </rPr>
      <t>C3</t>
    </r>
  </si>
  <si>
    <r>
      <t>mV</t>
    </r>
    <r>
      <rPr>
        <vertAlign val="subscript"/>
        <sz val="10"/>
        <rFont val="Arial"/>
        <family val="2"/>
      </rPr>
      <t>pk-pk</t>
    </r>
  </si>
  <si>
    <t>Efficiency / Power Loss Analyzer</t>
  </si>
  <si>
    <t>Step 7: Compensation Design</t>
  </si>
  <si>
    <t>Calculated /</t>
  </si>
  <si>
    <t xml:space="preserve">Recommended Filter Inductance </t>
  </si>
  <si>
    <t xml:space="preserve">Inductor DCR </t>
  </si>
  <si>
    <t xml:space="preserve">Required Current Limit Setpoint </t>
  </si>
  <si>
    <t xml:space="preserve">Output Voltage Ripple Specification </t>
  </si>
  <si>
    <t xml:space="preserve">Minimum Ideal Output Capacitance </t>
  </si>
  <si>
    <t xml:space="preserve">Maximum Permitted ESR </t>
  </si>
  <si>
    <t xml:space="preserve">Output Capacitor ESR </t>
  </si>
  <si>
    <t xml:space="preserve">Resulting Output Voltage Ripple </t>
  </si>
  <si>
    <t xml:space="preserve">Output Capacitor Ripple Current </t>
  </si>
  <si>
    <t xml:space="preserve">Input Voltage Ripple Specification </t>
  </si>
  <si>
    <t xml:space="preserve">Minimum Ideal Input Capacitance </t>
  </si>
  <si>
    <t xml:space="preserve">Input Capacitor ESR </t>
  </si>
  <si>
    <t xml:space="preserve">Resulting Input Voltage Ripple </t>
  </si>
  <si>
    <t xml:space="preserve">Input Capacitor Ripple Current </t>
  </si>
  <si>
    <t xml:space="preserve">LC Complex Pole Frequency </t>
  </si>
  <si>
    <t xml:space="preserve">ESR Zero Frequency </t>
  </si>
  <si>
    <t xml:space="preserve">Appropriate Midband Gain </t>
  </si>
  <si>
    <t>About</t>
  </si>
  <si>
    <t>xx</t>
  </si>
  <si>
    <t>Current limit setpoint after standard components are selected</t>
  </si>
  <si>
    <t>Output Cap rms current</t>
  </si>
  <si>
    <t>Max ESR before ripple exceeds Vripple1</t>
  </si>
  <si>
    <t>Chosen ESR</t>
  </si>
  <si>
    <t>Input capacitance series resistance (ESR)</t>
  </si>
  <si>
    <t xml:space="preserve">Desired Crossover Frequency </t>
  </si>
  <si>
    <r>
      <t>VIN</t>
    </r>
    <r>
      <rPr>
        <vertAlign val="subscript"/>
        <sz val="10"/>
        <rFont val="Arial"/>
        <family val="2"/>
      </rPr>
      <t>UVLO_ON</t>
    </r>
  </si>
  <si>
    <r>
      <t>VIN</t>
    </r>
    <r>
      <rPr>
        <vertAlign val="subscript"/>
        <sz val="10"/>
        <rFont val="Arial"/>
        <family val="2"/>
      </rPr>
      <t>UVLO_OFF</t>
    </r>
  </si>
  <si>
    <t>Rising UVLO/EN Threshold</t>
  </si>
  <si>
    <t>Falling UVLO/EN Threshold</t>
  </si>
  <si>
    <t>Falling UVLO/EN Falling</t>
  </si>
  <si>
    <t xml:space="preserve">Rising UVLO/EN Hysteresis </t>
  </si>
  <si>
    <t>UVLO/EN Current Hysteresis</t>
  </si>
  <si>
    <t>kΩ</t>
  </si>
  <si>
    <r>
      <t>VIN</t>
    </r>
    <r>
      <rPr>
        <vertAlign val="subscript"/>
        <sz val="10"/>
        <rFont val="Arial"/>
        <family val="2"/>
      </rPr>
      <t>UVLO_ON_ACTUAL</t>
    </r>
  </si>
  <si>
    <r>
      <t>VIN</t>
    </r>
    <r>
      <rPr>
        <vertAlign val="subscript"/>
        <sz val="10"/>
        <rFont val="Arial"/>
        <family val="2"/>
      </rPr>
      <t>UVLO_OFF_ACTUAL</t>
    </r>
  </si>
  <si>
    <t>Size</t>
  </si>
  <si>
    <t>MFR</t>
  </si>
  <si>
    <t>Std</t>
  </si>
  <si>
    <t>See description</t>
  </si>
  <si>
    <t>TI</t>
  </si>
  <si>
    <t>0603</t>
  </si>
  <si>
    <r>
      <t>C</t>
    </r>
    <r>
      <rPr>
        <vertAlign val="subscript"/>
        <sz val="10"/>
        <rFont val="Arial"/>
        <family val="2"/>
      </rPr>
      <t>C1</t>
    </r>
  </si>
  <si>
    <r>
      <t>C</t>
    </r>
    <r>
      <rPr>
        <vertAlign val="subscript"/>
        <sz val="10"/>
        <rFont val="Arial"/>
        <family val="2"/>
      </rPr>
      <t>C2</t>
    </r>
  </si>
  <si>
    <r>
      <t>C</t>
    </r>
    <r>
      <rPr>
        <vertAlign val="subscript"/>
        <sz val="10"/>
        <rFont val="Arial"/>
        <family val="2"/>
      </rPr>
      <t>C3</t>
    </r>
  </si>
  <si>
    <r>
      <t>C</t>
    </r>
    <r>
      <rPr>
        <vertAlign val="subscript"/>
        <sz val="10"/>
        <rFont val="Arial"/>
        <family val="2"/>
      </rPr>
      <t>IN</t>
    </r>
  </si>
  <si>
    <r>
      <t>C</t>
    </r>
    <r>
      <rPr>
        <vertAlign val="subscript"/>
        <sz val="10"/>
        <rFont val="Arial"/>
        <family val="2"/>
      </rPr>
      <t>OUT</t>
    </r>
  </si>
  <si>
    <r>
      <t>C</t>
    </r>
    <r>
      <rPr>
        <vertAlign val="subscript"/>
        <sz val="10"/>
        <rFont val="Arial"/>
        <family val="2"/>
      </rPr>
      <t>SS</t>
    </r>
  </si>
  <si>
    <r>
      <t>C</t>
    </r>
    <r>
      <rPr>
        <vertAlign val="subscript"/>
        <sz val="10"/>
        <rFont val="Arial"/>
        <family val="2"/>
      </rPr>
      <t>VIN</t>
    </r>
  </si>
  <si>
    <t>Ref Des</t>
  </si>
  <si>
    <t>Count</t>
  </si>
  <si>
    <t>Various</t>
  </si>
  <si>
    <r>
      <t>Q</t>
    </r>
    <r>
      <rPr>
        <vertAlign val="subscript"/>
        <sz val="10"/>
        <rFont val="Arial"/>
        <family val="2"/>
      </rPr>
      <t>1</t>
    </r>
  </si>
  <si>
    <r>
      <t>Q</t>
    </r>
    <r>
      <rPr>
        <vertAlign val="subscript"/>
        <sz val="10"/>
        <rFont val="Arial"/>
        <family val="2"/>
      </rPr>
      <t>2</t>
    </r>
  </si>
  <si>
    <r>
      <t>R</t>
    </r>
    <r>
      <rPr>
        <vertAlign val="subscript"/>
        <sz val="10"/>
        <rFont val="Arial"/>
        <family val="2"/>
      </rPr>
      <t>C1</t>
    </r>
  </si>
  <si>
    <r>
      <t>R</t>
    </r>
    <r>
      <rPr>
        <vertAlign val="subscript"/>
        <sz val="10"/>
        <rFont val="Arial"/>
        <family val="2"/>
      </rPr>
      <t>C2</t>
    </r>
  </si>
  <si>
    <r>
      <t>R</t>
    </r>
    <r>
      <rPr>
        <vertAlign val="subscript"/>
        <sz val="10"/>
        <rFont val="Arial"/>
        <family val="2"/>
      </rPr>
      <t>UV1</t>
    </r>
  </si>
  <si>
    <r>
      <t>R</t>
    </r>
    <r>
      <rPr>
        <vertAlign val="subscript"/>
        <sz val="10"/>
        <rFont val="Arial"/>
        <family val="2"/>
      </rPr>
      <t>UV2</t>
    </r>
  </si>
  <si>
    <r>
      <t>R</t>
    </r>
    <r>
      <rPr>
        <vertAlign val="subscript"/>
        <sz val="10"/>
        <rFont val="Arial"/>
        <family val="2"/>
      </rPr>
      <t>VIN</t>
    </r>
  </si>
  <si>
    <r>
      <t>R</t>
    </r>
    <r>
      <rPr>
        <vertAlign val="subscript"/>
        <sz val="10"/>
        <rFont val="Arial"/>
        <family val="2"/>
      </rPr>
      <t>S</t>
    </r>
  </si>
  <si>
    <r>
      <t>R</t>
    </r>
    <r>
      <rPr>
        <vertAlign val="subscript"/>
        <sz val="10"/>
        <rFont val="Arial"/>
        <family val="2"/>
      </rPr>
      <t>PGOOD</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</si>
  <si>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</si>
  <si>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</si>
  <si>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</si>
  <si>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</si>
  <si>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</si>
  <si>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Cd</t>
  </si>
  <si>
    <t>Ruv1</t>
  </si>
  <si>
    <t>Ruv2</t>
  </si>
  <si>
    <t># of input caps</t>
  </si>
  <si>
    <t>Capacitance per component (Cin)</t>
  </si>
  <si>
    <t>Capacitance per component (Cout)</t>
  </si>
  <si>
    <t># of output caps</t>
  </si>
  <si>
    <r>
      <t>High-Side MOSFET (Q</t>
    </r>
    <r>
      <rPr>
        <b/>
        <vertAlign val="subscript"/>
        <sz val="10"/>
        <color rgb="FF0000FF"/>
        <rFont val="Arial"/>
        <family val="2"/>
      </rPr>
      <t>1</t>
    </r>
    <r>
      <rPr>
        <b/>
        <sz val="10"/>
        <color rgb="FF0000FF"/>
        <rFont val="Arial"/>
        <family val="2"/>
      </rPr>
      <t>) Specifications</t>
    </r>
  </si>
  <si>
    <r>
      <t>Low-Side MOSFET (Q</t>
    </r>
    <r>
      <rPr>
        <b/>
        <vertAlign val="subscript"/>
        <sz val="10"/>
        <color rgb="FF0000FF"/>
        <rFont val="Arial"/>
        <family val="2"/>
      </rPr>
      <t>2</t>
    </r>
    <r>
      <rPr>
        <b/>
        <sz val="10"/>
        <color rgb="FF0000FF"/>
        <rFont val="Arial"/>
        <family val="2"/>
      </rPr>
      <t>) Specifications</t>
    </r>
  </si>
  <si>
    <r>
      <t>F</t>
    </r>
    <r>
      <rPr>
        <b/>
        <vertAlign val="subscript"/>
        <sz val="10"/>
        <rFont val="Arial"/>
        <family val="2"/>
      </rPr>
      <t>P1</t>
    </r>
    <r>
      <rPr>
        <b/>
        <sz val="10"/>
        <rFont val="Arial"/>
        <family val="2"/>
      </rPr>
      <t xml:space="preserve">  </t>
    </r>
  </si>
  <si>
    <r>
      <t>F</t>
    </r>
    <r>
      <rPr>
        <b/>
        <vertAlign val="subscript"/>
        <sz val="10"/>
        <rFont val="Arial"/>
        <family val="2"/>
      </rPr>
      <t>P2</t>
    </r>
    <r>
      <rPr>
        <b/>
        <sz val="10"/>
        <rFont val="Arial"/>
        <family val="2"/>
      </rPr>
      <t xml:space="preserve">  </t>
    </r>
  </si>
  <si>
    <r>
      <t>F</t>
    </r>
    <r>
      <rPr>
        <b/>
        <vertAlign val="subscript"/>
        <sz val="10"/>
        <rFont val="Arial"/>
        <family val="2"/>
      </rPr>
      <t xml:space="preserve">Z1  </t>
    </r>
  </si>
  <si>
    <r>
      <t>F</t>
    </r>
    <r>
      <rPr>
        <b/>
        <vertAlign val="subscript"/>
        <sz val="10"/>
        <rFont val="Arial"/>
        <family val="2"/>
      </rPr>
      <t xml:space="preserve">Z2  </t>
    </r>
  </si>
  <si>
    <t>Ω</t>
  </si>
  <si>
    <t>** Inductor saturation current should be higher than the current limit setpoint at all operating temperatures **</t>
  </si>
  <si>
    <r>
      <rPr>
        <b/>
        <u/>
        <sz val="10"/>
        <rFont val="Arial"/>
        <family val="2"/>
      </rPr>
      <t>NOTES</t>
    </r>
    <r>
      <rPr>
        <b/>
        <sz val="10"/>
        <rFont val="Arial"/>
        <family val="2"/>
      </rPr>
      <t>:</t>
    </r>
  </si>
  <si>
    <t>Series resistance due to FETs</t>
  </si>
  <si>
    <t>Chosen Inductor Value</t>
  </si>
  <si>
    <t>Ripple Current after Chosen inductor (p-p)</t>
  </si>
  <si>
    <t>Chosen Crossover</t>
  </si>
  <si>
    <t>Output Resistance</t>
  </si>
  <si>
    <t>This zero is set at or below the double pole location</t>
  </si>
  <si>
    <r>
      <t>Inductor Ripple Current as a % of Max I</t>
    </r>
    <r>
      <rPr>
        <vertAlign val="subscript"/>
        <sz val="10"/>
        <rFont val="Arial"/>
        <family val="2"/>
      </rPr>
      <t>OUT</t>
    </r>
    <r>
      <rPr>
        <sz val="10"/>
        <rFont val="Arial"/>
        <family val="2"/>
      </rPr>
      <t xml:space="preserve"> </t>
    </r>
  </si>
  <si>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</si>
  <si>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</si>
  <si>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</si>
  <si>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</si>
  <si>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</si>
  <si>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</si>
  <si>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Thermal Resistance, θ</t>
    </r>
    <r>
      <rPr>
        <b/>
        <vertAlign val="subscript"/>
        <sz val="10"/>
        <rFont val="Arial"/>
        <family val="2"/>
      </rPr>
      <t>JA</t>
    </r>
    <r>
      <rPr>
        <b/>
        <sz val="10"/>
        <rFont val="Arial"/>
        <family val="2"/>
      </rPr>
      <t xml:space="preserve"> </t>
    </r>
  </si>
  <si>
    <r>
      <t>Body Diode Recovery Charge, Q</t>
    </r>
    <r>
      <rPr>
        <b/>
        <vertAlign val="subscript"/>
        <sz val="10"/>
        <rFont val="Arial"/>
        <family val="2"/>
      </rPr>
      <t>RR</t>
    </r>
    <r>
      <rPr>
        <b/>
        <sz val="10"/>
        <rFont val="Arial"/>
        <family val="2"/>
      </rPr>
      <t xml:space="preserve"> </t>
    </r>
  </si>
  <si>
    <r>
      <t>Schottky Diode Recovery Charge, Q</t>
    </r>
    <r>
      <rPr>
        <b/>
        <vertAlign val="subscript"/>
        <sz val="10"/>
        <rFont val="Arial"/>
        <family val="2"/>
      </rPr>
      <t>RR2</t>
    </r>
    <r>
      <rPr>
        <b/>
        <sz val="10"/>
        <rFont val="Arial"/>
        <family val="2"/>
      </rPr>
      <t xml:space="preserve"> </t>
    </r>
  </si>
  <si>
    <r>
      <t>Body Diode Forward Voltage, V</t>
    </r>
    <r>
      <rPr>
        <b/>
        <vertAlign val="subscript"/>
        <sz val="10"/>
        <rFont val="Arial"/>
        <family val="2"/>
      </rPr>
      <t>BD2</t>
    </r>
    <r>
      <rPr>
        <b/>
        <sz val="10"/>
        <rFont val="Arial"/>
        <family val="2"/>
      </rPr>
      <t xml:space="preserve"> </t>
    </r>
  </si>
  <si>
    <r>
      <t>Schottky Diode Forward Voltage, V</t>
    </r>
    <r>
      <rPr>
        <b/>
        <vertAlign val="subscript"/>
        <sz val="10"/>
        <rFont val="Arial"/>
        <family val="2"/>
      </rPr>
      <t>SD</t>
    </r>
    <r>
      <rPr>
        <b/>
        <sz val="10"/>
        <rFont val="Arial"/>
        <family val="2"/>
      </rPr>
      <t xml:space="preserve"> </t>
    </r>
  </si>
  <si>
    <r>
      <t>Body Diode Forward Voltage, V</t>
    </r>
    <r>
      <rPr>
        <b/>
        <vertAlign val="subscript"/>
        <sz val="10"/>
        <rFont val="Arial"/>
        <family val="2"/>
      </rPr>
      <t>BD1</t>
    </r>
    <r>
      <rPr>
        <b/>
        <sz val="10"/>
        <rFont val="Arial"/>
        <family val="2"/>
      </rPr>
      <t xml:space="preserve"> </t>
    </r>
  </si>
  <si>
    <t>Peak-to-Peak Ramp Voltage of PWM</t>
  </si>
  <si>
    <t>%/°C</t>
  </si>
  <si>
    <t>1nF</t>
  </si>
  <si>
    <r>
      <t>Step 3: R</t>
    </r>
    <r>
      <rPr>
        <b/>
        <vertAlign val="subscript"/>
        <sz val="12"/>
        <color indexed="12"/>
        <rFont val="Arial"/>
        <family val="2"/>
      </rPr>
      <t>DS(on)</t>
    </r>
    <r>
      <rPr>
        <b/>
        <sz val="12"/>
        <color indexed="12"/>
        <rFont val="Arial"/>
        <family val="2"/>
      </rPr>
      <t xml:space="preserve"> or Shunt-Based Current Limit</t>
    </r>
  </si>
  <si>
    <r>
      <t>Maximum Output Current, I</t>
    </r>
    <r>
      <rPr>
        <b/>
        <vertAlign val="subscript"/>
        <sz val="10"/>
        <color theme="1"/>
        <rFont val="Arial"/>
        <family val="2"/>
      </rPr>
      <t>OUT</t>
    </r>
    <r>
      <rPr>
        <b/>
        <sz val="10"/>
        <color theme="1"/>
        <rFont val="Arial"/>
        <family val="2"/>
      </rPr>
      <t xml:space="preserve"> </t>
    </r>
  </si>
  <si>
    <r>
      <t>Output Voltage, V</t>
    </r>
    <r>
      <rPr>
        <b/>
        <vertAlign val="subscript"/>
        <sz val="10"/>
        <color theme="1"/>
        <rFont val="Arial"/>
        <family val="2"/>
      </rPr>
      <t>OUT</t>
    </r>
    <r>
      <rPr>
        <b/>
        <sz val="10"/>
        <color theme="1"/>
        <rFont val="Arial"/>
        <family val="2"/>
      </rPr>
      <t xml:space="preserve"> </t>
    </r>
  </si>
  <si>
    <r>
      <t>Inductance, L</t>
    </r>
    <r>
      <rPr>
        <b/>
        <vertAlign val="subscript"/>
        <sz val="10"/>
        <color theme="1"/>
        <rFont val="Arial"/>
        <family val="2"/>
      </rPr>
      <t>F</t>
    </r>
    <r>
      <rPr>
        <b/>
        <sz val="10"/>
        <color theme="1"/>
        <rFont val="Arial"/>
        <family val="2"/>
      </rPr>
      <t xml:space="preserve"> </t>
    </r>
  </si>
  <si>
    <r>
      <t>Frequency Set Resistor, R</t>
    </r>
    <r>
      <rPr>
        <vertAlign val="subscript"/>
        <sz val="10"/>
        <rFont val="Arial"/>
        <family val="2"/>
      </rPr>
      <t>RT</t>
    </r>
    <r>
      <rPr>
        <sz val="10"/>
        <rFont val="Arial"/>
        <family val="2"/>
      </rPr>
      <t xml:space="preserve"> </t>
    </r>
  </si>
  <si>
    <r>
      <t>Min Inductor Sat Current, I</t>
    </r>
    <r>
      <rPr>
        <vertAlign val="subscript"/>
        <sz val="10"/>
        <rFont val="Arial"/>
        <family val="2"/>
      </rPr>
      <t>L(SAT)</t>
    </r>
  </si>
  <si>
    <r>
      <t>Pk-to-Pk Ripple Current at V</t>
    </r>
    <r>
      <rPr>
        <vertAlign val="subscript"/>
        <sz val="10"/>
        <rFont val="Arial"/>
        <family val="2"/>
      </rPr>
      <t>IN(nom)</t>
    </r>
    <r>
      <rPr>
        <sz val="10"/>
        <rFont val="Arial"/>
        <family val="2"/>
      </rPr>
      <t xml:space="preserve">, </t>
    </r>
    <r>
      <rPr>
        <sz val="10"/>
        <rFont val="Symbol"/>
        <family val="1"/>
        <charset val="2"/>
      </rPr>
      <t>D</t>
    </r>
    <r>
      <rPr>
        <sz val="10"/>
        <rFont val="Arial"/>
        <family val="2"/>
      </rPr>
      <t>I</t>
    </r>
    <r>
      <rPr>
        <vertAlign val="subscript"/>
        <sz val="10"/>
        <rFont val="Arial"/>
        <family val="2"/>
      </rPr>
      <t>L</t>
    </r>
  </si>
  <si>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</si>
  <si>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r>
      <rPr>
        <b/>
        <sz val="10"/>
        <color theme="1"/>
        <rFont val="Arial"/>
        <family val="2"/>
      </rPr>
      <t xml:space="preserve"> </t>
    </r>
  </si>
  <si>
    <r>
      <t>Input Voltage ‒ Max, V</t>
    </r>
    <r>
      <rPr>
        <b/>
        <vertAlign val="subscript"/>
        <sz val="10"/>
        <color theme="1"/>
        <rFont val="Arial"/>
        <family val="2"/>
      </rPr>
      <t>IN(max)</t>
    </r>
    <r>
      <rPr>
        <b/>
        <sz val="10"/>
        <color theme="1"/>
        <rFont val="Arial"/>
        <family val="2"/>
      </rPr>
      <t xml:space="preserve"> </t>
    </r>
  </si>
  <si>
    <t>1 = Yes, 2 = No</t>
  </si>
  <si>
    <t>R_RT</t>
  </si>
  <si>
    <t>Vinmax</t>
  </si>
  <si>
    <t>Vinmin</t>
  </si>
  <si>
    <t>Doff_Vinmax</t>
  </si>
  <si>
    <t>Don_Vinmax</t>
  </si>
  <si>
    <t>Min input voltage</t>
  </si>
  <si>
    <t>Max input voltage</t>
  </si>
  <si>
    <t>Chosen current limit level - valley current</t>
  </si>
  <si>
    <t>Current Limit Current Source - Rdson sensing</t>
  </si>
  <si>
    <t>Current Limit Current Source - shunt sensing</t>
  </si>
  <si>
    <t>Rshunt</t>
  </si>
  <si>
    <t>Standard value current limit set resistor</t>
  </si>
  <si>
    <t>Ideal Rset for the chosen current limit</t>
  </si>
  <si>
    <r>
      <t>Current Limit Set Resistor, R</t>
    </r>
    <r>
      <rPr>
        <vertAlign val="subscript"/>
        <sz val="10"/>
        <rFont val="Arial"/>
        <family val="2"/>
      </rPr>
      <t>ILIM</t>
    </r>
    <r>
      <rPr>
        <sz val="10"/>
        <rFont val="Arial"/>
        <family val="2"/>
      </rPr>
      <t xml:space="preserve"> </t>
    </r>
  </si>
  <si>
    <t>Power dissipation in the shunt</t>
  </si>
  <si>
    <t>Rilim_shunt_ideal</t>
  </si>
  <si>
    <t>Ilim1</t>
  </si>
  <si>
    <t>Ilim2</t>
  </si>
  <si>
    <t>Rilim_Rdson_ideal</t>
  </si>
  <si>
    <t>Rilim_Rdson</t>
  </si>
  <si>
    <t>Rilim_shunt</t>
  </si>
  <si>
    <r>
      <t>Power Loss in R</t>
    </r>
    <r>
      <rPr>
        <vertAlign val="subscript"/>
        <sz val="10"/>
        <color theme="1"/>
        <rFont val="Arial"/>
        <family val="2"/>
      </rPr>
      <t>S</t>
    </r>
    <r>
      <rPr>
        <sz val="10"/>
        <color theme="1"/>
        <rFont val="Arial"/>
        <family val="2"/>
      </rPr>
      <t xml:space="preserve"> at Full Load, Max V</t>
    </r>
    <r>
      <rPr>
        <vertAlign val="subscript"/>
        <sz val="10"/>
        <color theme="1"/>
        <rFont val="Arial"/>
        <family val="2"/>
      </rPr>
      <t>IN</t>
    </r>
  </si>
  <si>
    <r>
      <t>UVLO Upper Resistor, R</t>
    </r>
    <r>
      <rPr>
        <vertAlign val="subscript"/>
        <sz val="10"/>
        <rFont val="Arial"/>
        <family val="2"/>
      </rPr>
      <t>UV1</t>
    </r>
  </si>
  <si>
    <r>
      <t>UVLO Lower Resistor, R</t>
    </r>
    <r>
      <rPr>
        <vertAlign val="subscript"/>
        <sz val="10"/>
        <rFont val="Arial"/>
        <family val="2"/>
      </rPr>
      <t>UV2</t>
    </r>
  </si>
  <si>
    <r>
      <t>Upper Feedback Resistor, R</t>
    </r>
    <r>
      <rPr>
        <b/>
        <vertAlign val="subscript"/>
        <sz val="10"/>
        <rFont val="Arial"/>
        <family val="2"/>
      </rPr>
      <t xml:space="preserve">FB1 </t>
    </r>
  </si>
  <si>
    <r>
      <t>Lower Feedback Resistor, R</t>
    </r>
    <r>
      <rPr>
        <vertAlign val="subscript"/>
        <sz val="10"/>
        <rFont val="Arial"/>
        <family val="2"/>
      </rPr>
      <t>FB2</t>
    </r>
    <r>
      <rPr>
        <sz val="10"/>
        <rFont val="Arial"/>
        <family val="2"/>
      </rPr>
      <t xml:space="preserve"> </t>
    </r>
  </si>
  <si>
    <t>Rilim</t>
  </si>
  <si>
    <r>
      <t>R</t>
    </r>
    <r>
      <rPr>
        <vertAlign val="subscript"/>
        <sz val="10"/>
        <rFont val="Arial"/>
        <family val="2"/>
      </rPr>
      <t>DS(on)</t>
    </r>
    <r>
      <rPr>
        <sz val="10"/>
        <rFont val="Arial"/>
        <family val="2"/>
      </rPr>
      <t xml:space="preserve"> sensing</t>
    </r>
  </si>
  <si>
    <t>Shunt sensing</t>
  </si>
  <si>
    <r>
      <t>Shunt, R</t>
    </r>
    <r>
      <rPr>
        <b/>
        <vertAlign val="subscript"/>
        <sz val="10"/>
        <color theme="1"/>
        <rFont val="Arial"/>
        <family val="2"/>
      </rPr>
      <t>S</t>
    </r>
  </si>
  <si>
    <r>
      <t>L</t>
    </r>
    <r>
      <rPr>
        <vertAlign val="subscript"/>
        <sz val="10"/>
        <rFont val="Arial"/>
        <family val="2"/>
      </rPr>
      <t>F</t>
    </r>
  </si>
  <si>
    <t>Ilsat</t>
  </si>
  <si>
    <r>
      <t>C</t>
    </r>
    <r>
      <rPr>
        <vertAlign val="subscript"/>
        <sz val="10"/>
        <rFont val="Arial"/>
        <family val="2"/>
      </rPr>
      <t>VCC</t>
    </r>
  </si>
  <si>
    <r>
      <t>C</t>
    </r>
    <r>
      <rPr>
        <vertAlign val="subscript"/>
        <sz val="10"/>
        <rFont val="Arial"/>
        <family val="2"/>
      </rPr>
      <t>BOOT</t>
    </r>
  </si>
  <si>
    <r>
      <t>R</t>
    </r>
    <r>
      <rPr>
        <vertAlign val="subscript"/>
        <sz val="10"/>
        <rFont val="Arial"/>
        <family val="2"/>
      </rPr>
      <t>ILIM</t>
    </r>
  </si>
  <si>
    <r>
      <t>R</t>
    </r>
    <r>
      <rPr>
        <vertAlign val="subscript"/>
        <sz val="10"/>
        <rFont val="Arial"/>
        <family val="2"/>
      </rPr>
      <t>RT</t>
    </r>
  </si>
  <si>
    <t>DC Current Limit Setpoint</t>
  </si>
  <si>
    <t xml:space="preserve">     kHz</t>
  </si>
  <si>
    <t>Step 6: Soft-start, UVLO</t>
  </si>
  <si>
    <t>Input Voltage UVLO Turn-On</t>
  </si>
  <si>
    <t>Input Voltage UVLO Turn-Off</t>
  </si>
  <si>
    <r>
      <t>Soft-Start Time, t</t>
    </r>
    <r>
      <rPr>
        <b/>
        <vertAlign val="subscript"/>
        <sz val="10"/>
        <color theme="1"/>
        <rFont val="Arial"/>
        <family val="2"/>
      </rPr>
      <t>SS</t>
    </r>
    <r>
      <rPr>
        <b/>
        <sz val="10"/>
        <color theme="1"/>
        <rFont val="Arial"/>
        <family val="2"/>
      </rPr>
      <t xml:space="preserve"> </t>
    </r>
  </si>
  <si>
    <r>
      <t>Soft-Start Capacitance, C</t>
    </r>
    <r>
      <rPr>
        <vertAlign val="subscript"/>
        <sz val="10"/>
        <rFont val="Arial"/>
        <family val="2"/>
      </rPr>
      <t>SS</t>
    </r>
    <r>
      <rPr>
        <sz val="10"/>
        <rFont val="Arial"/>
        <family val="2"/>
      </rPr>
      <t xml:space="preserve"> </t>
    </r>
  </si>
  <si>
    <t>Vcc</t>
  </si>
  <si>
    <t>Shunt</t>
  </si>
  <si>
    <t>Shunt Loss (if applicable)</t>
  </si>
  <si>
    <r>
      <t>m</t>
    </r>
    <r>
      <rPr>
        <sz val="10"/>
        <rFont val="Symbol"/>
        <family val="1"/>
        <charset val="2"/>
      </rPr>
      <t>W</t>
    </r>
  </si>
  <si>
    <t>ppm/°C</t>
  </si>
  <si>
    <t>Subregulated VCC rail</t>
  </si>
  <si>
    <r>
      <t>Free-running Switching Frequency, F</t>
    </r>
    <r>
      <rPr>
        <b/>
        <vertAlign val="subscript"/>
        <sz val="10"/>
        <color theme="1"/>
        <rFont val="Arial"/>
        <family val="2"/>
      </rPr>
      <t>SW</t>
    </r>
  </si>
  <si>
    <r>
      <t>SYNC Frequency (if used), F</t>
    </r>
    <r>
      <rPr>
        <b/>
        <vertAlign val="subscript"/>
        <sz val="10"/>
        <color theme="1"/>
        <rFont val="Arial"/>
        <family val="2"/>
      </rPr>
      <t>SW-SYNC</t>
    </r>
  </si>
  <si>
    <t>VQFN-20</t>
  </si>
  <si>
    <t>6.3V</t>
  </si>
  <si>
    <t>Vout&lt;=8V</t>
  </si>
  <si>
    <t>10V</t>
  </si>
  <si>
    <t>Vout&lt;=12V</t>
  </si>
  <si>
    <t>16V</t>
  </si>
  <si>
    <t>Vout&lt;=20V</t>
  </si>
  <si>
    <t>25V</t>
  </si>
  <si>
    <t>50V</t>
  </si>
  <si>
    <t>Cout Voltage Rating</t>
  </si>
  <si>
    <t>0402</t>
  </si>
  <si>
    <t>1.0 x 0.5</t>
  </si>
  <si>
    <t>1.6 x 0.8</t>
  </si>
  <si>
    <t>0805</t>
  </si>
  <si>
    <t>2.0 x 1.25</t>
  </si>
  <si>
    <t>1206</t>
  </si>
  <si>
    <t>3.2 x 1.6</t>
  </si>
  <si>
    <t>1210</t>
  </si>
  <si>
    <t>3.2 x 2.5</t>
  </si>
  <si>
    <t>Component Size</t>
  </si>
  <si>
    <t>3mm x 3mm</t>
  </si>
  <si>
    <t>3.0 x 3.0</t>
  </si>
  <si>
    <t>4mm x 4mm</t>
  </si>
  <si>
    <t>4.0 x 4.0</t>
  </si>
  <si>
    <t>5mm x 5mm</t>
  </si>
  <si>
    <t>5.0 x 5.0</t>
  </si>
  <si>
    <t>6mm x 6mm</t>
  </si>
  <si>
    <t>6.0 x 6.0</t>
  </si>
  <si>
    <t>7mm x 7mm</t>
  </si>
  <si>
    <t>7.0 x 7.0</t>
  </si>
  <si>
    <t>Inductor Size</t>
  </si>
  <si>
    <t>Vout&lt;=42V</t>
  </si>
  <si>
    <t>Vout&lt;60V</t>
  </si>
  <si>
    <t>100V</t>
  </si>
  <si>
    <t>Current Sensing</t>
  </si>
  <si>
    <t>MOSFET package</t>
  </si>
  <si>
    <t>8mm x 8mm</t>
  </si>
  <si>
    <t>8.0 x 8.0</t>
  </si>
  <si>
    <t>10mm x 10mm</t>
  </si>
  <si>
    <t>10.0 x 10.0</t>
  </si>
  <si>
    <t>12mm x 12mm</t>
  </si>
  <si>
    <t>12.0 x 12.0</t>
  </si>
  <si>
    <t>Cin Voltage Rating</t>
  </si>
  <si>
    <t>Vin(max)&lt;=8V</t>
  </si>
  <si>
    <t>Vin(max)&lt;=12V</t>
  </si>
  <si>
    <t>Vin(max)&lt;=20V</t>
  </si>
  <si>
    <t>Vin(max)&lt;=42V</t>
  </si>
  <si>
    <t>Vin(max)&lt;100V</t>
  </si>
  <si>
    <t>Footprint (mm)</t>
  </si>
  <si>
    <r>
      <t>Area (mm</t>
    </r>
    <r>
      <rPr>
        <b/>
        <vertAlign val="superscript"/>
        <sz val="10"/>
        <color theme="0"/>
        <rFont val="Arial"/>
        <family val="2"/>
      </rPr>
      <t>2</t>
    </r>
    <r>
      <rPr>
        <b/>
        <sz val="10"/>
        <color theme="0"/>
        <rFont val="Arial"/>
        <family val="2"/>
      </rPr>
      <t>)</t>
    </r>
  </si>
  <si>
    <t>Total Solution Size (buffered by 25%)</t>
  </si>
  <si>
    <r>
      <t>mm</t>
    </r>
    <r>
      <rPr>
        <b/>
        <vertAlign val="superscript"/>
        <sz val="12"/>
        <color rgb="FFFF0000"/>
        <rFont val="Arial"/>
        <family val="2"/>
      </rPr>
      <t>2</t>
    </r>
    <r>
      <rPr>
        <b/>
        <sz val="12"/>
        <color rgb="FFFF0000"/>
        <rFont val="Arial"/>
        <family val="2"/>
      </rPr>
      <t xml:space="preserve">  =</t>
    </r>
  </si>
  <si>
    <r>
      <t>in</t>
    </r>
    <r>
      <rPr>
        <b/>
        <vertAlign val="superscript"/>
        <sz val="12"/>
        <color rgb="FFFF0000"/>
        <rFont val="Arial"/>
        <family val="2"/>
      </rPr>
      <t>2</t>
    </r>
  </si>
  <si>
    <t>5.0 x 6.0</t>
  </si>
  <si>
    <t>3.3 x 3.3</t>
  </si>
  <si>
    <t>15.0 x 10.0</t>
  </si>
  <si>
    <t>SON 5 x 6</t>
  </si>
  <si>
    <t>SON 3 x 3</t>
  </si>
  <si>
    <t>DPAK, TO-252</t>
  </si>
  <si>
    <t>D2PAK, TO-263</t>
  </si>
  <si>
    <t>10.0 x 6.6</t>
  </si>
  <si>
    <t>Don_Vinmin</t>
  </si>
  <si>
    <t>Doff_Vinmin</t>
  </si>
  <si>
    <t>Don2_Vinmin</t>
  </si>
  <si>
    <t>Doff2_Vinmin</t>
  </si>
  <si>
    <t>Don2_Vinmax</t>
  </si>
  <si>
    <t>Doff2_Vinmax</t>
  </si>
  <si>
    <t>Toff at Vin-min</t>
  </si>
  <si>
    <t>Ton at Vin-max</t>
  </si>
  <si>
    <t>Full-load/high line efficiency</t>
  </si>
  <si>
    <t>Half-load/mid-line efficiency</t>
  </si>
  <si>
    <t>Vout_actual</t>
  </si>
  <si>
    <t>Actual VOUT</t>
  </si>
  <si>
    <t>** Tie SYNCIN to VCC and GND for CCM and DCM operation, respectively **</t>
  </si>
  <si>
    <t>Cilim</t>
  </si>
  <si>
    <t>Cilim_ideal</t>
  </si>
  <si>
    <t>&gt; specify shunt on schematic</t>
  </si>
  <si>
    <t>&gt; specify ILIM cap</t>
  </si>
  <si>
    <t>Choose cap for 6ns time constant</t>
  </si>
  <si>
    <t>Calculated Lower Feedback Resistor</t>
  </si>
  <si>
    <t>Lower Feedback Resistor</t>
  </si>
  <si>
    <r>
      <t>Actual Output Voltage, V</t>
    </r>
    <r>
      <rPr>
        <vertAlign val="subscript"/>
        <sz val="10"/>
        <color theme="1"/>
        <rFont val="Arial"/>
        <family val="2"/>
      </rPr>
      <t>OUT</t>
    </r>
    <r>
      <rPr>
        <sz val="10"/>
        <color theme="1"/>
        <rFont val="Arial"/>
        <family val="2"/>
      </rPr>
      <t xml:space="preserve"> </t>
    </r>
  </si>
  <si>
    <t>VIN_range</t>
  </si>
  <si>
    <r>
      <t>Wide V</t>
    </r>
    <r>
      <rPr>
        <b/>
        <vertAlign val="subscript"/>
        <sz val="16"/>
        <rFont val="Arial"/>
        <family val="2"/>
      </rPr>
      <t>IN</t>
    </r>
    <r>
      <rPr>
        <b/>
        <sz val="16"/>
        <rFont val="Arial"/>
        <family val="2"/>
      </rPr>
      <t>, High Efficiency Synchronous Buck Regulator BOM</t>
    </r>
  </si>
  <si>
    <t>Fsw_freerunning</t>
  </si>
  <si>
    <t>Free-running switching frequency</t>
  </si>
  <si>
    <r>
      <t xml:space="preserve">** Effective output capacitance should be appropriately </t>
    </r>
    <r>
      <rPr>
        <b/>
        <sz val="10"/>
        <rFont val="Arial"/>
        <family val="2"/>
      </rPr>
      <t>derated</t>
    </r>
    <r>
      <rPr>
        <sz val="10"/>
        <rFont val="Arial"/>
        <family val="2"/>
      </rPr>
      <t xml:space="preserve"> for applied voltage and temperature, particularly with </t>
    </r>
    <r>
      <rPr>
        <b/>
        <sz val="10"/>
        <rFont val="Arial"/>
        <family val="2"/>
      </rPr>
      <t>ceramics</t>
    </r>
    <r>
      <rPr>
        <sz val="10"/>
        <rFont val="Arial"/>
        <family val="2"/>
      </rPr>
      <t xml:space="preserve"> **</t>
    </r>
  </si>
  <si>
    <t>3.5 x 4.5 x 1.0</t>
  </si>
  <si>
    <t>Cout Capacitance</t>
  </si>
  <si>
    <t>Quantity: 1</t>
  </si>
  <si>
    <t>Quantity: 2</t>
  </si>
  <si>
    <r>
      <t>C</t>
    </r>
    <r>
      <rPr>
        <vertAlign val="subscript"/>
        <sz val="10"/>
        <rFont val="Arial"/>
        <family val="2"/>
      </rPr>
      <t>S</t>
    </r>
  </si>
  <si>
    <r>
      <t>Output Charge, Q</t>
    </r>
    <r>
      <rPr>
        <b/>
        <vertAlign val="subscript"/>
        <sz val="10"/>
        <rFont val="Arial"/>
        <family val="2"/>
      </rPr>
      <t>OSS</t>
    </r>
    <r>
      <rPr>
        <b/>
        <sz val="10"/>
        <rFont val="Arial"/>
        <family val="2"/>
      </rPr>
      <t xml:space="preserve"> </t>
    </r>
  </si>
  <si>
    <r>
      <rPr>
        <sz val="10"/>
        <rFont val="Symbol"/>
        <family val="1"/>
        <charset val="2"/>
      </rPr>
      <t>°</t>
    </r>
    <r>
      <rPr>
        <sz val="10"/>
        <rFont val="Arial"/>
        <family val="2"/>
      </rPr>
      <t>C</t>
    </r>
  </si>
  <si>
    <r>
      <rPr>
        <sz val="10"/>
        <rFont val="Symbol"/>
        <family val="1"/>
        <charset val="2"/>
      </rPr>
      <t>°</t>
    </r>
    <r>
      <rPr>
        <sz val="10"/>
        <rFont val="Arial"/>
        <family val="2"/>
      </rPr>
      <t>C/W</t>
    </r>
  </si>
  <si>
    <t>Gate to Source Charge</t>
  </si>
  <si>
    <t>QossBot</t>
  </si>
  <si>
    <t>Output Charge Of Bottom FET</t>
  </si>
  <si>
    <t>Gate Charge Of Bottom FET</t>
  </si>
  <si>
    <r>
      <t>Output Capacitance, C</t>
    </r>
    <r>
      <rPr>
        <b/>
        <vertAlign val="subscript"/>
        <sz val="10"/>
        <rFont val="Arial"/>
        <family val="2"/>
      </rPr>
      <t>OSS</t>
    </r>
    <r>
      <rPr>
        <b/>
        <sz val="10"/>
        <rFont val="Arial"/>
        <family val="2"/>
      </rPr>
      <t xml:space="preserve"> </t>
    </r>
  </si>
  <si>
    <t>Output Capacitance Of Bottom FET</t>
  </si>
  <si>
    <t>CossBot</t>
  </si>
  <si>
    <t>CossTop</t>
  </si>
  <si>
    <t>Output Capacitance of High-side FET</t>
  </si>
  <si>
    <t>Gate Resistance of High-side FET</t>
  </si>
  <si>
    <t>MOSFET Output Capacitance Loss</t>
  </si>
  <si>
    <t>Step 4: Output Capacitance</t>
  </si>
  <si>
    <t>Step 5: Input Capacitance</t>
  </si>
  <si>
    <t xml:space="preserve"> If the SYNC feature is not required, connect SYNCIN to GND</t>
  </si>
  <si>
    <t xml:space="preserve"> or VCC for DCM or CCM operation, respectively</t>
  </si>
  <si>
    <t xml:space="preserve"> Pole &amp; Zero Placement</t>
  </si>
  <si>
    <t>Antiparallel Schottky Diode (if applicable)</t>
  </si>
  <si>
    <r>
      <t>Total Output Capacitance (Derated), C</t>
    </r>
    <r>
      <rPr>
        <b/>
        <vertAlign val="subscript"/>
        <sz val="10"/>
        <rFont val="Arial"/>
        <family val="2"/>
      </rPr>
      <t>OUT</t>
    </r>
    <r>
      <rPr>
        <b/>
        <sz val="10"/>
        <rFont val="Arial"/>
        <family val="2"/>
      </rPr>
      <t xml:space="preserve"> </t>
    </r>
  </si>
  <si>
    <r>
      <t>Total Input Capacitance (Derated), C</t>
    </r>
    <r>
      <rPr>
        <b/>
        <vertAlign val="subscript"/>
        <sz val="10"/>
        <color theme="1"/>
        <rFont val="Arial"/>
        <family val="2"/>
      </rPr>
      <t>IN</t>
    </r>
    <r>
      <rPr>
        <b/>
        <sz val="10"/>
        <color theme="1"/>
        <rFont val="Arial"/>
        <family val="2"/>
      </rPr>
      <t xml:space="preserve"> </t>
    </r>
  </si>
  <si>
    <t>Vout&lt;5V</t>
  </si>
  <si>
    <t>SW node voltage at Q1 turn-on</t>
  </si>
  <si>
    <t>Peak Inductor Current</t>
  </si>
  <si>
    <t>Valley Inductor Current</t>
  </si>
  <si>
    <t>Transitional Loss (not including capacitive loss)</t>
  </si>
  <si>
    <t>** Specify Inductor Core Loss **</t>
  </si>
  <si>
    <t>Total Bottom FET Diss/Loss</t>
  </si>
  <si>
    <t>LM5146-Q1</t>
  </si>
  <si>
    <t>LM5146-Q1-EVM12V</t>
  </si>
  <si>
    <t>x</t>
  </si>
  <si>
    <t xml:space="preserve">                          LM(2)5145/46-Q1 DC-DC Controller Design Tool</t>
  </si>
  <si>
    <t xml:space="preserve"> LM(2)5145/6/-Q1 Quickstart Calculator</t>
  </si>
  <si>
    <t>VARIANT</t>
  </si>
  <si>
    <t>VIN-MAX</t>
  </si>
  <si>
    <t>VOUT-MAX</t>
  </si>
  <si>
    <t>LM5145</t>
  </si>
  <si>
    <t>LM5145-Q1</t>
  </si>
  <si>
    <t>LM25145</t>
  </si>
  <si>
    <t>LM5146</t>
  </si>
  <si>
    <t>VIN-MIN</t>
  </si>
  <si>
    <t>LM5145EVM-HD-20A PCB Layout</t>
  </si>
  <si>
    <t>Top</t>
  </si>
  <si>
    <t>Layer</t>
  </si>
  <si>
    <t>Layer 2</t>
  </si>
  <si>
    <t>Layer 3</t>
  </si>
  <si>
    <t>Bottom</t>
  </si>
  <si>
    <t>No External VCC</t>
  </si>
  <si>
    <t>Ext_VCC</t>
  </si>
  <si>
    <t>Step 9: IC Power Loss</t>
  </si>
  <si>
    <t>IC Power Dissipation</t>
  </si>
  <si>
    <t>IC Junction Temperature Rise (est)</t>
  </si>
  <si>
    <t>External VCC Applied</t>
  </si>
  <si>
    <r>
      <t>Gate-Source Plateau Voltage, V</t>
    </r>
    <r>
      <rPr>
        <b/>
        <vertAlign val="subscript"/>
        <sz val="10"/>
        <rFont val="Arial"/>
        <family val="2"/>
      </rPr>
      <t>GS(MP)</t>
    </r>
    <r>
      <rPr>
        <b/>
        <sz val="10"/>
        <rFont val="Arial"/>
        <family val="2"/>
      </rPr>
      <t xml:space="preserve"> </t>
    </r>
  </si>
  <si>
    <t>CSD18563Q5D</t>
  </si>
  <si>
    <r>
      <t>Estimate Core Loss at V</t>
    </r>
    <r>
      <rPr>
        <b/>
        <vertAlign val="subscript"/>
        <sz val="10"/>
        <rFont val="Arial"/>
        <family val="2"/>
      </rPr>
      <t>IN(nom)</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</si>
</sst>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76" formatCode="_(* #,##0.00_);_(* \(#,##0.00\);_(* &quot;-&quot;??_);_(@_)"/>
    <numFmt numFmtId="177" formatCode="0.00000"/>
    <numFmt numFmtId="178" formatCode="0.0000"/>
    <numFmt numFmtId="179" formatCode="0.000"/>
    <numFmt numFmtId="180" formatCode="0.0"/>
    <numFmt numFmtId="181" formatCode="0.000E+00"/>
    <numFmt numFmtId="182" formatCode="0.00000000"/>
    <numFmt numFmtId="183" formatCode="0.000000000"/>
    <numFmt numFmtId="184" formatCode="#0.0#"/>
    <numFmt numFmtId="185" formatCode="General&quot;nF&quot;"/>
    <numFmt numFmtId="186" formatCode="General&quot;k&quot;"/>
    <numFmt numFmtId="187" formatCode="General&quot;pF&quot;"/>
    <numFmt numFmtId="188" formatCode="General&quot;µF&quot;"/>
    <numFmt numFmtId="189" formatCode="General&quot;µH&quot;"/>
    <numFmt numFmtId="190" formatCode="&quot;MOSFET, N-CH, 100V, &quot;General&quot;mΩ&quot;"/>
    <numFmt numFmtId="191" formatCode="General&quot;mΩ&quot;"/>
    <numFmt numFmtId="192" formatCode="&quot;Capacitor, Ceramic, &quot;General&quot;pF, 50V, NP0, 5%&quot;"/>
    <numFmt numFmtId="193" formatCode="&quot;Capacitor, Ceramic, &quot;General&quot;pF, 16V, X7R, 10%&quot;"/>
    <numFmt numFmtId="194" formatCode="&quot;Capacitor, Ceramic, &quot;General&quot;µF, 25V, X7R, 20%&quot;"/>
    <numFmt numFmtId="195" formatCode="&quot;Capacitor, Ceramic, &quot;General&quot;nF, 16V, X7R, 10%&quot;"/>
    <numFmt numFmtId="196" formatCode="&quot;Capacitor, Ceramic, &quot;General&quot;µF, 50V, X7R, 20%&quot;"/>
    <numFmt numFmtId="197" formatCode="&quot;Resistor, Chip, &quot;General&quot;kΩ, 1/16W, 1%&quot;"/>
    <numFmt numFmtId="198" formatCode="&quot;Resistor, Chip, &quot;General&quot;Ω, 1/16W, 1%&quot;"/>
    <numFmt numFmtId="199" formatCode="&quot;Resistor, &quot;General&quot;mΩ, 1/4W, 1%&quot;"/>
    <numFmt numFmtId="200" formatCode="&quot;MOSFET, N-CH, 80V/100V, &quot;General&quot;mΩ&quot;"/>
  </numFmts>
  <fonts count="107" x14ac:knownFonts="1">
    <font>
      <sz val="10"/>
      <name val="Arial"/>
    </font>
    <font>
      <sz val="11"/>
      <color theme="1"/>
      <name val="ＭＳ Ｐゴシック"/>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b/>
      <sz val="20"/>
      <color indexed="44"/>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sz val="10"/>
      <color indexed="8"/>
      <name val="Arial"/>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u/>
      <sz val="10"/>
      <color indexed="10"/>
      <name val="Arial"/>
      <family val="2"/>
    </font>
    <font>
      <sz val="10"/>
      <color indexed="56"/>
      <name val="Calibri"/>
      <family val="2"/>
    </font>
    <font>
      <sz val="10"/>
      <color indexed="8"/>
      <name val="Arial"/>
      <family val="2"/>
    </font>
    <font>
      <b/>
      <sz val="14"/>
      <color indexed="9"/>
      <name val="Calibri"/>
      <family val="2"/>
    </font>
    <font>
      <sz val="11"/>
      <color indexed="81"/>
      <name val="Tahoma"/>
      <family val="2"/>
    </font>
    <font>
      <b/>
      <i/>
      <sz val="14"/>
      <color indexed="12"/>
      <name val="Calibri"/>
      <family val="2"/>
    </font>
    <font>
      <b/>
      <sz val="8"/>
      <color indexed="81"/>
      <name val="Tahoma"/>
      <family val="2"/>
    </font>
    <font>
      <b/>
      <sz val="9"/>
      <color indexed="81"/>
      <name val="Tahoma"/>
      <family val="2"/>
    </font>
    <font>
      <sz val="8"/>
      <color indexed="81"/>
      <name val="Tahoma"/>
      <family val="2"/>
    </font>
    <font>
      <b/>
      <sz val="10"/>
      <color indexed="81"/>
      <name val="Tahoma"/>
      <family val="2"/>
    </font>
    <font>
      <sz val="9"/>
      <color indexed="81"/>
      <name val="Tahoma"/>
      <family val="2"/>
    </font>
    <font>
      <b/>
      <u/>
      <sz val="8"/>
      <color indexed="81"/>
      <name val="Tahoma"/>
      <family val="2"/>
    </font>
    <font>
      <b/>
      <u/>
      <sz val="9"/>
      <color indexed="81"/>
      <name val="Tahoma"/>
      <family val="2"/>
    </font>
    <font>
      <sz val="11"/>
      <color indexed="10"/>
      <name val="Tahoma"/>
      <family val="2"/>
    </font>
    <font>
      <b/>
      <sz val="11"/>
      <color indexed="10"/>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vertAlign val="subscript"/>
      <sz val="10"/>
      <color indexed="81"/>
      <name val="Tahoma"/>
      <family val="2"/>
    </font>
    <font>
      <vertAlign val="subscript"/>
      <sz val="10"/>
      <color indexed="81"/>
      <name val="Tahoma"/>
      <family val="2"/>
    </font>
    <font>
      <sz val="10"/>
      <color indexed="81"/>
      <name val="Calibri"/>
      <family val="2"/>
    </font>
    <font>
      <b/>
      <vertAlign val="subscript"/>
      <sz val="9"/>
      <color indexed="39"/>
      <name val="Tahoma"/>
      <family val="2"/>
    </font>
    <font>
      <b/>
      <vertAlign val="subscript"/>
      <sz val="9"/>
      <color indexed="10"/>
      <name val="Tahoma"/>
      <family val="2"/>
    </font>
    <font>
      <b/>
      <u/>
      <sz val="11"/>
      <color indexed="10"/>
      <name val="Tahoma"/>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b/>
      <i/>
      <sz val="10"/>
      <color indexed="23"/>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u/>
      <sz val="9"/>
      <color indexed="12"/>
      <name val="Tahoma"/>
      <family val="2"/>
    </font>
    <font>
      <u/>
      <sz val="10"/>
      <color theme="0" tint="-0.499984740745262"/>
      <name val="Arial"/>
      <family val="2"/>
    </font>
    <font>
      <b/>
      <vertAlign val="subscript"/>
      <sz val="12"/>
      <color indexed="12"/>
      <name val="Arial"/>
      <family val="2"/>
    </font>
    <font>
      <vertAlign val="subscript"/>
      <sz val="10"/>
      <color theme="1"/>
      <name val="Arial"/>
      <family val="2"/>
    </font>
    <font>
      <b/>
      <sz val="10"/>
      <color rgb="FFC00000"/>
      <name val="Arial"/>
      <family val="2"/>
    </font>
    <font>
      <b/>
      <vertAlign val="subscript"/>
      <sz val="16"/>
      <name val="Arial"/>
      <family val="2"/>
    </font>
    <font>
      <b/>
      <sz val="10"/>
      <color theme="0"/>
      <name val="Arial"/>
      <family val="2"/>
    </font>
    <font>
      <sz val="10"/>
      <color theme="0"/>
      <name val="Arial"/>
      <family val="2"/>
    </font>
    <font>
      <b/>
      <sz val="10"/>
      <color rgb="FF33CC33"/>
      <name val="Arial"/>
      <family val="2"/>
    </font>
    <font>
      <b/>
      <vertAlign val="superscript"/>
      <sz val="10"/>
      <color theme="0"/>
      <name val="Arial"/>
      <family val="2"/>
    </font>
    <font>
      <b/>
      <sz val="12"/>
      <color rgb="FFFF0000"/>
      <name val="Arial"/>
      <family val="2"/>
    </font>
    <font>
      <b/>
      <vertAlign val="superscript"/>
      <sz val="12"/>
      <color rgb="FFFF0000"/>
      <name val="Arial"/>
      <family val="2"/>
    </font>
    <font>
      <sz val="10"/>
      <color rgb="FFFF0000"/>
      <name val="Arial"/>
      <family val="2"/>
    </font>
    <font>
      <sz val="9"/>
      <name val="Arial"/>
      <family val="2"/>
    </font>
    <font>
      <b/>
      <sz val="12"/>
      <name val="Arial"/>
      <family val="2"/>
    </font>
    <font>
      <b/>
      <sz val="22"/>
      <color rgb="FFFF0000"/>
      <name val="Calibri"/>
      <family val="2"/>
    </font>
    <font>
      <sz val="10"/>
      <color rgb="FFFF0000"/>
      <name val="Calibri"/>
      <family val="2"/>
    </font>
    <font>
      <b/>
      <sz val="10"/>
      <color rgb="FFFF0000"/>
      <name val="Calibri"/>
      <family val="2"/>
    </font>
    <font>
      <b/>
      <sz val="22"/>
      <name val="Calibri"/>
      <family val="2"/>
    </font>
    <font>
      <u/>
      <sz val="10"/>
      <name val="Arial"/>
      <family val="2"/>
    </font>
    <font>
      <sz val="10"/>
      <color theme="0"/>
      <name val="Calibri"/>
      <family val="2"/>
    </font>
    <font>
      <b/>
      <sz val="12"/>
      <color theme="0"/>
      <name val="Calibri"/>
      <family val="2"/>
    </font>
    <font>
      <b/>
      <sz val="11"/>
      <color indexed="81"/>
      <name val="Tahoma"/>
      <family val="2"/>
    </font>
    <font>
      <b/>
      <sz val="9"/>
      <color rgb="FF000000"/>
      <name val="Arial"/>
      <family val="2"/>
    </font>
    <font>
      <sz val="36"/>
      <color rgb="FFFF0000"/>
      <name val="Arial"/>
      <family val="2"/>
    </font>
    <font>
      <sz val="16"/>
      <color theme="0"/>
      <name val="Arial"/>
      <family val="2"/>
    </font>
    <font>
      <sz val="28"/>
      <color theme="0"/>
      <name val="Arial"/>
      <family val="2"/>
    </font>
    <font>
      <sz val="10"/>
      <name val="Arial"/>
      <family val="2"/>
    </font>
    <font>
      <sz val="6"/>
      <name val="ＭＳ Ｐゴシック"/>
      <family val="3"/>
      <charset val="128"/>
    </font>
  </fonts>
  <fills count="26">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11"/>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indexed="23"/>
        <bgColor indexed="64"/>
      </patternFill>
    </fill>
    <fill>
      <patternFill patternType="solid">
        <fgColor indexed="53"/>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theme="0" tint="-0.499984740745262"/>
        <bgColor indexed="64"/>
      </patternFill>
    </fill>
  </fills>
  <borders count="6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auto="1"/>
      </left>
      <right/>
      <top/>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right style="thin">
        <color indexed="64"/>
      </right>
      <top/>
      <bottom/>
      <diagonal/>
    </border>
    <border>
      <left/>
      <right/>
      <top style="thin">
        <color indexed="64"/>
      </top>
      <bottom style="medium">
        <color indexed="64"/>
      </bottom>
      <diagonal/>
    </border>
  </borders>
  <cellStyleXfs count="6">
    <xf numFmtId="0" fontId="0" fillId="0" borderId="0"/>
    <xf numFmtId="0" fontId="11" fillId="0" borderId="0" applyNumberFormat="0" applyFill="0" applyBorder="0" applyAlignment="0" applyProtection="0">
      <alignment vertical="top"/>
      <protection locked="0"/>
    </xf>
    <xf numFmtId="0" fontId="2" fillId="0" borderId="0"/>
    <xf numFmtId="0" fontId="1" fillId="0" borderId="0"/>
    <xf numFmtId="176" fontId="1" fillId="0" borderId="0" applyFont="0" applyFill="0" applyBorder="0" applyAlignment="0" applyProtection="0"/>
    <xf numFmtId="176" fontId="105" fillId="0" borderId="0" applyFont="0" applyFill="0" applyBorder="0" applyAlignment="0" applyProtection="0"/>
  </cellStyleXfs>
  <cellXfs count="568">
    <xf numFmtId="0" fontId="0" fillId="0" borderId="0" xfId="0"/>
    <xf numFmtId="0" fontId="7" fillId="0" borderId="0" xfId="0" applyFont="1"/>
    <xf numFmtId="0" fontId="3" fillId="0" borderId="0" xfId="0" applyFont="1"/>
    <xf numFmtId="0" fontId="8" fillId="0" borderId="0" xfId="0" applyFont="1"/>
    <xf numFmtId="2" fontId="0" fillId="0" borderId="0" xfId="0" applyNumberFormat="1"/>
    <xf numFmtId="0" fontId="0" fillId="2" borderId="0" xfId="0" applyFill="1"/>
    <xf numFmtId="0" fontId="0" fillId="3" borderId="0" xfId="0" applyFill="1"/>
    <xf numFmtId="0" fontId="3" fillId="2" borderId="0" xfId="0" applyFont="1" applyFill="1"/>
    <xf numFmtId="0" fontId="12" fillId="2" borderId="0" xfId="0" applyFont="1" applyFill="1"/>
    <xf numFmtId="181" fontId="0" fillId="0" borderId="0" xfId="0" applyNumberFormat="1"/>
    <xf numFmtId="10" fontId="0" fillId="0" borderId="0" xfId="0" applyNumberFormat="1"/>
    <xf numFmtId="0" fontId="15" fillId="3" borderId="0" xfId="0" applyFont="1" applyFill="1" applyAlignment="1">
      <alignment horizontal="right"/>
    </xf>
    <xf numFmtId="0" fontId="15" fillId="3" borderId="0" xfId="0" applyFont="1" applyFill="1"/>
    <xf numFmtId="0" fontId="7" fillId="4" borderId="1" xfId="0" applyFont="1" applyFill="1" applyBorder="1"/>
    <xf numFmtId="0" fontId="7" fillId="4" borderId="2" xfId="0" applyFont="1" applyFill="1" applyBorder="1"/>
    <xf numFmtId="0" fontId="0" fillId="4" borderId="3" xfId="0" applyFill="1" applyBorder="1"/>
    <xf numFmtId="0" fontId="16" fillId="4" borderId="3" xfId="0" applyFont="1" applyFill="1" applyBorder="1"/>
    <xf numFmtId="181" fontId="7" fillId="4" borderId="2" xfId="0" applyNumberFormat="1" applyFont="1" applyFill="1" applyBorder="1" applyAlignment="1">
      <alignment horizontal="center"/>
    </xf>
    <xf numFmtId="0" fontId="0" fillId="4" borderId="2" xfId="0" applyFill="1" applyBorder="1"/>
    <xf numFmtId="0" fontId="17" fillId="3" borderId="4" xfId="0" applyFont="1" applyFill="1" applyBorder="1"/>
    <xf numFmtId="0" fontId="3" fillId="2" borderId="5" xfId="0" applyFont="1" applyFill="1" applyBorder="1" applyAlignment="1">
      <alignment horizontal="center" vertical="top" wrapText="1"/>
    </xf>
    <xf numFmtId="0" fontId="3" fillId="2" borderId="6" xfId="0" applyFont="1" applyFill="1" applyBorder="1" applyAlignment="1">
      <alignment horizontal="center" vertical="top" wrapText="1"/>
    </xf>
    <xf numFmtId="0" fontId="3" fillId="2" borderId="7" xfId="0" applyFont="1" applyFill="1" applyBorder="1" applyAlignment="1">
      <alignment horizontal="center" vertical="top" wrapText="1"/>
    </xf>
    <xf numFmtId="181" fontId="3" fillId="2" borderId="6" xfId="0" applyNumberFormat="1" applyFont="1" applyFill="1" applyBorder="1" applyAlignment="1">
      <alignment horizontal="center" vertical="top" wrapText="1"/>
    </xf>
    <xf numFmtId="0" fontId="3" fillId="5" borderId="8" xfId="0" applyFont="1" applyFill="1" applyBorder="1"/>
    <xf numFmtId="0" fontId="3" fillId="5" borderId="9" xfId="0" applyFont="1" applyFill="1" applyBorder="1"/>
    <xf numFmtId="0" fontId="3" fillId="5" borderId="10" xfId="0" applyFont="1" applyFill="1" applyBorder="1"/>
    <xf numFmtId="0" fontId="3" fillId="5" borderId="11" xfId="0" applyFont="1" applyFill="1" applyBorder="1"/>
    <xf numFmtId="0" fontId="8" fillId="0" borderId="0" xfId="0" applyFont="1" applyProtection="1">
      <protection locked="0"/>
    </xf>
    <xf numFmtId="0" fontId="0" fillId="0" borderId="0" xfId="0" applyProtection="1">
      <protection locked="0"/>
    </xf>
    <xf numFmtId="0" fontId="0" fillId="6" borderId="12" xfId="0" applyFill="1" applyBorder="1"/>
    <xf numFmtId="0" fontId="0" fillId="0" borderId="11" xfId="0" applyBorder="1"/>
    <xf numFmtId="0" fontId="0" fillId="6" borderId="11" xfId="0" applyFill="1" applyBorder="1"/>
    <xf numFmtId="0" fontId="0" fillId="4" borderId="11" xfId="0" applyFill="1" applyBorder="1"/>
    <xf numFmtId="0" fontId="3" fillId="5" borderId="0" xfId="0" applyFont="1" applyFill="1"/>
    <xf numFmtId="0" fontId="0" fillId="6" borderId="0" xfId="0" applyFill="1"/>
    <xf numFmtId="0" fontId="0" fillId="0" borderId="13" xfId="0" applyBorder="1"/>
    <xf numFmtId="0" fontId="8" fillId="2" borderId="0" xfId="0" applyFont="1" applyFill="1"/>
    <xf numFmtId="0" fontId="0" fillId="6" borderId="13" xfId="0" applyFill="1" applyBorder="1"/>
    <xf numFmtId="0" fontId="0" fillId="4" borderId="0" xfId="0" applyFill="1"/>
    <xf numFmtId="11" fontId="0" fillId="0" borderId="0" xfId="0" applyNumberFormat="1"/>
    <xf numFmtId="0" fontId="13" fillId="3" borderId="0" xfId="0" applyFont="1" applyFill="1"/>
    <xf numFmtId="0" fontId="0" fillId="4" borderId="12" xfId="0" applyFill="1" applyBorder="1"/>
    <xf numFmtId="0" fontId="0" fillId="4" borderId="14" xfId="0" applyFill="1" applyBorder="1"/>
    <xf numFmtId="0" fontId="3" fillId="4" borderId="11" xfId="0" applyFont="1" applyFill="1" applyBorder="1"/>
    <xf numFmtId="0" fontId="0" fillId="6" borderId="8" xfId="0" applyFill="1" applyBorder="1"/>
    <xf numFmtId="0" fontId="0" fillId="4" borderId="8" xfId="0" applyFill="1" applyBorder="1"/>
    <xf numFmtId="0" fontId="3" fillId="5" borderId="4" xfId="0" applyFont="1" applyFill="1" applyBorder="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0" fillId="9" borderId="0" xfId="0" applyFill="1"/>
    <xf numFmtId="0" fontId="0" fillId="11" borderId="0" xfId="0" applyFill="1"/>
    <xf numFmtId="0" fontId="0" fillId="0" borderId="0" xfId="0" applyAlignment="1">
      <alignment horizontal="right"/>
    </xf>
    <xf numFmtId="0" fontId="18" fillId="0" borderId="0" xfId="0" applyFont="1"/>
    <xf numFmtId="0" fontId="3" fillId="0" borderId="0" xfId="0" applyFont="1" applyAlignment="1">
      <alignment horizontal="center"/>
    </xf>
    <xf numFmtId="184" fontId="21" fillId="0" borderId="0" xfId="0" applyNumberFormat="1" applyFont="1" applyAlignment="1">
      <alignment horizontal="center"/>
    </xf>
    <xf numFmtId="184" fontId="8" fillId="0" borderId="0" xfId="0" applyNumberFormat="1" applyFont="1" applyAlignment="1">
      <alignment horizontal="center"/>
    </xf>
    <xf numFmtId="184" fontId="8" fillId="0" borderId="0" xfId="0" applyNumberFormat="1" applyFont="1" applyAlignment="1" applyProtection="1">
      <alignment horizontal="center"/>
      <protection locked="0"/>
    </xf>
    <xf numFmtId="11" fontId="7" fillId="0" borderId="0" xfId="0" applyNumberFormat="1" applyFont="1"/>
    <xf numFmtId="184" fontId="0" fillId="0" borderId="0" xfId="0" applyNumberFormat="1"/>
    <xf numFmtId="0" fontId="0" fillId="12" borderId="0" xfId="0" applyFill="1"/>
    <xf numFmtId="180" fontId="0" fillId="0" borderId="0" xfId="0" applyNumberFormat="1"/>
    <xf numFmtId="0" fontId="3" fillId="4" borderId="0" xfId="0" applyFont="1" applyFill="1" applyAlignment="1">
      <alignment horizontal="center"/>
    </xf>
    <xf numFmtId="0" fontId="3" fillId="13" borderId="0" xfId="0" applyFont="1" applyFill="1" applyAlignment="1">
      <alignment horizontal="center"/>
    </xf>
    <xf numFmtId="0" fontId="3" fillId="14" borderId="0" xfId="0" applyFont="1" applyFill="1" applyAlignment="1">
      <alignment horizontal="center"/>
    </xf>
    <xf numFmtId="181" fontId="7" fillId="4" borderId="1" xfId="0" applyNumberFormat="1" applyFont="1" applyFill="1" applyBorder="1" applyAlignment="1">
      <alignment horizontal="center"/>
    </xf>
    <xf numFmtId="0" fontId="0" fillId="4" borderId="18" xfId="0" applyFill="1" applyBorder="1"/>
    <xf numFmtId="0" fontId="7" fillId="4" borderId="3" xfId="0" applyFont="1" applyFill="1" applyBorder="1"/>
    <xf numFmtId="0" fontId="7" fillId="4" borderId="19" xfId="0" applyFont="1" applyFill="1" applyBorder="1" applyAlignment="1">
      <alignment horizontal="left"/>
    </xf>
    <xf numFmtId="0" fontId="7" fillId="4" borderId="20" xfId="0" applyFont="1" applyFill="1" applyBorder="1" applyAlignment="1">
      <alignment horizontal="left"/>
    </xf>
    <xf numFmtId="0" fontId="0" fillId="4" borderId="20" xfId="0" applyFill="1" applyBorder="1"/>
    <xf numFmtId="0" fontId="0" fillId="4" borderId="21" xfId="0" applyFill="1" applyBorder="1"/>
    <xf numFmtId="0" fontId="3" fillId="7" borderId="7" xfId="0" applyFont="1" applyFill="1" applyBorder="1" applyAlignment="1">
      <alignment horizontal="center" vertical="top" wrapText="1"/>
    </xf>
    <xf numFmtId="181" fontId="3" fillId="2" borderId="5" xfId="0" applyNumberFormat="1" applyFont="1" applyFill="1" applyBorder="1" applyAlignment="1">
      <alignment horizontal="center" vertical="top" wrapText="1"/>
    </xf>
    <xf numFmtId="0" fontId="3" fillId="2" borderId="22" xfId="0" applyFont="1" applyFill="1" applyBorder="1" applyAlignment="1">
      <alignment horizontal="center" vertical="top" wrapText="1"/>
    </xf>
    <xf numFmtId="0" fontId="3" fillId="7" borderId="23" xfId="0" applyFont="1" applyFill="1" applyBorder="1" applyAlignment="1">
      <alignment horizontal="center" vertical="top" wrapText="1"/>
    </xf>
    <xf numFmtId="0" fontId="3" fillId="7" borderId="24" xfId="0" applyFont="1" applyFill="1" applyBorder="1" applyAlignment="1">
      <alignment horizontal="center" vertical="top" wrapText="1"/>
    </xf>
    <xf numFmtId="0" fontId="3" fillId="2" borderId="25" xfId="0" applyFont="1" applyFill="1" applyBorder="1" applyAlignment="1">
      <alignment horizontal="center" vertical="top" wrapText="1"/>
    </xf>
    <xf numFmtId="0" fontId="3" fillId="2" borderId="26" xfId="0" applyFont="1" applyFill="1" applyBorder="1" applyAlignment="1">
      <alignment horizontal="center" vertical="top" wrapText="1"/>
    </xf>
    <xf numFmtId="0" fontId="3" fillId="2" borderId="27" xfId="0" applyFont="1" applyFill="1" applyBorder="1" applyAlignment="1">
      <alignment horizontal="center" vertical="top" wrapText="1"/>
    </xf>
    <xf numFmtId="0" fontId="3" fillId="7" borderId="28" xfId="0" applyFont="1" applyFill="1" applyBorder="1" applyAlignment="1">
      <alignment horizontal="center" vertical="top" wrapText="1"/>
    </xf>
    <xf numFmtId="0" fontId="3" fillId="15" borderId="5" xfId="0" applyFont="1" applyFill="1" applyBorder="1" applyAlignment="1">
      <alignment horizontal="center" vertical="top" wrapText="1"/>
    </xf>
    <xf numFmtId="2" fontId="3" fillId="15" borderId="6" xfId="0" applyNumberFormat="1" applyFont="1" applyFill="1" applyBorder="1" applyAlignment="1">
      <alignment horizontal="center" vertical="top" wrapText="1"/>
    </xf>
    <xf numFmtId="184" fontId="18" fillId="3" borderId="0" xfId="0" applyNumberFormat="1" applyFont="1" applyFill="1" applyAlignment="1">
      <alignment horizontal="center"/>
    </xf>
    <xf numFmtId="184" fontId="27" fillId="3" borderId="0" xfId="0" applyNumberFormat="1" applyFont="1" applyFill="1" applyAlignment="1">
      <alignment horizontal="center"/>
    </xf>
    <xf numFmtId="0" fontId="0" fillId="0" borderId="29" xfId="0" applyBorder="1"/>
    <xf numFmtId="0" fontId="0" fillId="0" borderId="30" xfId="0" applyBorder="1"/>
    <xf numFmtId="0" fontId="8" fillId="0" borderId="29" xfId="0" applyFont="1" applyBorder="1"/>
    <xf numFmtId="0" fontId="0" fillId="14" borderId="0" xfId="0" applyFill="1"/>
    <xf numFmtId="0" fontId="0" fillId="0" borderId="31" xfId="0" applyBorder="1"/>
    <xf numFmtId="0" fontId="0" fillId="0" borderId="32" xfId="0" applyBorder="1"/>
    <xf numFmtId="0" fontId="0" fillId="0" borderId="33" xfId="0" applyBorder="1"/>
    <xf numFmtId="0" fontId="0" fillId="0" borderId="2" xfId="0" applyBorder="1"/>
    <xf numFmtId="0" fontId="0" fillId="0" borderId="3" xfId="0" applyBorder="1"/>
    <xf numFmtId="0" fontId="7" fillId="0" borderId="29" xfId="0" applyFont="1" applyBorder="1"/>
    <xf numFmtId="0" fontId="7" fillId="13" borderId="0" xfId="0" applyFont="1" applyFill="1"/>
    <xf numFmtId="0" fontId="8" fillId="13" borderId="0" xfId="0" applyFont="1" applyFill="1"/>
    <xf numFmtId="0" fontId="3" fillId="0" borderId="29" xfId="0" applyFont="1" applyBorder="1"/>
    <xf numFmtId="0" fontId="3" fillId="0" borderId="31" xfId="0" applyFont="1" applyBorder="1"/>
    <xf numFmtId="0" fontId="7" fillId="13" borderId="32" xfId="0" applyFont="1" applyFill="1" applyBorder="1"/>
    <xf numFmtId="11" fontId="0" fillId="14" borderId="0" xfId="0" applyNumberFormat="1" applyFill="1"/>
    <xf numFmtId="0" fontId="0" fillId="13" borderId="0" xfId="0" applyFill="1"/>
    <xf numFmtId="1" fontId="3" fillId="13" borderId="0" xfId="0" applyNumberFormat="1" applyFont="1" applyFill="1" applyAlignment="1">
      <alignment horizontal="right"/>
    </xf>
    <xf numFmtId="0" fontId="3" fillId="13" borderId="0" xfId="0" applyFont="1" applyFill="1"/>
    <xf numFmtId="11" fontId="0" fillId="13" borderId="0" xfId="0" applyNumberFormat="1" applyFill="1"/>
    <xf numFmtId="180" fontId="0" fillId="13" borderId="32" xfId="0" applyNumberFormat="1" applyFill="1" applyBorder="1"/>
    <xf numFmtId="0" fontId="7" fillId="0" borderId="31" xfId="0" applyFont="1" applyBorder="1"/>
    <xf numFmtId="0" fontId="0" fillId="4" borderId="32" xfId="0" applyFill="1" applyBorder="1"/>
    <xf numFmtId="183" fontId="0" fillId="13" borderId="0" xfId="0" applyNumberFormat="1" applyFill="1"/>
    <xf numFmtId="0" fontId="0" fillId="0" borderId="32" xfId="0" applyBorder="1" applyAlignment="1">
      <alignment horizontal="right"/>
    </xf>
    <xf numFmtId="0" fontId="0" fillId="5" borderId="0" xfId="0" applyFill="1"/>
    <xf numFmtId="11" fontId="7" fillId="0" borderId="32" xfId="0" applyNumberFormat="1" applyFont="1" applyBorder="1"/>
    <xf numFmtId="11" fontId="0" fillId="4" borderId="0" xfId="0" applyNumberFormat="1" applyFill="1"/>
    <xf numFmtId="0" fontId="0" fillId="2" borderId="0" xfId="0" applyFill="1" applyProtection="1">
      <protection locked="0"/>
    </xf>
    <xf numFmtId="0" fontId="0" fillId="2" borderId="11" xfId="0" applyFill="1" applyBorder="1" applyProtection="1">
      <protection locked="0"/>
    </xf>
    <xf numFmtId="0" fontId="0" fillId="10" borderId="0" xfId="0" applyFill="1"/>
    <xf numFmtId="0" fontId="0" fillId="4" borderId="13" xfId="0" applyFill="1" applyBorder="1"/>
    <xf numFmtId="0" fontId="0" fillId="7" borderId="11" xfId="0" applyFill="1" applyBorder="1"/>
    <xf numFmtId="0" fontId="16" fillId="7" borderId="11" xfId="0" applyFont="1" applyFill="1" applyBorder="1"/>
    <xf numFmtId="0" fontId="8" fillId="7" borderId="11" xfId="0" applyFont="1" applyFill="1" applyBorder="1"/>
    <xf numFmtId="0" fontId="8" fillId="10" borderId="11" xfId="0" applyFont="1" applyFill="1" applyBorder="1"/>
    <xf numFmtId="0" fontId="18" fillId="3" borderId="0" xfId="0" applyFont="1" applyFill="1"/>
    <xf numFmtId="0" fontId="19" fillId="10" borderId="0" xfId="0" applyFont="1" applyFill="1"/>
    <xf numFmtId="0" fontId="18" fillId="10" borderId="0" xfId="0" applyFont="1" applyFill="1" applyAlignment="1">
      <alignment horizontal="right"/>
    </xf>
    <xf numFmtId="0" fontId="19" fillId="10" borderId="0" xfId="0" applyFont="1" applyFill="1" applyAlignment="1">
      <alignment horizontal="right"/>
    </xf>
    <xf numFmtId="0" fontId="18" fillId="10" borderId="0" xfId="0" applyFont="1" applyFill="1"/>
    <xf numFmtId="0" fontId="27" fillId="16" borderId="20" xfId="0" applyFont="1" applyFill="1" applyBorder="1"/>
    <xf numFmtId="0" fontId="27" fillId="16" borderId="21" xfId="0" applyFont="1" applyFill="1" applyBorder="1"/>
    <xf numFmtId="0" fontId="27" fillId="3" borderId="0" xfId="0" applyFont="1" applyFill="1"/>
    <xf numFmtId="0" fontId="18" fillId="10" borderId="0" xfId="0" applyFont="1" applyFill="1" applyAlignment="1">
      <alignment horizontal="center"/>
    </xf>
    <xf numFmtId="0" fontId="18" fillId="10" borderId="0" xfId="0" applyFont="1" applyFill="1" applyAlignment="1">
      <alignment horizontal="left"/>
    </xf>
    <xf numFmtId="0" fontId="23" fillId="0" borderId="0" xfId="0" applyFont="1"/>
    <xf numFmtId="0" fontId="0" fillId="0" borderId="1" xfId="0" applyBorder="1"/>
    <xf numFmtId="0" fontId="7" fillId="0" borderId="1" xfId="0" applyFont="1" applyBorder="1"/>
    <xf numFmtId="0" fontId="3" fillId="0" borderId="1" xfId="0" applyFont="1" applyBorder="1"/>
    <xf numFmtId="2" fontId="7" fillId="4" borderId="2" xfId="0" applyNumberFormat="1" applyFont="1" applyFill="1" applyBorder="1"/>
    <xf numFmtId="0" fontId="0" fillId="0" borderId="2" xfId="0" applyBorder="1" applyAlignment="1">
      <alignment horizontal="right"/>
    </xf>
    <xf numFmtId="0" fontId="24" fillId="0" borderId="0" xfId="0" applyFont="1"/>
    <xf numFmtId="0" fontId="0" fillId="17" borderId="0" xfId="0" applyFill="1"/>
    <xf numFmtId="2" fontId="0" fillId="18" borderId="0" xfId="0" applyNumberFormat="1" applyFill="1"/>
    <xf numFmtId="0" fontId="31" fillId="0" borderId="0" xfId="0" applyFont="1"/>
    <xf numFmtId="0" fontId="31" fillId="4" borderId="0" xfId="0" applyFont="1" applyFill="1"/>
    <xf numFmtId="0" fontId="23" fillId="0" borderId="39" xfId="0" applyFont="1" applyBorder="1"/>
    <xf numFmtId="0" fontId="0" fillId="0" borderId="34" xfId="0" applyBorder="1"/>
    <xf numFmtId="0" fontId="0" fillId="0" borderId="36" xfId="0" applyBorder="1"/>
    <xf numFmtId="0" fontId="8" fillId="0" borderId="40" xfId="0" applyFont="1" applyBorder="1"/>
    <xf numFmtId="0" fontId="0" fillId="0" borderId="37" xfId="0" applyBorder="1"/>
    <xf numFmtId="0" fontId="31" fillId="0" borderId="40" xfId="0" applyFont="1" applyBorder="1"/>
    <xf numFmtId="0" fontId="31" fillId="0" borderId="41" xfId="0" applyFont="1" applyBorder="1"/>
    <xf numFmtId="0" fontId="31" fillId="0" borderId="35" xfId="0" applyFont="1" applyBorder="1"/>
    <xf numFmtId="0" fontId="0" fillId="0" borderId="35" xfId="0" applyBorder="1"/>
    <xf numFmtId="0" fontId="0" fillId="0" borderId="38" xfId="0" applyBorder="1"/>
    <xf numFmtId="0" fontId="31" fillId="18" borderId="0" xfId="0" applyFont="1" applyFill="1"/>
    <xf numFmtId="0" fontId="0" fillId="18" borderId="0" xfId="0" applyFill="1"/>
    <xf numFmtId="0" fontId="31" fillId="18" borderId="35" xfId="0" applyFont="1" applyFill="1" applyBorder="1"/>
    <xf numFmtId="0" fontId="8" fillId="0" borderId="32" xfId="0" applyFont="1" applyBorder="1"/>
    <xf numFmtId="0" fontId="8" fillId="14" borderId="0" xfId="0" applyFont="1" applyFill="1"/>
    <xf numFmtId="0" fontId="18" fillId="10" borderId="30" xfId="0" applyFont="1" applyFill="1" applyBorder="1"/>
    <xf numFmtId="0" fontId="20" fillId="10" borderId="0" xfId="0" applyFont="1" applyFill="1"/>
    <xf numFmtId="2" fontId="18" fillId="10" borderId="0" xfId="0" applyNumberFormat="1" applyFont="1" applyFill="1"/>
    <xf numFmtId="179" fontId="18" fillId="10" borderId="0" xfId="0" applyNumberFormat="1" applyFont="1" applyFill="1"/>
    <xf numFmtId="182" fontId="18" fillId="10" borderId="0" xfId="0" applyNumberFormat="1" applyFont="1" applyFill="1"/>
    <xf numFmtId="178" fontId="18" fillId="10" borderId="0" xfId="0" applyNumberFormat="1" applyFont="1" applyFill="1"/>
    <xf numFmtId="2" fontId="7" fillId="4" borderId="0" xfId="0" applyNumberFormat="1" applyFont="1" applyFill="1"/>
    <xf numFmtId="180" fontId="0" fillId="13" borderId="0" xfId="0" applyNumberFormat="1" applyFill="1"/>
    <xf numFmtId="0" fontId="11" fillId="0" borderId="0" xfId="1" applyAlignment="1" applyProtection="1"/>
    <xf numFmtId="2" fontId="31" fillId="13" borderId="0" xfId="0" applyNumberFormat="1" applyFont="1" applyFill="1"/>
    <xf numFmtId="179" fontId="31" fillId="18" borderId="0" xfId="0" applyNumberFormat="1" applyFont="1" applyFill="1"/>
    <xf numFmtId="0" fontId="18" fillId="19" borderId="0" xfId="0" applyFont="1" applyFill="1"/>
    <xf numFmtId="0" fontId="2" fillId="0" borderId="0" xfId="0" applyFont="1"/>
    <xf numFmtId="2" fontId="2" fillId="0" borderId="0" xfId="0" quotePrefix="1" applyNumberFormat="1" applyFont="1"/>
    <xf numFmtId="0" fontId="0" fillId="0" borderId="0" xfId="0" applyAlignment="1">
      <alignment horizontal="left"/>
    </xf>
    <xf numFmtId="0" fontId="2" fillId="0" borderId="2" xfId="0" applyFont="1" applyBorder="1"/>
    <xf numFmtId="0" fontId="2" fillId="0" borderId="32" xfId="0" applyFont="1" applyBorder="1"/>
    <xf numFmtId="0" fontId="34" fillId="10" borderId="0" xfId="0" applyFont="1" applyFill="1"/>
    <xf numFmtId="0" fontId="22" fillId="22" borderId="0" xfId="0" applyFont="1" applyFill="1" applyAlignment="1">
      <alignment vertical="center"/>
    </xf>
    <xf numFmtId="0" fontId="0" fillId="21" borderId="0" xfId="0" applyFill="1"/>
    <xf numFmtId="0" fontId="25" fillId="10" borderId="0" xfId="0" applyFont="1" applyFill="1" applyAlignment="1">
      <alignment horizontal="right"/>
    </xf>
    <xf numFmtId="0" fontId="3" fillId="10" borderId="0" xfId="0" applyFont="1" applyFill="1" applyAlignment="1">
      <alignment horizontal="right"/>
    </xf>
    <xf numFmtId="0" fontId="2" fillId="10" borderId="0" xfId="0" applyFont="1" applyFill="1" applyAlignment="1">
      <alignment horizontal="right"/>
    </xf>
    <xf numFmtId="0" fontId="2" fillId="10" borderId="32" xfId="0" applyFont="1" applyFill="1" applyBorder="1" applyAlignment="1">
      <alignment horizontal="right"/>
    </xf>
    <xf numFmtId="0" fontId="2" fillId="10" borderId="29" xfId="0" applyFont="1" applyFill="1" applyBorder="1"/>
    <xf numFmtId="0" fontId="2" fillId="10" borderId="0" xfId="0" applyFont="1" applyFill="1"/>
    <xf numFmtId="0" fontId="3" fillId="22" borderId="0" xfId="0" applyFont="1" applyFill="1" applyProtection="1">
      <protection locked="0"/>
    </xf>
    <xf numFmtId="0" fontId="58" fillId="10" borderId="0" xfId="0" applyFont="1" applyFill="1"/>
    <xf numFmtId="1" fontId="3" fillId="22" borderId="0" xfId="0" applyNumberFormat="1" applyFont="1" applyFill="1" applyProtection="1">
      <protection locked="0"/>
    </xf>
    <xf numFmtId="0" fontId="59" fillId="10" borderId="0" xfId="0" applyFont="1" applyFill="1"/>
    <xf numFmtId="0" fontId="6" fillId="10" borderId="0" xfId="0" applyFont="1" applyFill="1" applyAlignment="1">
      <alignment horizontal="right"/>
    </xf>
    <xf numFmtId="0" fontId="57" fillId="10" borderId="0" xfId="0" applyFont="1" applyFill="1"/>
    <xf numFmtId="0" fontId="60" fillId="10" borderId="0" xfId="0" applyFont="1" applyFill="1"/>
    <xf numFmtId="0" fontId="3" fillId="10" borderId="0" xfId="0" applyFont="1" applyFill="1"/>
    <xf numFmtId="180" fontId="3" fillId="10" borderId="0" xfId="0" applyNumberFormat="1" applyFont="1" applyFill="1"/>
    <xf numFmtId="0" fontId="2" fillId="19" borderId="0" xfId="0" applyFont="1" applyFill="1"/>
    <xf numFmtId="0" fontId="3" fillId="10" borderId="29" xfId="0" applyFont="1" applyFill="1" applyBorder="1"/>
    <xf numFmtId="0" fontId="60" fillId="19" borderId="0" xfId="0" applyFont="1" applyFill="1"/>
    <xf numFmtId="1" fontId="57" fillId="10" borderId="0" xfId="0" applyNumberFormat="1" applyFont="1" applyFill="1" applyAlignment="1">
      <alignment horizontal="right"/>
    </xf>
    <xf numFmtId="0" fontId="62" fillId="16" borderId="20" xfId="0" applyFont="1" applyFill="1" applyBorder="1"/>
    <xf numFmtId="0" fontId="60" fillId="10" borderId="0" xfId="0" applyFont="1" applyFill="1" applyAlignment="1">
      <alignment vertical="center"/>
    </xf>
    <xf numFmtId="0" fontId="7" fillId="10" borderId="0" xfId="0" applyFont="1" applyFill="1" applyAlignment="1">
      <alignment horizontal="right"/>
    </xf>
    <xf numFmtId="180" fontId="7" fillId="10" borderId="0" xfId="0" applyNumberFormat="1" applyFont="1" applyFill="1"/>
    <xf numFmtId="0" fontId="7" fillId="10" borderId="0" xfId="0" applyFont="1" applyFill="1"/>
    <xf numFmtId="180" fontId="3" fillId="19" borderId="0" xfId="0" applyNumberFormat="1" applyFont="1" applyFill="1" applyAlignment="1">
      <alignment horizontal="right" vertical="center"/>
    </xf>
    <xf numFmtId="180" fontId="2" fillId="19" borderId="0" xfId="0" applyNumberFormat="1" applyFont="1" applyFill="1" applyAlignment="1">
      <alignment horizontal="right"/>
    </xf>
    <xf numFmtId="0" fontId="2" fillId="19" borderId="0" xfId="0" applyFont="1" applyFill="1" applyAlignment="1">
      <alignment horizontal="left"/>
    </xf>
    <xf numFmtId="1" fontId="3" fillId="19" borderId="0" xfId="0" applyNumberFormat="1" applyFont="1" applyFill="1" applyAlignment="1">
      <alignment horizontal="right" vertical="center"/>
    </xf>
    <xf numFmtId="1" fontId="2" fillId="19" borderId="0" xfId="0" applyNumberFormat="1" applyFont="1" applyFill="1" applyAlignment="1">
      <alignment horizontal="right"/>
    </xf>
    <xf numFmtId="1" fontId="3" fillId="19" borderId="0" xfId="0" applyNumberFormat="1" applyFont="1" applyFill="1" applyAlignment="1" applyProtection="1">
      <alignment horizontal="right" vertical="center"/>
      <protection locked="0" hidden="1"/>
    </xf>
    <xf numFmtId="0" fontId="3" fillId="10" borderId="0" xfId="0" applyFont="1" applyFill="1" applyAlignment="1">
      <alignment horizontal="left"/>
    </xf>
    <xf numFmtId="0" fontId="63" fillId="10" borderId="0" xfId="0" applyFont="1" applyFill="1"/>
    <xf numFmtId="0" fontId="2" fillId="10" borderId="0" xfId="0" applyFont="1" applyFill="1" applyAlignment="1">
      <alignment horizontal="left"/>
    </xf>
    <xf numFmtId="0" fontId="61" fillId="22" borderId="0" xfId="0" applyFont="1" applyFill="1" applyAlignment="1" applyProtection="1">
      <alignment horizontal="right"/>
      <protection locked="0" hidden="1"/>
    </xf>
    <xf numFmtId="0" fontId="65" fillId="16" borderId="20" xfId="0" applyFont="1" applyFill="1" applyBorder="1"/>
    <xf numFmtId="0" fontId="24" fillId="10" borderId="29" xfId="0" applyFont="1" applyFill="1" applyBorder="1"/>
    <xf numFmtId="2" fontId="2" fillId="10" borderId="0" xfId="0" applyNumberFormat="1" applyFont="1" applyFill="1"/>
    <xf numFmtId="180" fontId="2" fillId="10" borderId="0" xfId="0" applyNumberFormat="1" applyFont="1" applyFill="1"/>
    <xf numFmtId="1" fontId="2" fillId="10" borderId="0" xfId="0" applyNumberFormat="1" applyFont="1" applyFill="1"/>
    <xf numFmtId="1" fontId="2" fillId="10" borderId="0" xfId="0" applyNumberFormat="1" applyFont="1" applyFill="1" applyAlignment="1">
      <alignment horizontal="right"/>
    </xf>
    <xf numFmtId="0" fontId="67" fillId="10" borderId="0" xfId="0" applyFont="1" applyFill="1" applyAlignment="1">
      <alignment horizontal="right"/>
    </xf>
    <xf numFmtId="1" fontId="67" fillId="22" borderId="0" xfId="0" applyNumberFormat="1" applyFont="1" applyFill="1" applyAlignment="1" applyProtection="1">
      <alignment horizontal="right"/>
      <protection locked="0"/>
    </xf>
    <xf numFmtId="0" fontId="67" fillId="22" borderId="0" xfId="0" applyFont="1" applyFill="1" applyProtection="1">
      <protection locked="0"/>
    </xf>
    <xf numFmtId="180" fontId="67" fillId="22" borderId="0" xfId="0" applyNumberFormat="1" applyFont="1" applyFill="1" applyAlignment="1" applyProtection="1">
      <alignment horizontal="right" vertical="center"/>
      <protection locked="0" hidden="1"/>
    </xf>
    <xf numFmtId="1" fontId="67" fillId="22" borderId="0" xfId="0" applyNumberFormat="1" applyFont="1" applyFill="1" applyAlignment="1" applyProtection="1">
      <alignment horizontal="right" vertical="center"/>
      <protection locked="0" hidden="1"/>
    </xf>
    <xf numFmtId="0" fontId="2" fillId="10" borderId="2" xfId="0" applyFont="1" applyFill="1" applyBorder="1"/>
    <xf numFmtId="0" fontId="2" fillId="10" borderId="2" xfId="0" applyFont="1" applyFill="1" applyBorder="1" applyAlignment="1">
      <alignment horizontal="right"/>
    </xf>
    <xf numFmtId="0" fontId="67" fillId="10" borderId="2" xfId="0" applyFont="1" applyFill="1" applyBorder="1" applyAlignment="1">
      <alignment horizontal="right"/>
    </xf>
    <xf numFmtId="0" fontId="3" fillId="22" borderId="2" xfId="0" applyFont="1" applyFill="1" applyBorder="1" applyProtection="1">
      <protection locked="0"/>
    </xf>
    <xf numFmtId="0" fontId="3" fillId="10" borderId="3" xfId="0" applyFont="1" applyFill="1" applyBorder="1"/>
    <xf numFmtId="0" fontId="3" fillId="10" borderId="30" xfId="0" applyFont="1" applyFill="1" applyBorder="1"/>
    <xf numFmtId="0" fontId="2" fillId="10" borderId="31" xfId="0" applyFont="1" applyFill="1" applyBorder="1"/>
    <xf numFmtId="0" fontId="2" fillId="10" borderId="32" xfId="0" applyFont="1" applyFill="1" applyBorder="1"/>
    <xf numFmtId="0" fontId="2" fillId="10" borderId="33" xfId="0" applyFont="1" applyFill="1" applyBorder="1"/>
    <xf numFmtId="0" fontId="2" fillId="10" borderId="3" xfId="0" applyFont="1" applyFill="1" applyBorder="1"/>
    <xf numFmtId="0" fontId="2" fillId="10" borderId="30" xfId="0" applyFont="1" applyFill="1" applyBorder="1"/>
    <xf numFmtId="180" fontId="2" fillId="10" borderId="32" xfId="0" applyNumberFormat="1" applyFont="1" applyFill="1" applyBorder="1"/>
    <xf numFmtId="0" fontId="3" fillId="10" borderId="2" xfId="0" applyFont="1" applyFill="1" applyBorder="1"/>
    <xf numFmtId="0" fontId="3" fillId="10" borderId="2" xfId="0" applyFont="1" applyFill="1" applyBorder="1" applyAlignment="1">
      <alignment horizontal="right"/>
    </xf>
    <xf numFmtId="1" fontId="3" fillId="22" borderId="2" xfId="0" applyNumberFormat="1" applyFont="1" applyFill="1" applyBorder="1" applyProtection="1">
      <protection locked="0"/>
    </xf>
    <xf numFmtId="0" fontId="67" fillId="19" borderId="2" xfId="0" applyFont="1" applyFill="1" applyBorder="1" applyAlignment="1">
      <alignment horizontal="right"/>
    </xf>
    <xf numFmtId="0" fontId="3" fillId="10" borderId="30" xfId="0" applyFont="1" applyFill="1" applyBorder="1" applyAlignment="1">
      <alignment horizontal="left"/>
    </xf>
    <xf numFmtId="180" fontId="2" fillId="10" borderId="2" xfId="0" applyNumberFormat="1" applyFont="1" applyFill="1" applyBorder="1"/>
    <xf numFmtId="0" fontId="2" fillId="19" borderId="42" xfId="0" applyFont="1" applyFill="1" applyBorder="1" applyAlignment="1">
      <alignment horizontal="left"/>
    </xf>
    <xf numFmtId="0" fontId="61" fillId="22" borderId="42" xfId="0" applyFont="1" applyFill="1" applyBorder="1" applyAlignment="1" applyProtection="1">
      <alignment horizontal="right"/>
      <protection locked="0" hidden="1"/>
    </xf>
    <xf numFmtId="0" fontId="61" fillId="10" borderId="43" xfId="0" applyFont="1" applyFill="1" applyBorder="1" applyAlignment="1">
      <alignment horizontal="left"/>
    </xf>
    <xf numFmtId="0" fontId="61" fillId="10" borderId="30" xfId="0" applyFont="1" applyFill="1" applyBorder="1" applyAlignment="1">
      <alignment horizontal="left"/>
    </xf>
    <xf numFmtId="180" fontId="3" fillId="10" borderId="44" xfId="0" applyNumberFormat="1" applyFont="1" applyFill="1" applyBorder="1" applyAlignment="1">
      <alignment horizontal="right"/>
    </xf>
    <xf numFmtId="180" fontId="3" fillId="10" borderId="29" xfId="0" applyNumberFormat="1" applyFont="1" applyFill="1" applyBorder="1" applyAlignment="1">
      <alignment horizontal="right"/>
    </xf>
    <xf numFmtId="0" fontId="3" fillId="10" borderId="44" xfId="0" applyFont="1" applyFill="1" applyBorder="1" applyAlignment="1">
      <alignment horizontal="center"/>
    </xf>
    <xf numFmtId="0" fontId="3" fillId="10" borderId="29" xfId="0" applyFont="1" applyFill="1" applyBorder="1" applyAlignment="1">
      <alignment horizontal="center"/>
    </xf>
    <xf numFmtId="0" fontId="3" fillId="10" borderId="44" xfId="0" applyFont="1" applyFill="1" applyBorder="1"/>
    <xf numFmtId="0" fontId="3" fillId="10" borderId="42" xfId="0" applyFont="1" applyFill="1" applyBorder="1"/>
    <xf numFmtId="0" fontId="2" fillId="10" borderId="42" xfId="0" applyFont="1" applyFill="1" applyBorder="1"/>
    <xf numFmtId="0" fontId="2" fillId="10" borderId="43" xfId="0" applyFont="1" applyFill="1" applyBorder="1"/>
    <xf numFmtId="0" fontId="2" fillId="10" borderId="42" xfId="0" applyFont="1" applyFill="1" applyBorder="1" applyAlignment="1">
      <alignment vertical="center"/>
    </xf>
    <xf numFmtId="0" fontId="2" fillId="10" borderId="46" xfId="0" applyFont="1" applyFill="1" applyBorder="1"/>
    <xf numFmtId="0" fontId="3" fillId="10" borderId="46" xfId="0" applyFont="1" applyFill="1" applyBorder="1" applyAlignment="1">
      <alignment horizontal="right"/>
    </xf>
    <xf numFmtId="0" fontId="2" fillId="10" borderId="47" xfId="0" applyFont="1" applyFill="1" applyBorder="1"/>
    <xf numFmtId="0" fontId="2" fillId="19" borderId="46" xfId="0" applyFont="1" applyFill="1" applyBorder="1" applyAlignment="1">
      <alignment horizontal="left"/>
    </xf>
    <xf numFmtId="0" fontId="61" fillId="22" borderId="46" xfId="0" applyFont="1" applyFill="1" applyBorder="1" applyAlignment="1" applyProtection="1">
      <alignment horizontal="right"/>
      <protection locked="0" hidden="1"/>
    </xf>
    <xf numFmtId="0" fontId="61" fillId="10" borderId="47" xfId="0" applyFont="1" applyFill="1" applyBorder="1" applyAlignment="1">
      <alignment horizontal="left"/>
    </xf>
    <xf numFmtId="0" fontId="64" fillId="10" borderId="45" xfId="0" applyFont="1" applyFill="1" applyBorder="1" applyAlignment="1">
      <alignment horizontal="left"/>
    </xf>
    <xf numFmtId="0" fontId="64" fillId="10" borderId="47" xfId="0" applyFont="1" applyFill="1" applyBorder="1"/>
    <xf numFmtId="0" fontId="3" fillId="10" borderId="43" xfId="0" applyFont="1" applyFill="1" applyBorder="1" applyAlignment="1">
      <alignment horizontal="left"/>
    </xf>
    <xf numFmtId="180" fontId="2" fillId="10" borderId="42" xfId="0" applyNumberFormat="1" applyFont="1" applyFill="1" applyBorder="1" applyAlignment="1">
      <alignment horizontal="left" vertical="center"/>
    </xf>
    <xf numFmtId="1" fontId="2" fillId="10" borderId="0" xfId="0" applyNumberFormat="1" applyFont="1" applyFill="1" applyAlignment="1">
      <alignment horizontal="left" vertical="center"/>
    </xf>
    <xf numFmtId="1" fontId="2" fillId="10" borderId="46" xfId="0" applyNumberFormat="1" applyFont="1" applyFill="1" applyBorder="1" applyAlignment="1">
      <alignment horizontal="left" vertical="center"/>
    </xf>
    <xf numFmtId="1" fontId="3" fillId="19" borderId="46" xfId="0" applyNumberFormat="1" applyFont="1" applyFill="1" applyBorder="1" applyAlignment="1">
      <alignment horizontal="right" vertical="center"/>
    </xf>
    <xf numFmtId="1" fontId="67" fillId="22" borderId="46" xfId="0" applyNumberFormat="1" applyFont="1" applyFill="1" applyBorder="1" applyAlignment="1" applyProtection="1">
      <alignment horizontal="right" vertical="center"/>
      <protection locked="0" hidden="1"/>
    </xf>
    <xf numFmtId="0" fontId="3" fillId="10" borderId="47" xfId="0" applyFont="1" applyFill="1" applyBorder="1" applyAlignment="1">
      <alignment horizontal="left"/>
    </xf>
    <xf numFmtId="0" fontId="24" fillId="10" borderId="29" xfId="0" applyFont="1" applyFill="1" applyBorder="1" applyAlignment="1">
      <alignment vertical="center"/>
    </xf>
    <xf numFmtId="0" fontId="2" fillId="10" borderId="44" xfId="0" applyFont="1" applyFill="1" applyBorder="1"/>
    <xf numFmtId="0" fontId="2" fillId="19" borderId="29" xfId="0" applyFont="1" applyFill="1" applyBorder="1"/>
    <xf numFmtId="1" fontId="3" fillId="19" borderId="29" xfId="0" applyNumberFormat="1" applyFont="1" applyFill="1" applyBorder="1" applyAlignment="1">
      <alignment horizontal="right" vertical="center"/>
    </xf>
    <xf numFmtId="0" fontId="3" fillId="10" borderId="31" xfId="0" applyFont="1" applyFill="1" applyBorder="1" applyAlignment="1">
      <alignment horizontal="center"/>
    </xf>
    <xf numFmtId="0" fontId="62" fillId="16" borderId="48" xfId="0" applyFont="1" applyFill="1" applyBorder="1"/>
    <xf numFmtId="0" fontId="18" fillId="3" borderId="29" xfId="0" applyFont="1" applyFill="1" applyBorder="1"/>
    <xf numFmtId="0" fontId="18" fillId="19" borderId="29" xfId="0" applyFont="1" applyFill="1" applyBorder="1"/>
    <xf numFmtId="0" fontId="18" fillId="19" borderId="42" xfId="0" applyFont="1" applyFill="1" applyBorder="1"/>
    <xf numFmtId="0" fontId="18" fillId="19" borderId="31" xfId="0" applyFont="1" applyFill="1" applyBorder="1"/>
    <xf numFmtId="0" fontId="18" fillId="19" borderId="46" xfId="0" applyFont="1" applyFill="1" applyBorder="1"/>
    <xf numFmtId="180" fontId="3" fillId="19" borderId="42" xfId="0" applyNumberFormat="1" applyFont="1" applyFill="1" applyBorder="1" applyAlignment="1">
      <alignment horizontal="right" vertical="center"/>
    </xf>
    <xf numFmtId="180" fontId="67" fillId="22" borderId="42" xfId="0" applyNumberFormat="1" applyFont="1" applyFill="1" applyBorder="1" applyAlignment="1" applyProtection="1">
      <alignment horizontal="right" vertical="center"/>
      <protection locked="0" hidden="1"/>
    </xf>
    <xf numFmtId="0" fontId="2" fillId="19" borderId="0" xfId="0" applyFont="1" applyFill="1" applyAlignment="1" applyProtection="1">
      <alignment horizontal="right"/>
      <protection locked="0"/>
    </xf>
    <xf numFmtId="0" fontId="3" fillId="0" borderId="43" xfId="0" applyFont="1" applyBorder="1" applyAlignment="1">
      <alignment horizontal="left"/>
    </xf>
    <xf numFmtId="184" fontId="18" fillId="21" borderId="0" xfId="0" applyNumberFormat="1" applyFont="1" applyFill="1" applyAlignment="1">
      <alignment horizontal="center"/>
    </xf>
    <xf numFmtId="0" fontId="18" fillId="21" borderId="0" xfId="0" applyFont="1" applyFill="1"/>
    <xf numFmtId="184" fontId="27" fillId="21" borderId="0" xfId="0" applyNumberFormat="1" applyFont="1" applyFill="1" applyAlignment="1">
      <alignment horizontal="center"/>
    </xf>
    <xf numFmtId="0" fontId="27" fillId="21" borderId="0" xfId="0" applyFont="1" applyFill="1"/>
    <xf numFmtId="0" fontId="2" fillId="10" borderId="45" xfId="0" applyFont="1" applyFill="1" applyBorder="1"/>
    <xf numFmtId="0" fontId="3" fillId="10" borderId="46" xfId="0" applyFont="1" applyFill="1" applyBorder="1"/>
    <xf numFmtId="0" fontId="2" fillId="10" borderId="49" xfId="0" applyFont="1" applyFill="1" applyBorder="1"/>
    <xf numFmtId="0" fontId="69" fillId="10" borderId="0" xfId="0" applyFont="1" applyFill="1" applyAlignment="1">
      <alignment horizontal="right"/>
    </xf>
    <xf numFmtId="0" fontId="71" fillId="10" borderId="0" xfId="0" applyFont="1" applyFill="1"/>
    <xf numFmtId="0" fontId="71" fillId="10" borderId="30" xfId="0" applyFont="1" applyFill="1" applyBorder="1"/>
    <xf numFmtId="184" fontId="71" fillId="21" borderId="0" xfId="0" applyNumberFormat="1" applyFont="1" applyFill="1" applyAlignment="1">
      <alignment horizontal="center"/>
    </xf>
    <xf numFmtId="0" fontId="71" fillId="21" borderId="0" xfId="0" applyFont="1" applyFill="1"/>
    <xf numFmtId="184" fontId="71" fillId="3" borderId="0" xfId="0" applyNumberFormat="1" applyFont="1" applyFill="1" applyAlignment="1">
      <alignment horizontal="center"/>
    </xf>
    <xf numFmtId="0" fontId="71" fillId="3" borderId="0" xfId="0" applyFont="1" applyFill="1"/>
    <xf numFmtId="0" fontId="69" fillId="10" borderId="42" xfId="0" applyFont="1" applyFill="1" applyBorder="1" applyAlignment="1">
      <alignment horizontal="right"/>
    </xf>
    <xf numFmtId="0" fontId="70" fillId="10" borderId="29" xfId="0" applyFont="1" applyFill="1" applyBorder="1" applyAlignment="1">
      <alignment vertical="center"/>
    </xf>
    <xf numFmtId="0" fontId="69" fillId="10" borderId="0" xfId="0" applyFont="1" applyFill="1" applyAlignment="1">
      <alignment horizontal="right" vertical="center"/>
    </xf>
    <xf numFmtId="180" fontId="69" fillId="10" borderId="46" xfId="0" applyNumberFormat="1" applyFont="1" applyFill="1" applyBorder="1" applyAlignment="1">
      <alignment horizontal="center" vertical="center"/>
    </xf>
    <xf numFmtId="180" fontId="69" fillId="10" borderId="46" xfId="0" applyNumberFormat="1" applyFont="1" applyFill="1" applyBorder="1" applyAlignment="1">
      <alignment vertical="center"/>
    </xf>
    <xf numFmtId="0" fontId="69" fillId="0" borderId="0" xfId="0" applyFont="1" applyAlignment="1">
      <alignment horizontal="left" vertical="center"/>
    </xf>
    <xf numFmtId="0" fontId="2" fillId="0" borderId="1" xfId="0" applyFont="1" applyBorder="1"/>
    <xf numFmtId="0" fontId="2" fillId="0" borderId="29" xfId="0" applyFont="1" applyBorder="1"/>
    <xf numFmtId="2" fontId="0" fillId="0" borderId="0" xfId="0" applyNumberFormat="1" applyAlignment="1">
      <alignment horizontal="right"/>
    </xf>
    <xf numFmtId="0" fontId="3" fillId="22" borderId="0" xfId="0" applyFont="1" applyFill="1" applyAlignment="1" applyProtection="1">
      <alignment horizontal="right"/>
      <protection locked="0"/>
    </xf>
    <xf numFmtId="0" fontId="74" fillId="0" borderId="0" xfId="0" applyFont="1"/>
    <xf numFmtId="0" fontId="2" fillId="10" borderId="0" xfId="2" applyFill="1"/>
    <xf numFmtId="49" fontId="2" fillId="10" borderId="0" xfId="2" applyNumberFormat="1" applyFill="1"/>
    <xf numFmtId="0" fontId="12" fillId="10" borderId="0" xfId="2" applyFont="1" applyFill="1" applyAlignment="1">
      <alignment vertical="center"/>
    </xf>
    <xf numFmtId="0" fontId="2" fillId="23" borderId="17" xfId="2" applyFill="1" applyBorder="1" applyAlignment="1">
      <alignment horizontal="center" vertical="center"/>
    </xf>
    <xf numFmtId="0" fontId="2" fillId="10" borderId="17" xfId="2" applyFill="1" applyBorder="1" applyAlignment="1">
      <alignment horizontal="center" vertical="center"/>
    </xf>
    <xf numFmtId="0" fontId="2" fillId="10" borderId="11" xfId="2" applyFill="1" applyBorder="1" applyAlignment="1">
      <alignment vertical="center" wrapText="1"/>
    </xf>
    <xf numFmtId="0" fontId="2" fillId="10" borderId="11" xfId="2" applyFill="1" applyBorder="1" applyAlignment="1">
      <alignment horizontal="left" vertical="center"/>
    </xf>
    <xf numFmtId="0" fontId="2" fillId="10" borderId="0" xfId="2" applyFill="1" applyAlignment="1">
      <alignment vertical="center"/>
    </xf>
    <xf numFmtId="0" fontId="2" fillId="24" borderId="17" xfId="2" applyFill="1" applyBorder="1" applyAlignment="1">
      <alignment horizontal="center" vertical="center"/>
    </xf>
    <xf numFmtId="0" fontId="2" fillId="24" borderId="11" xfId="2" applyFill="1" applyBorder="1" applyAlignment="1">
      <alignment vertical="center" wrapText="1"/>
    </xf>
    <xf numFmtId="186" fontId="2" fillId="24" borderId="11" xfId="2" applyNumberFormat="1" applyFill="1" applyBorder="1" applyAlignment="1">
      <alignment horizontal="center" vertical="center"/>
    </xf>
    <xf numFmtId="0" fontId="2" fillId="24" borderId="11" xfId="2" quotePrefix="1" applyFill="1" applyBorder="1" applyAlignment="1">
      <alignment horizontal="left" vertical="center"/>
    </xf>
    <xf numFmtId="0" fontId="2" fillId="24" borderId="11" xfId="2" applyFill="1" applyBorder="1" applyAlignment="1">
      <alignment horizontal="left" vertical="center"/>
    </xf>
    <xf numFmtId="0" fontId="2" fillId="24" borderId="11" xfId="2" applyFill="1" applyBorder="1" applyAlignment="1">
      <alignment horizontal="center" vertical="center"/>
    </xf>
    <xf numFmtId="0" fontId="2" fillId="19" borderId="17" xfId="2" applyFill="1" applyBorder="1" applyAlignment="1">
      <alignment horizontal="center" vertical="center"/>
    </xf>
    <xf numFmtId="0" fontId="2" fillId="19" borderId="11" xfId="2" applyFill="1" applyBorder="1" applyAlignment="1">
      <alignment vertical="center" wrapText="1"/>
    </xf>
    <xf numFmtId="186" fontId="2" fillId="19" borderId="11" xfId="2" applyNumberFormat="1" applyFill="1" applyBorder="1" applyAlignment="1">
      <alignment horizontal="center" vertical="center"/>
    </xf>
    <xf numFmtId="0" fontId="2" fillId="19" borderId="11" xfId="2" quotePrefix="1" applyFill="1" applyBorder="1" applyAlignment="1">
      <alignment horizontal="left" vertical="center"/>
    </xf>
    <xf numFmtId="0" fontId="2" fillId="19" borderId="11" xfId="2" applyFill="1" applyBorder="1" applyAlignment="1">
      <alignment horizontal="left" vertical="center"/>
    </xf>
    <xf numFmtId="188" fontId="2" fillId="10" borderId="11" xfId="2" applyNumberFormat="1" applyFill="1" applyBorder="1" applyAlignment="1">
      <alignment horizontal="center" vertical="center"/>
    </xf>
    <xf numFmtId="0" fontId="2" fillId="10" borderId="15" xfId="2" applyFill="1" applyBorder="1" applyAlignment="1">
      <alignment horizontal="left" vertical="center"/>
    </xf>
    <xf numFmtId="49" fontId="2" fillId="10" borderId="11" xfId="2" applyNumberFormat="1" applyFill="1" applyBorder="1" applyAlignment="1">
      <alignment horizontal="left" vertical="center"/>
    </xf>
    <xf numFmtId="0" fontId="2" fillId="23" borderId="11" xfId="2" applyFill="1" applyBorder="1" applyAlignment="1">
      <alignment vertical="center" wrapText="1"/>
    </xf>
    <xf numFmtId="187" fontId="2" fillId="23" borderId="11" xfId="2" applyNumberFormat="1" applyFill="1" applyBorder="1" applyAlignment="1">
      <alignment horizontal="center" vertical="center"/>
    </xf>
    <xf numFmtId="0" fontId="2" fillId="23" borderId="15" xfId="2" applyFill="1" applyBorder="1" applyAlignment="1">
      <alignment horizontal="left" vertical="center"/>
    </xf>
    <xf numFmtId="0" fontId="2" fillId="23" borderId="11" xfId="2" quotePrefix="1" applyFill="1" applyBorder="1" applyAlignment="1">
      <alignment horizontal="left" vertical="center"/>
    </xf>
    <xf numFmtId="0" fontId="2" fillId="23" borderId="11" xfId="2" applyFill="1" applyBorder="1" applyAlignment="1">
      <alignment horizontal="left" vertical="center"/>
    </xf>
    <xf numFmtId="0" fontId="2" fillId="19" borderId="15" xfId="2" applyFill="1" applyBorder="1" applyAlignment="1">
      <alignment horizontal="left" vertical="center"/>
    </xf>
    <xf numFmtId="188" fontId="2" fillId="19" borderId="11" xfId="2" applyNumberFormat="1" applyFill="1" applyBorder="1" applyAlignment="1">
      <alignment horizontal="center" vertical="center"/>
    </xf>
    <xf numFmtId="188" fontId="2" fillId="23" borderId="11" xfId="2" applyNumberFormat="1" applyFill="1" applyBorder="1" applyAlignment="1">
      <alignment horizontal="center" vertical="center"/>
    </xf>
    <xf numFmtId="0" fontId="2" fillId="19" borderId="11" xfId="2" applyFill="1" applyBorder="1" applyAlignment="1">
      <alignment horizontal="center" vertical="center"/>
    </xf>
    <xf numFmtId="189" fontId="2" fillId="23" borderId="11" xfId="2" applyNumberFormat="1" applyFill="1" applyBorder="1" applyAlignment="1">
      <alignment horizontal="center" vertical="center"/>
    </xf>
    <xf numFmtId="0" fontId="63" fillId="10" borderId="11" xfId="2" applyFont="1" applyFill="1" applyBorder="1" applyAlignment="1">
      <alignment horizontal="center" vertical="center"/>
    </xf>
    <xf numFmtId="0" fontId="3" fillId="10" borderId="17" xfId="2" applyFont="1" applyFill="1" applyBorder="1" applyAlignment="1">
      <alignment horizontal="center" vertical="center"/>
    </xf>
    <xf numFmtId="0" fontId="3" fillId="10" borderId="11" xfId="2" applyFont="1" applyFill="1" applyBorder="1" applyAlignment="1">
      <alignment vertical="center" wrapText="1"/>
    </xf>
    <xf numFmtId="0" fontId="3" fillId="10" borderId="11" xfId="2" applyFont="1" applyFill="1" applyBorder="1" applyAlignment="1">
      <alignment horizontal="left" vertical="center"/>
    </xf>
    <xf numFmtId="0" fontId="2" fillId="19" borderId="0" xfId="2" applyFill="1"/>
    <xf numFmtId="49" fontId="2" fillId="19" borderId="0" xfId="2" applyNumberFormat="1" applyFill="1"/>
    <xf numFmtId="0" fontId="3" fillId="19" borderId="44" xfId="0" applyFont="1" applyFill="1" applyBorder="1"/>
    <xf numFmtId="0" fontId="3" fillId="22" borderId="46" xfId="0" applyFont="1" applyFill="1" applyBorder="1" applyProtection="1">
      <protection locked="0"/>
    </xf>
    <xf numFmtId="0" fontId="3" fillId="22" borderId="46" xfId="0" applyFont="1" applyFill="1" applyBorder="1" applyAlignment="1" applyProtection="1">
      <alignment horizontal="right"/>
      <protection locked="0"/>
    </xf>
    <xf numFmtId="0" fontId="76" fillId="19" borderId="0" xfId="0" applyFont="1" applyFill="1"/>
    <xf numFmtId="0" fontId="3" fillId="10" borderId="0" xfId="2" applyFont="1" applyFill="1"/>
    <xf numFmtId="0" fontId="63" fillId="10" borderId="42" xfId="0" applyFont="1" applyFill="1" applyBorder="1" applyProtection="1">
      <protection locked="0"/>
    </xf>
    <xf numFmtId="1" fontId="0" fillId="4" borderId="0" xfId="0" applyNumberFormat="1" applyFill="1"/>
    <xf numFmtId="0" fontId="63" fillId="10" borderId="29" xfId="0" applyFont="1" applyFill="1" applyBorder="1" applyAlignment="1">
      <alignment vertical="center"/>
    </xf>
    <xf numFmtId="0" fontId="0" fillId="14" borderId="2" xfId="0" applyFill="1" applyBorder="1"/>
    <xf numFmtId="0" fontId="3" fillId="5" borderId="55" xfId="0" applyFont="1" applyFill="1" applyBorder="1"/>
    <xf numFmtId="2" fontId="7" fillId="13" borderId="0" xfId="0" applyNumberFormat="1" applyFont="1" applyFill="1"/>
    <xf numFmtId="180" fontId="7" fillId="13" borderId="0" xfId="0" applyNumberFormat="1" applyFont="1" applyFill="1"/>
    <xf numFmtId="11" fontId="7" fillId="13" borderId="0" xfId="0" applyNumberFormat="1" applyFont="1" applyFill="1"/>
    <xf numFmtId="0" fontId="22" fillId="25" borderId="48" xfId="0" applyFont="1" applyFill="1" applyBorder="1"/>
    <xf numFmtId="0" fontId="22" fillId="25" borderId="49" xfId="0" applyFont="1" applyFill="1" applyBorder="1"/>
    <xf numFmtId="0" fontId="18" fillId="25" borderId="49" xfId="0" applyFont="1" applyFill="1" applyBorder="1"/>
    <xf numFmtId="184" fontId="18" fillId="25" borderId="46" xfId="0" applyNumberFormat="1" applyFont="1" applyFill="1" applyBorder="1" applyAlignment="1">
      <alignment horizontal="center"/>
    </xf>
    <xf numFmtId="0" fontId="18" fillId="25" borderId="0" xfId="0" applyFont="1" applyFill="1"/>
    <xf numFmtId="184" fontId="18" fillId="25" borderId="0" xfId="0" applyNumberFormat="1" applyFont="1" applyFill="1" applyAlignment="1">
      <alignment horizontal="center"/>
    </xf>
    <xf numFmtId="184" fontId="71" fillId="25" borderId="0" xfId="0" applyNumberFormat="1" applyFont="1" applyFill="1" applyAlignment="1">
      <alignment horizontal="center"/>
    </xf>
    <xf numFmtId="184" fontId="27" fillId="25" borderId="0" xfId="0" applyNumberFormat="1" applyFont="1" applyFill="1" applyAlignment="1">
      <alignment horizontal="center"/>
    </xf>
    <xf numFmtId="0" fontId="28" fillId="25" borderId="0" xfId="0" applyFont="1" applyFill="1" applyAlignment="1">
      <alignment horizontal="left"/>
    </xf>
    <xf numFmtId="0" fontId="26" fillId="25" borderId="0" xfId="0" applyFont="1" applyFill="1" applyAlignment="1">
      <alignment horizontal="left" vertical="center"/>
    </xf>
    <xf numFmtId="0" fontId="73" fillId="25" borderId="0" xfId="0" applyFont="1" applyFill="1" applyAlignment="1">
      <alignment horizontal="left" vertical="center"/>
    </xf>
    <xf numFmtId="0" fontId="22" fillId="25" borderId="0" xfId="0" applyFont="1" applyFill="1" applyAlignment="1">
      <alignment vertical="center"/>
    </xf>
    <xf numFmtId="0" fontId="26" fillId="25" borderId="0" xfId="0" quotePrefix="1" applyFont="1" applyFill="1" applyAlignment="1">
      <alignment vertical="center"/>
    </xf>
    <xf numFmtId="0" fontId="30" fillId="25" borderId="0" xfId="0" applyFont="1" applyFill="1" applyAlignment="1">
      <alignment vertical="center"/>
    </xf>
    <xf numFmtId="0" fontId="30" fillId="25" borderId="0" xfId="0" applyFont="1" applyFill="1"/>
    <xf numFmtId="0" fontId="32" fillId="25" borderId="31" xfId="0" applyFont="1" applyFill="1" applyBorder="1"/>
    <xf numFmtId="0" fontId="32" fillId="25" borderId="32" xfId="0" applyFont="1" applyFill="1" applyBorder="1"/>
    <xf numFmtId="0" fontId="22" fillId="25" borderId="32" xfId="0" applyFont="1" applyFill="1" applyBorder="1"/>
    <xf numFmtId="0" fontId="26" fillId="25" borderId="56" xfId="0" applyFont="1" applyFill="1" applyBorder="1" applyAlignment="1">
      <alignment horizontal="left" vertical="center"/>
    </xf>
    <xf numFmtId="0" fontId="79" fillId="25" borderId="0" xfId="1" applyFont="1" applyFill="1" applyBorder="1" applyAlignment="1" applyProtection="1">
      <alignment horizontal="left" vertical="center"/>
    </xf>
    <xf numFmtId="0" fontId="2" fillId="10" borderId="0" xfId="0" applyFont="1" applyFill="1" applyAlignment="1">
      <alignment horizontal="right" vertical="center"/>
    </xf>
    <xf numFmtId="0" fontId="2" fillId="10" borderId="56" xfId="0" applyFont="1" applyFill="1" applyBorder="1"/>
    <xf numFmtId="0" fontId="63" fillId="0" borderId="0" xfId="0" applyFont="1"/>
    <xf numFmtId="0" fontId="63" fillId="0" borderId="0" xfId="0" applyFont="1" applyAlignment="1">
      <alignment horizontal="left"/>
    </xf>
    <xf numFmtId="0" fontId="2" fillId="0" borderId="0" xfId="2"/>
    <xf numFmtId="179" fontId="0" fillId="4" borderId="0" xfId="0" applyNumberFormat="1" applyFill="1"/>
    <xf numFmtId="2" fontId="0" fillId="13" borderId="0" xfId="0" applyNumberFormat="1" applyFill="1"/>
    <xf numFmtId="0" fontId="0" fillId="0" borderId="56" xfId="0" applyBorder="1"/>
    <xf numFmtId="0" fontId="2" fillId="0" borderId="56" xfId="0" applyFont="1" applyBorder="1"/>
    <xf numFmtId="179" fontId="7" fillId="13" borderId="2" xfId="0" applyNumberFormat="1" applyFont="1" applyFill="1" applyBorder="1"/>
    <xf numFmtId="178" fontId="7" fillId="13" borderId="0" xfId="0" applyNumberFormat="1" applyFont="1" applyFill="1"/>
    <xf numFmtId="179" fontId="7" fillId="13" borderId="0" xfId="0" applyNumberFormat="1" applyFont="1" applyFill="1"/>
    <xf numFmtId="0" fontId="7" fillId="0" borderId="56" xfId="0" applyFont="1" applyBorder="1"/>
    <xf numFmtId="0" fontId="3" fillId="13" borderId="0" xfId="0" applyFont="1" applyFill="1" applyAlignment="1">
      <alignment horizontal="right"/>
    </xf>
    <xf numFmtId="180" fontId="0" fillId="4" borderId="0" xfId="0" applyNumberFormat="1" applyFill="1"/>
    <xf numFmtId="179" fontId="7" fillId="19" borderId="0" xfId="0" applyNumberFormat="1" applyFont="1" applyFill="1"/>
    <xf numFmtId="0" fontId="82" fillId="19" borderId="42" xfId="0" applyFont="1" applyFill="1" applyBorder="1" applyAlignment="1">
      <alignment horizontal="left" vertical="center"/>
    </xf>
    <xf numFmtId="0" fontId="2" fillId="19" borderId="42" xfId="0" applyFont="1" applyFill="1" applyBorder="1"/>
    <xf numFmtId="0" fontId="66" fillId="10" borderId="46" xfId="0" applyFont="1" applyFill="1" applyBorder="1" applyAlignment="1">
      <alignment horizontal="right"/>
    </xf>
    <xf numFmtId="0" fontId="2" fillId="10" borderId="46" xfId="0" applyFont="1" applyFill="1" applyBorder="1" applyAlignment="1">
      <alignment horizontal="right"/>
    </xf>
    <xf numFmtId="180" fontId="0" fillId="19" borderId="0" xfId="0" applyNumberFormat="1" applyFill="1"/>
    <xf numFmtId="0" fontId="67" fillId="10" borderId="42" xfId="0" applyFont="1" applyFill="1" applyBorder="1" applyAlignment="1">
      <alignment horizontal="right"/>
    </xf>
    <xf numFmtId="0" fontId="3" fillId="10" borderId="43" xfId="0" applyFont="1" applyFill="1" applyBorder="1"/>
    <xf numFmtId="0" fontId="3" fillId="22" borderId="42" xfId="0" applyFont="1" applyFill="1" applyBorder="1" applyProtection="1">
      <protection locked="0"/>
    </xf>
    <xf numFmtId="1" fontId="66" fillId="19" borderId="30" xfId="0" applyNumberFormat="1" applyFont="1" applyFill="1" applyBorder="1" applyAlignment="1" applyProtection="1">
      <alignment horizontal="left"/>
      <protection locked="0"/>
    </xf>
    <xf numFmtId="0" fontId="2" fillId="6" borderId="11" xfId="0" applyFont="1" applyFill="1" applyBorder="1"/>
    <xf numFmtId="178" fontId="0" fillId="0" borderId="0" xfId="0" applyNumberFormat="1"/>
    <xf numFmtId="179" fontId="0" fillId="0" borderId="0" xfId="0" applyNumberFormat="1"/>
    <xf numFmtId="178" fontId="0" fillId="0" borderId="0" xfId="0" applyNumberFormat="1" applyAlignment="1">
      <alignment horizontal="left" indent="1"/>
    </xf>
    <xf numFmtId="179" fontId="16" fillId="7" borderId="0" xfId="0" applyNumberFormat="1" applyFont="1" applyFill="1"/>
    <xf numFmtId="179" fontId="8" fillId="0" borderId="0" xfId="0" applyNumberFormat="1" applyFont="1"/>
    <xf numFmtId="180" fontId="16" fillId="0" borderId="0" xfId="0" applyNumberFormat="1" applyFont="1"/>
    <xf numFmtId="177" fontId="0" fillId="0" borderId="0" xfId="0" applyNumberFormat="1"/>
    <xf numFmtId="177" fontId="16" fillId="0" borderId="0" xfId="0" applyNumberFormat="1" applyFont="1"/>
    <xf numFmtId="0" fontId="2" fillId="4" borderId="43" xfId="0" applyFont="1" applyFill="1" applyBorder="1"/>
    <xf numFmtId="0" fontId="74" fillId="0" borderId="11" xfId="0" applyFont="1" applyBorder="1"/>
    <xf numFmtId="0" fontId="2" fillId="0" borderId="11" xfId="0" applyFont="1" applyBorder="1"/>
    <xf numFmtId="0" fontId="2" fillId="0" borderId="13" xfId="0" applyFont="1" applyBorder="1"/>
    <xf numFmtId="0" fontId="2" fillId="0" borderId="15" xfId="0" applyFont="1" applyBorder="1"/>
    <xf numFmtId="0" fontId="2" fillId="0" borderId="16" xfId="0" applyFont="1" applyBorder="1"/>
    <xf numFmtId="1" fontId="3" fillId="13" borderId="0" xfId="0" applyNumberFormat="1" applyFont="1" applyFill="1"/>
    <xf numFmtId="2" fontId="3" fillId="13" borderId="0" xfId="0" applyNumberFormat="1" applyFont="1" applyFill="1"/>
    <xf numFmtId="1" fontId="3" fillId="10" borderId="29" xfId="0" applyNumberFormat="1" applyFont="1" applyFill="1" applyBorder="1" applyAlignment="1">
      <alignment horizontal="right"/>
    </xf>
    <xf numFmtId="0" fontId="3" fillId="10" borderId="8" xfId="2" applyFont="1" applyFill="1" applyBorder="1" applyAlignment="1">
      <alignment horizontal="left" vertical="center"/>
    </xf>
    <xf numFmtId="190" fontId="2" fillId="19" borderId="8" xfId="2" applyNumberFormat="1" applyFill="1" applyBorder="1" applyAlignment="1">
      <alignment horizontal="left" vertical="center"/>
    </xf>
    <xf numFmtId="190" fontId="2" fillId="19" borderId="9" xfId="2" applyNumberFormat="1" applyFill="1" applyBorder="1" applyAlignment="1">
      <alignment horizontal="left" vertical="center"/>
    </xf>
    <xf numFmtId="190" fontId="2" fillId="19" borderId="15" xfId="2" applyNumberFormat="1" applyFill="1" applyBorder="1" applyAlignment="1">
      <alignment horizontal="left" vertical="center"/>
    </xf>
    <xf numFmtId="0" fontId="2" fillId="0" borderId="0" xfId="0" applyFont="1" applyAlignment="1">
      <alignment horizontal="right"/>
    </xf>
    <xf numFmtId="0" fontId="86" fillId="0" borderId="0" xfId="0" applyFont="1" applyAlignment="1">
      <alignment horizontal="right"/>
    </xf>
    <xf numFmtId="0" fontId="2" fillId="0" borderId="0" xfId="0" quotePrefix="1" applyFont="1"/>
    <xf numFmtId="0" fontId="2" fillId="0" borderId="0" xfId="0" applyFont="1" applyAlignment="1">
      <alignment horizontal="left"/>
    </xf>
    <xf numFmtId="49" fontId="84" fillId="21" borderId="57" xfId="2" applyNumberFormat="1" applyFont="1" applyFill="1" applyBorder="1" applyAlignment="1">
      <alignment horizontal="center" vertical="center"/>
    </xf>
    <xf numFmtId="0" fontId="84" fillId="21" borderId="51" xfId="2" applyFont="1" applyFill="1" applyBorder="1" applyAlignment="1">
      <alignment horizontal="center" vertical="center"/>
    </xf>
    <xf numFmtId="180" fontId="2" fillId="10" borderId="11" xfId="2" applyNumberFormat="1" applyFill="1" applyBorder="1" applyAlignment="1">
      <alignment horizontal="center" vertical="center"/>
    </xf>
    <xf numFmtId="2" fontId="2" fillId="10" borderId="11" xfId="2" applyNumberFormat="1" applyFill="1" applyBorder="1" applyAlignment="1">
      <alignment horizontal="center" vertical="center"/>
    </xf>
    <xf numFmtId="0" fontId="2" fillId="10" borderId="8" xfId="2" applyFill="1" applyBorder="1" applyAlignment="1">
      <alignment horizontal="left" vertical="center"/>
    </xf>
    <xf numFmtId="0" fontId="2" fillId="23" borderId="8" xfId="2" applyFill="1" applyBorder="1" applyAlignment="1">
      <alignment horizontal="left" vertical="center"/>
    </xf>
    <xf numFmtId="0" fontId="2" fillId="19" borderId="8" xfId="2" applyFill="1" applyBorder="1" applyAlignment="1">
      <alignment horizontal="left" vertical="center"/>
    </xf>
    <xf numFmtId="0" fontId="2" fillId="24" borderId="8" xfId="2" applyFill="1" applyBorder="1" applyAlignment="1">
      <alignment horizontal="left" vertical="center"/>
    </xf>
    <xf numFmtId="0" fontId="2" fillId="10" borderId="58" xfId="2" applyFill="1" applyBorder="1" applyAlignment="1">
      <alignment horizontal="center" vertical="center"/>
    </xf>
    <xf numFmtId="0" fontId="2" fillId="24" borderId="58" xfId="2" applyFill="1" applyBorder="1" applyAlignment="1">
      <alignment horizontal="center" vertical="center"/>
    </xf>
    <xf numFmtId="180" fontId="2" fillId="24" borderId="11" xfId="2" applyNumberFormat="1" applyFill="1" applyBorder="1" applyAlignment="1">
      <alignment horizontal="center" vertical="center"/>
    </xf>
    <xf numFmtId="0" fontId="75" fillId="3" borderId="50" xfId="2" applyFont="1" applyFill="1" applyBorder="1" applyAlignment="1">
      <alignment horizontal="center" vertical="center"/>
    </xf>
    <xf numFmtId="0" fontId="75" fillId="3" borderId="51" xfId="2" applyFont="1" applyFill="1" applyBorder="1" applyAlignment="1">
      <alignment horizontal="center" vertical="center"/>
    </xf>
    <xf numFmtId="180" fontId="88" fillId="0" borderId="0" xfId="2" applyNumberFormat="1" applyFont="1" applyAlignment="1">
      <alignment horizontal="right" vertical="center"/>
    </xf>
    <xf numFmtId="0" fontId="88" fillId="10" borderId="0" xfId="2" applyFont="1" applyFill="1" applyAlignment="1">
      <alignment horizontal="left"/>
    </xf>
    <xf numFmtId="178" fontId="88" fillId="10" borderId="0" xfId="2" applyNumberFormat="1" applyFont="1" applyFill="1" applyAlignment="1">
      <alignment vertical="center"/>
    </xf>
    <xf numFmtId="177" fontId="0" fillId="4" borderId="32" xfId="0" applyNumberFormat="1" applyFill="1" applyBorder="1"/>
    <xf numFmtId="177" fontId="0" fillId="13" borderId="2" xfId="0" applyNumberFormat="1" applyFill="1" applyBorder="1"/>
    <xf numFmtId="185" fontId="2" fillId="19" borderId="11" xfId="2" applyNumberFormat="1" applyFill="1" applyBorder="1" applyAlignment="1">
      <alignment horizontal="center" vertical="center"/>
    </xf>
    <xf numFmtId="0" fontId="2" fillId="19" borderId="58" xfId="2" applyFill="1" applyBorder="1" applyAlignment="1">
      <alignment horizontal="center" vertical="center"/>
    </xf>
    <xf numFmtId="180" fontId="2" fillId="19" borderId="11" xfId="2" applyNumberFormat="1" applyFill="1" applyBorder="1" applyAlignment="1">
      <alignment horizontal="center" vertical="center"/>
    </xf>
    <xf numFmtId="179" fontId="2" fillId="0" borderId="0" xfId="0" applyNumberFormat="1" applyFont="1"/>
    <xf numFmtId="1" fontId="0" fillId="13" borderId="0" xfId="0" applyNumberFormat="1" applyFill="1"/>
    <xf numFmtId="1" fontId="8" fillId="13" borderId="0" xfId="0" applyNumberFormat="1" applyFont="1" applyFill="1"/>
    <xf numFmtId="0" fontId="85" fillId="10" borderId="0" xfId="2" applyFont="1" applyFill="1" applyAlignment="1">
      <alignment vertical="center"/>
    </xf>
    <xf numFmtId="0" fontId="2" fillId="19" borderId="0" xfId="2" applyFill="1" applyProtection="1">
      <protection locked="0" hidden="1"/>
    </xf>
    <xf numFmtId="0" fontId="2" fillId="10" borderId="0" xfId="2" applyFill="1" applyProtection="1">
      <protection locked="0" hidden="1"/>
    </xf>
    <xf numFmtId="0" fontId="85" fillId="10" borderId="0" xfId="2" applyFont="1" applyFill="1" applyAlignment="1" applyProtection="1">
      <alignment vertical="center"/>
      <protection locked="0" hidden="1"/>
    </xf>
    <xf numFmtId="180" fontId="2" fillId="10" borderId="42" xfId="0" applyNumberFormat="1" applyFont="1" applyFill="1" applyBorder="1"/>
    <xf numFmtId="0" fontId="3" fillId="0" borderId="56" xfId="0" applyFont="1" applyBorder="1"/>
    <xf numFmtId="179" fontId="0" fillId="13" borderId="0" xfId="0" applyNumberFormat="1" applyFill="1"/>
    <xf numFmtId="1" fontId="0" fillId="0" borderId="0" xfId="0" applyNumberFormat="1" applyAlignment="1">
      <alignment horizontal="right"/>
    </xf>
    <xf numFmtId="11" fontId="3" fillId="13" borderId="0" xfId="0" applyNumberFormat="1" applyFont="1" applyFill="1" applyAlignment="1">
      <alignment horizontal="right"/>
    </xf>
    <xf numFmtId="0" fontId="85" fillId="10" borderId="0" xfId="2" applyFont="1" applyFill="1"/>
    <xf numFmtId="0" fontId="85" fillId="10" borderId="0" xfId="2" applyFont="1" applyFill="1" applyProtection="1">
      <protection locked="0" hidden="1"/>
    </xf>
    <xf numFmtId="0" fontId="2" fillId="0" borderId="0" xfId="2" applyAlignment="1">
      <alignment horizontal="right"/>
    </xf>
    <xf numFmtId="0" fontId="3" fillId="0" borderId="0" xfId="2" applyFont="1"/>
    <xf numFmtId="0" fontId="2" fillId="0" borderId="0" xfId="2" applyAlignment="1">
      <alignment horizontal="left"/>
    </xf>
    <xf numFmtId="0" fontId="86" fillId="0" borderId="0" xfId="2" applyFont="1" applyAlignment="1">
      <alignment horizontal="right"/>
    </xf>
    <xf numFmtId="0" fontId="63" fillId="0" borderId="0" xfId="2" applyFont="1"/>
    <xf numFmtId="0" fontId="90" fillId="10" borderId="0" xfId="2" applyFont="1" applyFill="1" applyProtection="1">
      <protection locked="0" hidden="1"/>
    </xf>
    <xf numFmtId="0" fontId="91" fillId="19" borderId="11" xfId="2" quotePrefix="1" applyFont="1" applyFill="1" applyBorder="1" applyAlignment="1">
      <alignment horizontal="left" vertical="center"/>
    </xf>
    <xf numFmtId="191" fontId="2" fillId="19" borderId="11" xfId="2" applyNumberFormat="1" applyFill="1" applyBorder="1" applyAlignment="1">
      <alignment horizontal="center" vertical="center"/>
    </xf>
    <xf numFmtId="178" fontId="0" fillId="0" borderId="11" xfId="0" applyNumberFormat="1" applyBorder="1"/>
    <xf numFmtId="177" fontId="0" fillId="7" borderId="11" xfId="0" applyNumberFormat="1" applyFill="1" applyBorder="1"/>
    <xf numFmtId="0" fontId="3" fillId="5" borderId="59" xfId="0" applyFont="1" applyFill="1" applyBorder="1"/>
    <xf numFmtId="0" fontId="92" fillId="0" borderId="29" xfId="0" applyFont="1" applyBorder="1"/>
    <xf numFmtId="0" fontId="7" fillId="4" borderId="42" xfId="0" applyFont="1" applyFill="1" applyBorder="1"/>
    <xf numFmtId="0" fontId="93" fillId="25" borderId="0" xfId="0" applyFont="1" applyFill="1" applyAlignment="1">
      <alignment horizontal="left"/>
    </xf>
    <xf numFmtId="0" fontId="94" fillId="25" borderId="0" xfId="0" applyFont="1" applyFill="1"/>
    <xf numFmtId="0" fontId="95" fillId="25" borderId="32" xfId="0" applyFont="1" applyFill="1" applyBorder="1"/>
    <xf numFmtId="0" fontId="94" fillId="10" borderId="0" xfId="0" applyFont="1" applyFill="1"/>
    <xf numFmtId="0" fontId="94" fillId="10" borderId="30" xfId="0" applyFont="1" applyFill="1" applyBorder="1"/>
    <xf numFmtId="0" fontId="96" fillId="25" borderId="0" xfId="0" applyFont="1" applyFill="1" applyAlignment="1">
      <alignment horizontal="left"/>
    </xf>
    <xf numFmtId="0" fontId="97" fillId="25" borderId="0" xfId="1" applyFont="1" applyFill="1" applyBorder="1" applyAlignment="1" applyProtection="1"/>
    <xf numFmtId="0" fontId="19" fillId="25" borderId="32" xfId="0" applyFont="1" applyFill="1" applyBorder="1"/>
    <xf numFmtId="0" fontId="19" fillId="25" borderId="46" xfId="0" applyFont="1" applyFill="1" applyBorder="1"/>
    <xf numFmtId="0" fontId="98" fillId="25" borderId="0" xfId="0" applyFont="1" applyFill="1"/>
    <xf numFmtId="179" fontId="2" fillId="19" borderId="46" xfId="0" applyNumberFormat="1" applyFont="1" applyFill="1" applyBorder="1"/>
    <xf numFmtId="0" fontId="28" fillId="25" borderId="56" xfId="0" applyFont="1" applyFill="1" applyBorder="1" applyAlignment="1">
      <alignment horizontal="left" vertical="center"/>
    </xf>
    <xf numFmtId="0" fontId="18" fillId="19" borderId="0" xfId="2" applyFont="1" applyFill="1"/>
    <xf numFmtId="0" fontId="2" fillId="21" borderId="0" xfId="2" applyFill="1"/>
    <xf numFmtId="0" fontId="103" fillId="21" borderId="0" xfId="2" applyFont="1" applyFill="1"/>
    <xf numFmtId="0" fontId="103" fillId="21" borderId="0" xfId="2" applyFont="1" applyFill="1" applyAlignment="1">
      <alignment horizontal="center" vertical="center"/>
    </xf>
    <xf numFmtId="0" fontId="103" fillId="21" borderId="0" xfId="2" applyFont="1" applyFill="1" applyAlignment="1">
      <alignment horizontal="left" vertical="center"/>
    </xf>
    <xf numFmtId="0" fontId="0" fillId="4" borderId="42" xfId="0" applyFill="1" applyBorder="1"/>
    <xf numFmtId="0" fontId="3" fillId="2" borderId="60" xfId="0" applyFont="1" applyFill="1" applyBorder="1" applyAlignment="1">
      <alignment horizontal="center" vertical="top" wrapText="1"/>
    </xf>
    <xf numFmtId="0" fontId="63" fillId="2" borderId="60" xfId="0" applyFont="1" applyFill="1" applyBorder="1" applyAlignment="1">
      <alignment horizontal="center" vertical="top" wrapText="1"/>
    </xf>
    <xf numFmtId="0" fontId="3" fillId="0" borderId="0" xfId="0" applyFont="1" applyAlignment="1">
      <alignment horizontal="left"/>
    </xf>
    <xf numFmtId="0" fontId="3" fillId="0" borderId="0" xfId="0" applyFont="1" applyAlignment="1">
      <alignment horizontal="right"/>
    </xf>
    <xf numFmtId="0" fontId="63" fillId="0" borderId="0" xfId="0" applyFont="1" applyAlignment="1">
      <alignment horizontal="right"/>
    </xf>
    <xf numFmtId="0" fontId="3" fillId="0" borderId="0" xfId="0" applyFont="1" applyAlignment="1" applyProtection="1">
      <alignment horizontal="right"/>
      <protection locked="0"/>
    </xf>
    <xf numFmtId="0" fontId="24" fillId="10" borderId="56" xfId="0" applyFont="1" applyFill="1" applyBorder="1"/>
    <xf numFmtId="0" fontId="3" fillId="19" borderId="0" xfId="0" applyFont="1" applyFill="1"/>
    <xf numFmtId="0" fontId="3" fillId="19" borderId="0" xfId="0" applyFont="1" applyFill="1" applyAlignment="1">
      <alignment horizontal="right"/>
    </xf>
    <xf numFmtId="0" fontId="2" fillId="10" borderId="42" xfId="0" applyFont="1" applyFill="1" applyBorder="1" applyAlignment="1">
      <alignment horizontal="right"/>
    </xf>
    <xf numFmtId="2" fontId="66" fillId="10" borderId="42" xfId="5" applyNumberFormat="1" applyFont="1" applyFill="1" applyBorder="1" applyAlignment="1" applyProtection="1">
      <alignment horizontal="right"/>
    </xf>
    <xf numFmtId="0" fontId="2" fillId="10" borderId="46" xfId="0" applyFont="1" applyFill="1" applyBorder="1" applyAlignment="1">
      <alignment horizontal="right" vertical="center"/>
    </xf>
    <xf numFmtId="180" fontId="2" fillId="10" borderId="46" xfId="0" applyNumberFormat="1" applyFont="1" applyFill="1" applyBorder="1" applyAlignment="1">
      <alignment vertical="center"/>
    </xf>
    <xf numFmtId="0" fontId="2" fillId="10" borderId="47" xfId="0" applyFont="1" applyFill="1" applyBorder="1" applyAlignment="1">
      <alignment vertical="center"/>
    </xf>
    <xf numFmtId="0" fontId="3" fillId="10" borderId="46" xfId="0" applyFont="1" applyFill="1" applyBorder="1" applyAlignment="1">
      <alignment horizontal="right" vertical="center"/>
    </xf>
    <xf numFmtId="0" fontId="3" fillId="10" borderId="47" xfId="0" applyFont="1" applyFill="1" applyBorder="1"/>
    <xf numFmtId="0" fontId="69" fillId="10" borderId="0" xfId="0" applyFont="1" applyFill="1" applyAlignment="1">
      <alignment horizontal="left" vertical="center"/>
    </xf>
    <xf numFmtId="0" fontId="99" fillId="25" borderId="0" xfId="0" applyFont="1" applyFill="1" applyAlignment="1">
      <alignment horizontal="center" vertical="center"/>
    </xf>
    <xf numFmtId="0" fontId="104" fillId="20" borderId="44" xfId="0" applyFont="1" applyFill="1" applyBorder="1" applyAlignment="1">
      <alignment horizontal="left" vertical="center"/>
    </xf>
    <xf numFmtId="0" fontId="104" fillId="20" borderId="42" xfId="0" applyFont="1" applyFill="1" applyBorder="1" applyAlignment="1">
      <alignment horizontal="left" vertical="center"/>
    </xf>
    <xf numFmtId="0" fontId="75" fillId="3" borderId="52" xfId="2" applyFont="1" applyFill="1" applyBorder="1" applyAlignment="1">
      <alignment horizontal="center" vertical="center"/>
    </xf>
    <xf numFmtId="0" fontId="75" fillId="3" borderId="53" xfId="2" applyFont="1" applyFill="1" applyBorder="1" applyAlignment="1">
      <alignment horizontal="center" vertical="center"/>
    </xf>
    <xf numFmtId="0" fontId="75" fillId="3" borderId="54" xfId="2" applyFont="1" applyFill="1" applyBorder="1" applyAlignment="1">
      <alignment horizontal="center" vertical="center"/>
    </xf>
    <xf numFmtId="0" fontId="3" fillId="10" borderId="8" xfId="2" applyFont="1" applyFill="1" applyBorder="1" applyAlignment="1">
      <alignment horizontal="left" vertical="center"/>
    </xf>
    <xf numFmtId="0" fontId="3" fillId="10" borderId="9" xfId="2" applyFont="1" applyFill="1" applyBorder="1" applyAlignment="1">
      <alignment horizontal="left" vertical="center"/>
    </xf>
    <xf numFmtId="0" fontId="3" fillId="10" borderId="15" xfId="2" applyFont="1" applyFill="1" applyBorder="1" applyAlignment="1">
      <alignment horizontal="left" vertical="center"/>
    </xf>
    <xf numFmtId="197" fontId="2" fillId="19" borderId="8" xfId="2" applyNumberFormat="1" applyFill="1" applyBorder="1" applyAlignment="1">
      <alignment horizontal="left" vertical="center"/>
    </xf>
    <xf numFmtId="197" fontId="2" fillId="19" borderId="9" xfId="2" applyNumberFormat="1" applyFill="1" applyBorder="1" applyAlignment="1">
      <alignment horizontal="left" vertical="center"/>
    </xf>
    <xf numFmtId="197" fontId="2" fillId="19" borderId="15" xfId="2" applyNumberFormat="1" applyFill="1" applyBorder="1" applyAlignment="1">
      <alignment horizontal="left" vertical="center"/>
    </xf>
    <xf numFmtId="197" fontId="2" fillId="24" borderId="8" xfId="2" applyNumberFormat="1" applyFill="1" applyBorder="1" applyAlignment="1">
      <alignment horizontal="left" vertical="center"/>
    </xf>
    <xf numFmtId="197" fontId="2" fillId="24" borderId="9" xfId="2" applyNumberFormat="1" applyFill="1" applyBorder="1" applyAlignment="1">
      <alignment horizontal="left" vertical="center"/>
    </xf>
    <xf numFmtId="197" fontId="2" fillId="24" borderId="15" xfId="2" applyNumberFormat="1" applyFill="1" applyBorder="1" applyAlignment="1">
      <alignment horizontal="left" vertical="center"/>
    </xf>
    <xf numFmtId="200" fontId="2" fillId="19" borderId="8" xfId="2" applyNumberFormat="1" applyFill="1" applyBorder="1" applyAlignment="1">
      <alignment horizontal="left" vertical="center"/>
    </xf>
    <xf numFmtId="200" fontId="2" fillId="19" borderId="9" xfId="2" applyNumberFormat="1" applyFill="1" applyBorder="1" applyAlignment="1">
      <alignment horizontal="left" vertical="center"/>
    </xf>
    <xf numFmtId="200" fontId="2" fillId="19" borderId="15" xfId="2" applyNumberFormat="1" applyFill="1" applyBorder="1" applyAlignment="1">
      <alignment horizontal="left" vertical="center"/>
    </xf>
    <xf numFmtId="198" fontId="2" fillId="19" borderId="8" xfId="2" applyNumberFormat="1" applyFill="1" applyBorder="1" applyAlignment="1">
      <alignment horizontal="left" vertical="center"/>
    </xf>
    <xf numFmtId="198" fontId="2" fillId="19" borderId="9" xfId="2" applyNumberFormat="1" applyFill="1" applyBorder="1" applyAlignment="1">
      <alignment horizontal="left" vertical="center"/>
    </xf>
    <xf numFmtId="198" fontId="2" fillId="19" borderId="15" xfId="2" applyNumberFormat="1" applyFill="1" applyBorder="1" applyAlignment="1">
      <alignment horizontal="left" vertical="center"/>
    </xf>
    <xf numFmtId="199" fontId="2" fillId="19" borderId="8" xfId="2" applyNumberFormat="1" applyFill="1" applyBorder="1" applyAlignment="1">
      <alignment horizontal="left" vertical="center"/>
    </xf>
    <xf numFmtId="199" fontId="2" fillId="19" borderId="9" xfId="2" applyNumberFormat="1" applyFill="1" applyBorder="1" applyAlignment="1">
      <alignment horizontal="left" vertical="center"/>
    </xf>
    <xf numFmtId="199" fontId="2" fillId="19" borderId="15" xfId="2" applyNumberFormat="1" applyFill="1" applyBorder="1" applyAlignment="1">
      <alignment horizontal="left" vertical="center"/>
    </xf>
    <xf numFmtId="194" fontId="2" fillId="10" borderId="8" xfId="2" applyNumberFormat="1" applyFill="1" applyBorder="1" applyAlignment="1">
      <alignment horizontal="left" vertical="center"/>
    </xf>
    <xf numFmtId="194" fontId="2" fillId="10" borderId="9" xfId="2" applyNumberFormat="1" applyFill="1" applyBorder="1" applyAlignment="1">
      <alignment horizontal="left" vertical="center"/>
    </xf>
    <xf numFmtId="193" fontId="2" fillId="23" borderId="8" xfId="2" applyNumberFormat="1" applyFill="1" applyBorder="1" applyAlignment="1">
      <alignment horizontal="left" vertical="center"/>
    </xf>
    <xf numFmtId="193" fontId="2" fillId="23" borderId="9" xfId="2" applyNumberFormat="1" applyFill="1" applyBorder="1" applyAlignment="1">
      <alignment horizontal="left" vertical="center"/>
    </xf>
    <xf numFmtId="192" fontId="2" fillId="23" borderId="8" xfId="2" applyNumberFormat="1" applyFill="1" applyBorder="1" applyAlignment="1">
      <alignment horizontal="left" vertical="center"/>
    </xf>
    <xf numFmtId="192" fontId="2" fillId="23" borderId="9" xfId="2" applyNumberFormat="1" applyFill="1" applyBorder="1" applyAlignment="1">
      <alignment horizontal="left" vertical="center"/>
    </xf>
    <xf numFmtId="0" fontId="2" fillId="19" borderId="8" xfId="2" applyFill="1" applyBorder="1" applyAlignment="1">
      <alignment horizontal="left" vertical="center"/>
    </xf>
    <xf numFmtId="0" fontId="2" fillId="19" borderId="9" xfId="2" applyFill="1" applyBorder="1" applyAlignment="1">
      <alignment horizontal="left" vertical="center"/>
    </xf>
    <xf numFmtId="194" fontId="2" fillId="19" borderId="8" xfId="2" applyNumberFormat="1" applyFill="1" applyBorder="1" applyAlignment="1">
      <alignment horizontal="left" vertical="center"/>
    </xf>
    <xf numFmtId="194" fontId="2" fillId="19" borderId="9" xfId="2" applyNumberFormat="1" applyFill="1" applyBorder="1" applyAlignment="1">
      <alignment horizontal="left" vertical="center"/>
    </xf>
    <xf numFmtId="0" fontId="2" fillId="23" borderId="8" xfId="2" applyFill="1" applyBorder="1" applyAlignment="1">
      <alignment horizontal="left" vertical="center"/>
    </xf>
    <xf numFmtId="0" fontId="2" fillId="23" borderId="9" xfId="2" applyFill="1" applyBorder="1" applyAlignment="1">
      <alignment horizontal="left" vertical="center"/>
    </xf>
    <xf numFmtId="198" fontId="2" fillId="24" borderId="8" xfId="2" applyNumberFormat="1" applyFill="1" applyBorder="1" applyAlignment="1">
      <alignment horizontal="left" vertical="center"/>
    </xf>
    <xf numFmtId="198" fontId="2" fillId="24" borderId="9" xfId="2" applyNumberFormat="1" applyFill="1" applyBorder="1" applyAlignment="1">
      <alignment horizontal="left" vertical="center"/>
    </xf>
    <xf numFmtId="198" fontId="2" fillId="24" borderId="15" xfId="2" applyNumberFormat="1" applyFill="1" applyBorder="1" applyAlignment="1">
      <alignment horizontal="left" vertical="center"/>
    </xf>
    <xf numFmtId="0" fontId="88" fillId="10" borderId="0" xfId="2" applyFont="1" applyFill="1" applyAlignment="1">
      <alignment horizontal="right" wrapText="1"/>
    </xf>
    <xf numFmtId="0" fontId="2" fillId="23" borderId="15" xfId="2" applyFill="1" applyBorder="1" applyAlignment="1">
      <alignment horizontal="left" vertical="center"/>
    </xf>
    <xf numFmtId="195" fontId="2" fillId="19" borderId="8" xfId="2" applyNumberFormat="1" applyFill="1" applyBorder="1" applyAlignment="1">
      <alignment horizontal="left" vertical="center"/>
    </xf>
    <xf numFmtId="195" fontId="2" fillId="19" borderId="9" xfId="2" applyNumberFormat="1" applyFill="1" applyBorder="1" applyAlignment="1">
      <alignment horizontal="left" vertical="center"/>
    </xf>
    <xf numFmtId="196" fontId="2" fillId="19" borderId="8" xfId="2" applyNumberFormat="1" applyFill="1" applyBorder="1" applyAlignment="1">
      <alignment horizontal="left" vertical="center"/>
    </xf>
    <xf numFmtId="196" fontId="2" fillId="19" borderId="9" xfId="2" applyNumberFormat="1" applyFill="1" applyBorder="1" applyAlignment="1">
      <alignment horizontal="left" vertical="center"/>
    </xf>
    <xf numFmtId="0" fontId="102" fillId="19" borderId="56" xfId="2" applyFont="1" applyFill="1" applyBorder="1" applyAlignment="1">
      <alignment horizontal="left" vertical="center"/>
    </xf>
    <xf numFmtId="0" fontId="102" fillId="19" borderId="0" xfId="2" applyFont="1" applyFill="1" applyAlignment="1">
      <alignment horizontal="left" vertical="center"/>
    </xf>
    <xf numFmtId="0" fontId="3" fillId="0" borderId="0" xfId="0" applyFont="1" applyAlignment="1">
      <alignment horizontal="center"/>
    </xf>
    <xf numFmtId="0" fontId="4" fillId="3" borderId="0" xfId="0" applyFont="1" applyFill="1" applyAlignment="1">
      <alignment horizontal="center"/>
    </xf>
    <xf numFmtId="0" fontId="9" fillId="3" borderId="0" xfId="0" applyFont="1" applyFill="1" applyAlignment="1">
      <alignment horizontal="center"/>
    </xf>
    <xf numFmtId="0" fontId="3" fillId="2" borderId="0" xfId="0" applyFont="1" applyFill="1" applyAlignment="1">
      <alignment horizontal="center"/>
    </xf>
    <xf numFmtId="0" fontId="14" fillId="3" borderId="0" xfId="0" applyFont="1" applyFill="1" applyAlignment="1">
      <alignment horizontal="left"/>
    </xf>
    <xf numFmtId="0" fontId="3" fillId="0" borderId="0" xfId="0" applyFont="1" applyAlignment="1">
      <alignment horizontal="left" wrapText="1"/>
    </xf>
  </cellXfs>
  <cellStyles count="6">
    <cellStyle name="Comma 2" xfId="4" xr:uid="{00000000-0005-0000-0000-000000000000}"/>
    <cellStyle name="Normal 2" xfId="2" xr:uid="{00000000-0005-0000-0000-000003000000}"/>
    <cellStyle name="Normal 3" xfId="3" xr:uid="{00000000-0005-0000-0000-000004000000}"/>
    <cellStyle name="ハイパーリンク" xfId="1" builtinId="8"/>
    <cellStyle name="桁区切り [0.00]" xfId="5" builtinId="3"/>
    <cellStyle name="標準" xfId="0" builtinId="0"/>
  </cellStyles>
  <dxfs count="25">
    <dxf>
      <font>
        <color theme="0"/>
      </font>
    </dxf>
    <dxf>
      <font>
        <color theme="0"/>
      </font>
    </dxf>
    <dxf>
      <font>
        <color theme="0"/>
      </font>
    </dxf>
    <dxf>
      <font>
        <color theme="0"/>
      </font>
    </dxf>
    <dxf>
      <font>
        <color theme="0"/>
      </font>
    </dxf>
    <dxf>
      <font>
        <color theme="0"/>
      </font>
    </dxf>
    <dxf>
      <font>
        <color rgb="FFFF0000"/>
      </font>
    </dxf>
    <dxf>
      <font>
        <color rgb="FFFF0000"/>
      </font>
    </dxf>
    <dxf>
      <font>
        <color theme="0"/>
      </font>
      <fill>
        <patternFill>
          <bgColor theme="0"/>
        </patternFill>
      </fill>
    </dxf>
    <dxf>
      <font>
        <b/>
        <i val="0"/>
        <condense val="0"/>
        <extend val="0"/>
        <color indexed="10"/>
      </font>
    </dxf>
    <dxf>
      <font>
        <b/>
        <i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ndense val="0"/>
        <extend val="0"/>
        <color indexed="12"/>
      </font>
    </dxf>
    <dxf>
      <font>
        <b/>
        <i val="0"/>
        <condense val="0"/>
        <extend val="0"/>
        <color indexed="10"/>
      </font>
    </dxf>
    <dxf>
      <font>
        <b/>
        <i val="0"/>
        <color rgb="FFFF0000"/>
      </font>
    </dxf>
    <dxf>
      <font>
        <b/>
        <i val="0"/>
        <condense val="0"/>
        <extend val="0"/>
        <color indexed="10"/>
      </font>
    </dxf>
  </dxfs>
  <tableStyles count="0" defaultTableStyle="TableStyleMedium9" defaultPivotStyle="PivotStyleLight16"/>
  <colors>
    <mruColors>
      <color rgb="FF7DC4D6"/>
      <color rgb="FF0099FF"/>
      <color rgb="FF0000FF"/>
      <color rgb="FFFFFF99"/>
      <color rgb="FF003366"/>
      <color rgb="FFCCFFFF"/>
      <color rgb="FF7030A0"/>
      <color rgb="FFD1979B"/>
      <color rgb="FFDBEEF4"/>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u="none">
                <a:latin typeface="Arial" pitchFamily="34" charset="0"/>
                <a:cs typeface="Arial" pitchFamily="34" charset="0"/>
              </a:rPr>
              <a:t>Bode Plot </a:t>
            </a:r>
          </a:p>
        </c:rich>
      </c:tx>
      <c:layout>
        <c:manualLayout>
          <c:xMode val="edge"/>
          <c:yMode val="edge"/>
          <c:x val="0.10050639430091837"/>
          <c:y val="2.3290736067608779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722"/>
        </c:manualLayout>
      </c:layout>
      <c:scatterChart>
        <c:scatterStyle val="smoothMarker"/>
        <c:varyColors val="0"/>
        <c:ser>
          <c:idx val="2"/>
          <c:order val="0"/>
          <c:tx>
            <c:v>Loop Gain</c:v>
          </c:tx>
          <c:spPr>
            <a:ln w="31750">
              <a:solidFill>
                <a:srgbClr val="FF0000"/>
              </a:solidFill>
              <a:prstDash val="solid"/>
            </a:ln>
          </c:spPr>
          <c:marker>
            <c:symbol val="none"/>
          </c:marker>
          <c:xVal>
            <c:numRef>
              <c:f>'Bode Plots Calculations'!$B$9:$B$676</c:f>
              <c:numCache>
                <c:formatCode>General</c:formatCode>
                <c:ptCount val="668"/>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0.02</c:v>
                </c:pt>
                <c:pt idx="11">
                  <c:v>0.03</c:v>
                </c:pt>
                <c:pt idx="12">
                  <c:v>0.04</c:v>
                </c:pt>
                <c:pt idx="13">
                  <c:v>0.05</c:v>
                </c:pt>
                <c:pt idx="14">
                  <c:v>0.06</c:v>
                </c:pt>
                <c:pt idx="15">
                  <c:v>7.0000000000000007E-2</c:v>
                </c:pt>
                <c:pt idx="16">
                  <c:v>0.08</c:v>
                </c:pt>
                <c:pt idx="17">
                  <c:v>0.09</c:v>
                </c:pt>
                <c:pt idx="18">
                  <c:v>0.1</c:v>
                </c:pt>
                <c:pt idx="19">
                  <c:v>0.2</c:v>
                </c:pt>
                <c:pt idx="20">
                  <c:v>0.3</c:v>
                </c:pt>
                <c:pt idx="21">
                  <c:v>0.4</c:v>
                </c:pt>
                <c:pt idx="22">
                  <c:v>0.5</c:v>
                </c:pt>
                <c:pt idx="23">
                  <c:v>0.6</c:v>
                </c:pt>
                <c:pt idx="24">
                  <c:v>0.7</c:v>
                </c:pt>
                <c:pt idx="25">
                  <c:v>0.8</c:v>
                </c:pt>
                <c:pt idx="26">
                  <c:v>0.9</c:v>
                </c:pt>
                <c:pt idx="27">
                  <c:v>1</c:v>
                </c:pt>
                <c:pt idx="28">
                  <c:v>1.5</c:v>
                </c:pt>
                <c:pt idx="29">
                  <c:v>2</c:v>
                </c:pt>
                <c:pt idx="30">
                  <c:v>2.5</c:v>
                </c:pt>
                <c:pt idx="31">
                  <c:v>3</c:v>
                </c:pt>
                <c:pt idx="32">
                  <c:v>3.5</c:v>
                </c:pt>
                <c:pt idx="33">
                  <c:v>4</c:v>
                </c:pt>
                <c:pt idx="34">
                  <c:v>4.5</c:v>
                </c:pt>
                <c:pt idx="35">
                  <c:v>5</c:v>
                </c:pt>
                <c:pt idx="36">
                  <c:v>5.5</c:v>
                </c:pt>
                <c:pt idx="37">
                  <c:v>6</c:v>
                </c:pt>
                <c:pt idx="38">
                  <c:v>6.5</c:v>
                </c:pt>
                <c:pt idx="39">
                  <c:v>7</c:v>
                </c:pt>
                <c:pt idx="40">
                  <c:v>7.5</c:v>
                </c:pt>
                <c:pt idx="41">
                  <c:v>8</c:v>
                </c:pt>
                <c:pt idx="42">
                  <c:v>8.5</c:v>
                </c:pt>
                <c:pt idx="43">
                  <c:v>9</c:v>
                </c:pt>
                <c:pt idx="44">
                  <c:v>9.5</c:v>
                </c:pt>
                <c:pt idx="45">
                  <c:v>10</c:v>
                </c:pt>
                <c:pt idx="46">
                  <c:v>10.5</c:v>
                </c:pt>
                <c:pt idx="47">
                  <c:v>11</c:v>
                </c:pt>
                <c:pt idx="48">
                  <c:v>11.5</c:v>
                </c:pt>
                <c:pt idx="49">
                  <c:v>12</c:v>
                </c:pt>
                <c:pt idx="50">
                  <c:v>12.5</c:v>
                </c:pt>
                <c:pt idx="51">
                  <c:v>13</c:v>
                </c:pt>
                <c:pt idx="52">
                  <c:v>13.5</c:v>
                </c:pt>
                <c:pt idx="53">
                  <c:v>14</c:v>
                </c:pt>
                <c:pt idx="54">
                  <c:v>14.5</c:v>
                </c:pt>
                <c:pt idx="55">
                  <c:v>15</c:v>
                </c:pt>
                <c:pt idx="56">
                  <c:v>15.5</c:v>
                </c:pt>
                <c:pt idx="57">
                  <c:v>16</c:v>
                </c:pt>
                <c:pt idx="58">
                  <c:v>16.5</c:v>
                </c:pt>
                <c:pt idx="59">
                  <c:v>17</c:v>
                </c:pt>
                <c:pt idx="60">
                  <c:v>17.5</c:v>
                </c:pt>
                <c:pt idx="61">
                  <c:v>18</c:v>
                </c:pt>
                <c:pt idx="62">
                  <c:v>18.5</c:v>
                </c:pt>
                <c:pt idx="63">
                  <c:v>19</c:v>
                </c:pt>
                <c:pt idx="64">
                  <c:v>19.5</c:v>
                </c:pt>
                <c:pt idx="65">
                  <c:v>20</c:v>
                </c:pt>
                <c:pt idx="66">
                  <c:v>20.5</c:v>
                </c:pt>
                <c:pt idx="67">
                  <c:v>21</c:v>
                </c:pt>
                <c:pt idx="68">
                  <c:v>21.5</c:v>
                </c:pt>
                <c:pt idx="69">
                  <c:v>22</c:v>
                </c:pt>
                <c:pt idx="70">
                  <c:v>22.5</c:v>
                </c:pt>
                <c:pt idx="71">
                  <c:v>23</c:v>
                </c:pt>
                <c:pt idx="72">
                  <c:v>23.5</c:v>
                </c:pt>
                <c:pt idx="73">
                  <c:v>24</c:v>
                </c:pt>
                <c:pt idx="74">
                  <c:v>24.5</c:v>
                </c:pt>
                <c:pt idx="75">
                  <c:v>25</c:v>
                </c:pt>
                <c:pt idx="76">
                  <c:v>25.5</c:v>
                </c:pt>
                <c:pt idx="77">
                  <c:v>26</c:v>
                </c:pt>
                <c:pt idx="78">
                  <c:v>26.5</c:v>
                </c:pt>
                <c:pt idx="79">
                  <c:v>27</c:v>
                </c:pt>
                <c:pt idx="80">
                  <c:v>27.5</c:v>
                </c:pt>
                <c:pt idx="81">
                  <c:v>28</c:v>
                </c:pt>
                <c:pt idx="82">
                  <c:v>28.5</c:v>
                </c:pt>
                <c:pt idx="83">
                  <c:v>29</c:v>
                </c:pt>
                <c:pt idx="84">
                  <c:v>29.5</c:v>
                </c:pt>
                <c:pt idx="85">
                  <c:v>30</c:v>
                </c:pt>
                <c:pt idx="86">
                  <c:v>30.5</c:v>
                </c:pt>
                <c:pt idx="87">
                  <c:v>31</c:v>
                </c:pt>
                <c:pt idx="88">
                  <c:v>31.5</c:v>
                </c:pt>
                <c:pt idx="89">
                  <c:v>32</c:v>
                </c:pt>
                <c:pt idx="90">
                  <c:v>32.5</c:v>
                </c:pt>
                <c:pt idx="91">
                  <c:v>33</c:v>
                </c:pt>
                <c:pt idx="92">
                  <c:v>33.5</c:v>
                </c:pt>
                <c:pt idx="93">
                  <c:v>34</c:v>
                </c:pt>
                <c:pt idx="94">
                  <c:v>34.5</c:v>
                </c:pt>
                <c:pt idx="95">
                  <c:v>35</c:v>
                </c:pt>
                <c:pt idx="96">
                  <c:v>35.5</c:v>
                </c:pt>
                <c:pt idx="97">
                  <c:v>36</c:v>
                </c:pt>
                <c:pt idx="98">
                  <c:v>36.5</c:v>
                </c:pt>
                <c:pt idx="99">
                  <c:v>37</c:v>
                </c:pt>
                <c:pt idx="100">
                  <c:v>37.5</c:v>
                </c:pt>
                <c:pt idx="101">
                  <c:v>38</c:v>
                </c:pt>
                <c:pt idx="102">
                  <c:v>38.5</c:v>
                </c:pt>
                <c:pt idx="103">
                  <c:v>39</c:v>
                </c:pt>
                <c:pt idx="104">
                  <c:v>39.5</c:v>
                </c:pt>
                <c:pt idx="105">
                  <c:v>40</c:v>
                </c:pt>
                <c:pt idx="106">
                  <c:v>40.5</c:v>
                </c:pt>
                <c:pt idx="107">
                  <c:v>41</c:v>
                </c:pt>
                <c:pt idx="108">
                  <c:v>41.5</c:v>
                </c:pt>
                <c:pt idx="109">
                  <c:v>42</c:v>
                </c:pt>
                <c:pt idx="110">
                  <c:v>42.5</c:v>
                </c:pt>
                <c:pt idx="111">
                  <c:v>43</c:v>
                </c:pt>
                <c:pt idx="112">
                  <c:v>43.5</c:v>
                </c:pt>
                <c:pt idx="113">
                  <c:v>44</c:v>
                </c:pt>
                <c:pt idx="114">
                  <c:v>44.5</c:v>
                </c:pt>
                <c:pt idx="115">
                  <c:v>45</c:v>
                </c:pt>
                <c:pt idx="116">
                  <c:v>45.5</c:v>
                </c:pt>
                <c:pt idx="117">
                  <c:v>46</c:v>
                </c:pt>
                <c:pt idx="118">
                  <c:v>46.5</c:v>
                </c:pt>
                <c:pt idx="119">
                  <c:v>47</c:v>
                </c:pt>
                <c:pt idx="120">
                  <c:v>47.5</c:v>
                </c:pt>
                <c:pt idx="121">
                  <c:v>48</c:v>
                </c:pt>
                <c:pt idx="122">
                  <c:v>48.5</c:v>
                </c:pt>
                <c:pt idx="123">
                  <c:v>49</c:v>
                </c:pt>
                <c:pt idx="124">
                  <c:v>49.5</c:v>
                </c:pt>
                <c:pt idx="125">
                  <c:v>50</c:v>
                </c:pt>
                <c:pt idx="126">
                  <c:v>50.5</c:v>
                </c:pt>
                <c:pt idx="127">
                  <c:v>51</c:v>
                </c:pt>
                <c:pt idx="128">
                  <c:v>51.5</c:v>
                </c:pt>
                <c:pt idx="129">
                  <c:v>52</c:v>
                </c:pt>
                <c:pt idx="130">
                  <c:v>52.5</c:v>
                </c:pt>
                <c:pt idx="131">
                  <c:v>53</c:v>
                </c:pt>
                <c:pt idx="132">
                  <c:v>53.5</c:v>
                </c:pt>
                <c:pt idx="133">
                  <c:v>54</c:v>
                </c:pt>
                <c:pt idx="134">
                  <c:v>54.5</c:v>
                </c:pt>
                <c:pt idx="135">
                  <c:v>55</c:v>
                </c:pt>
                <c:pt idx="136">
                  <c:v>55.5</c:v>
                </c:pt>
                <c:pt idx="137">
                  <c:v>56</c:v>
                </c:pt>
                <c:pt idx="138">
                  <c:v>56.5</c:v>
                </c:pt>
                <c:pt idx="139">
                  <c:v>57</c:v>
                </c:pt>
                <c:pt idx="140">
                  <c:v>57.5</c:v>
                </c:pt>
                <c:pt idx="141">
                  <c:v>58</c:v>
                </c:pt>
                <c:pt idx="142">
                  <c:v>58.5</c:v>
                </c:pt>
                <c:pt idx="143">
                  <c:v>59</c:v>
                </c:pt>
                <c:pt idx="144">
                  <c:v>59.5</c:v>
                </c:pt>
                <c:pt idx="145">
                  <c:v>60</c:v>
                </c:pt>
                <c:pt idx="146">
                  <c:v>60.5</c:v>
                </c:pt>
                <c:pt idx="147">
                  <c:v>61</c:v>
                </c:pt>
                <c:pt idx="148">
                  <c:v>61.5</c:v>
                </c:pt>
                <c:pt idx="149">
                  <c:v>62</c:v>
                </c:pt>
                <c:pt idx="150">
                  <c:v>62.5</c:v>
                </c:pt>
                <c:pt idx="151">
                  <c:v>63</c:v>
                </c:pt>
                <c:pt idx="152">
                  <c:v>63.5</c:v>
                </c:pt>
                <c:pt idx="153">
                  <c:v>64</c:v>
                </c:pt>
                <c:pt idx="154">
                  <c:v>64.5</c:v>
                </c:pt>
                <c:pt idx="155">
                  <c:v>65</c:v>
                </c:pt>
                <c:pt idx="156">
                  <c:v>65.5</c:v>
                </c:pt>
                <c:pt idx="157">
                  <c:v>66</c:v>
                </c:pt>
                <c:pt idx="158">
                  <c:v>66.5</c:v>
                </c:pt>
                <c:pt idx="159">
                  <c:v>67</c:v>
                </c:pt>
                <c:pt idx="160">
                  <c:v>67.5</c:v>
                </c:pt>
                <c:pt idx="161">
                  <c:v>68</c:v>
                </c:pt>
                <c:pt idx="162">
                  <c:v>68.5</c:v>
                </c:pt>
                <c:pt idx="163">
                  <c:v>69</c:v>
                </c:pt>
                <c:pt idx="164">
                  <c:v>69.5</c:v>
                </c:pt>
                <c:pt idx="165">
                  <c:v>70</c:v>
                </c:pt>
                <c:pt idx="166">
                  <c:v>70.5</c:v>
                </c:pt>
                <c:pt idx="167">
                  <c:v>71</c:v>
                </c:pt>
                <c:pt idx="168">
                  <c:v>71.5</c:v>
                </c:pt>
                <c:pt idx="169">
                  <c:v>72</c:v>
                </c:pt>
                <c:pt idx="170">
                  <c:v>72.5</c:v>
                </c:pt>
                <c:pt idx="171">
                  <c:v>73</c:v>
                </c:pt>
                <c:pt idx="172">
                  <c:v>73.5</c:v>
                </c:pt>
                <c:pt idx="173">
                  <c:v>74</c:v>
                </c:pt>
                <c:pt idx="174">
                  <c:v>74.5</c:v>
                </c:pt>
                <c:pt idx="175">
                  <c:v>75</c:v>
                </c:pt>
                <c:pt idx="176">
                  <c:v>75.5</c:v>
                </c:pt>
                <c:pt idx="177">
                  <c:v>76</c:v>
                </c:pt>
                <c:pt idx="178">
                  <c:v>76.5</c:v>
                </c:pt>
                <c:pt idx="179">
                  <c:v>77</c:v>
                </c:pt>
                <c:pt idx="180">
                  <c:v>77.5</c:v>
                </c:pt>
                <c:pt idx="181">
                  <c:v>78</c:v>
                </c:pt>
                <c:pt idx="182">
                  <c:v>78.5</c:v>
                </c:pt>
                <c:pt idx="183">
                  <c:v>79</c:v>
                </c:pt>
                <c:pt idx="184">
                  <c:v>79.5</c:v>
                </c:pt>
                <c:pt idx="185">
                  <c:v>80</c:v>
                </c:pt>
                <c:pt idx="186">
                  <c:v>80.5</c:v>
                </c:pt>
                <c:pt idx="187">
                  <c:v>81</c:v>
                </c:pt>
                <c:pt idx="188">
                  <c:v>81.5</c:v>
                </c:pt>
                <c:pt idx="189">
                  <c:v>82</c:v>
                </c:pt>
                <c:pt idx="190">
                  <c:v>82.5</c:v>
                </c:pt>
                <c:pt idx="191">
                  <c:v>83</c:v>
                </c:pt>
                <c:pt idx="192">
                  <c:v>83.5</c:v>
                </c:pt>
                <c:pt idx="193">
                  <c:v>84</c:v>
                </c:pt>
                <c:pt idx="194">
                  <c:v>84.5</c:v>
                </c:pt>
                <c:pt idx="195">
                  <c:v>85</c:v>
                </c:pt>
                <c:pt idx="196">
                  <c:v>85.5</c:v>
                </c:pt>
                <c:pt idx="197">
                  <c:v>86</c:v>
                </c:pt>
                <c:pt idx="198">
                  <c:v>86.5</c:v>
                </c:pt>
                <c:pt idx="199">
                  <c:v>87</c:v>
                </c:pt>
                <c:pt idx="200">
                  <c:v>87.5</c:v>
                </c:pt>
                <c:pt idx="201">
                  <c:v>88</c:v>
                </c:pt>
                <c:pt idx="202">
                  <c:v>88.5</c:v>
                </c:pt>
                <c:pt idx="203">
                  <c:v>89</c:v>
                </c:pt>
                <c:pt idx="204">
                  <c:v>89.5</c:v>
                </c:pt>
                <c:pt idx="205">
                  <c:v>90</c:v>
                </c:pt>
                <c:pt idx="206">
                  <c:v>90.5</c:v>
                </c:pt>
                <c:pt idx="207">
                  <c:v>91</c:v>
                </c:pt>
                <c:pt idx="208">
                  <c:v>91.5</c:v>
                </c:pt>
                <c:pt idx="209">
                  <c:v>92</c:v>
                </c:pt>
                <c:pt idx="210">
                  <c:v>92.5</c:v>
                </c:pt>
                <c:pt idx="211">
                  <c:v>93</c:v>
                </c:pt>
                <c:pt idx="212">
                  <c:v>93.5</c:v>
                </c:pt>
                <c:pt idx="213">
                  <c:v>94</c:v>
                </c:pt>
                <c:pt idx="214">
                  <c:v>94.5</c:v>
                </c:pt>
                <c:pt idx="215">
                  <c:v>95</c:v>
                </c:pt>
                <c:pt idx="216">
                  <c:v>95.5</c:v>
                </c:pt>
                <c:pt idx="217">
                  <c:v>96</c:v>
                </c:pt>
                <c:pt idx="218">
                  <c:v>96.5</c:v>
                </c:pt>
                <c:pt idx="219">
                  <c:v>97</c:v>
                </c:pt>
                <c:pt idx="220">
                  <c:v>97.5</c:v>
                </c:pt>
                <c:pt idx="221">
                  <c:v>98</c:v>
                </c:pt>
                <c:pt idx="222">
                  <c:v>98.5</c:v>
                </c:pt>
                <c:pt idx="223">
                  <c:v>99</c:v>
                </c:pt>
                <c:pt idx="224">
                  <c:v>99.5</c:v>
                </c:pt>
                <c:pt idx="225">
                  <c:v>100</c:v>
                </c:pt>
                <c:pt idx="226">
                  <c:v>105</c:v>
                </c:pt>
                <c:pt idx="227">
                  <c:v>110</c:v>
                </c:pt>
                <c:pt idx="228">
                  <c:v>115</c:v>
                </c:pt>
                <c:pt idx="229">
                  <c:v>120</c:v>
                </c:pt>
                <c:pt idx="230">
                  <c:v>125</c:v>
                </c:pt>
                <c:pt idx="231">
                  <c:v>130</c:v>
                </c:pt>
                <c:pt idx="232">
                  <c:v>135</c:v>
                </c:pt>
                <c:pt idx="233">
                  <c:v>140</c:v>
                </c:pt>
                <c:pt idx="234">
                  <c:v>145</c:v>
                </c:pt>
                <c:pt idx="235">
                  <c:v>150</c:v>
                </c:pt>
                <c:pt idx="236">
                  <c:v>155</c:v>
                </c:pt>
                <c:pt idx="237">
                  <c:v>160</c:v>
                </c:pt>
                <c:pt idx="238">
                  <c:v>165</c:v>
                </c:pt>
                <c:pt idx="239">
                  <c:v>170</c:v>
                </c:pt>
                <c:pt idx="240">
                  <c:v>175</c:v>
                </c:pt>
                <c:pt idx="241">
                  <c:v>180</c:v>
                </c:pt>
                <c:pt idx="242">
                  <c:v>185</c:v>
                </c:pt>
                <c:pt idx="243">
                  <c:v>190</c:v>
                </c:pt>
                <c:pt idx="244">
                  <c:v>195</c:v>
                </c:pt>
                <c:pt idx="245">
                  <c:v>200</c:v>
                </c:pt>
                <c:pt idx="246">
                  <c:v>205</c:v>
                </c:pt>
                <c:pt idx="247">
                  <c:v>210</c:v>
                </c:pt>
                <c:pt idx="248">
                  <c:v>215</c:v>
                </c:pt>
                <c:pt idx="249">
                  <c:v>220</c:v>
                </c:pt>
                <c:pt idx="250">
                  <c:v>225</c:v>
                </c:pt>
                <c:pt idx="251">
                  <c:v>230</c:v>
                </c:pt>
                <c:pt idx="252">
                  <c:v>235</c:v>
                </c:pt>
                <c:pt idx="253">
                  <c:v>240</c:v>
                </c:pt>
                <c:pt idx="254">
                  <c:v>245</c:v>
                </c:pt>
                <c:pt idx="255">
                  <c:v>250</c:v>
                </c:pt>
                <c:pt idx="256">
                  <c:v>255</c:v>
                </c:pt>
                <c:pt idx="257">
                  <c:v>260</c:v>
                </c:pt>
                <c:pt idx="258">
                  <c:v>265</c:v>
                </c:pt>
                <c:pt idx="259">
                  <c:v>270</c:v>
                </c:pt>
                <c:pt idx="260">
                  <c:v>275</c:v>
                </c:pt>
                <c:pt idx="261">
                  <c:v>280</c:v>
                </c:pt>
                <c:pt idx="262">
                  <c:v>285</c:v>
                </c:pt>
                <c:pt idx="263">
                  <c:v>290</c:v>
                </c:pt>
                <c:pt idx="264">
                  <c:v>295</c:v>
                </c:pt>
                <c:pt idx="265">
                  <c:v>300</c:v>
                </c:pt>
                <c:pt idx="266">
                  <c:v>305</c:v>
                </c:pt>
                <c:pt idx="267">
                  <c:v>310</c:v>
                </c:pt>
                <c:pt idx="268">
                  <c:v>315</c:v>
                </c:pt>
                <c:pt idx="269">
                  <c:v>320</c:v>
                </c:pt>
                <c:pt idx="270">
                  <c:v>325</c:v>
                </c:pt>
                <c:pt idx="271">
                  <c:v>330</c:v>
                </c:pt>
                <c:pt idx="272">
                  <c:v>335</c:v>
                </c:pt>
                <c:pt idx="273">
                  <c:v>340</c:v>
                </c:pt>
                <c:pt idx="274">
                  <c:v>345</c:v>
                </c:pt>
                <c:pt idx="275">
                  <c:v>350</c:v>
                </c:pt>
                <c:pt idx="276">
                  <c:v>355</c:v>
                </c:pt>
                <c:pt idx="277">
                  <c:v>360</c:v>
                </c:pt>
                <c:pt idx="278">
                  <c:v>365</c:v>
                </c:pt>
                <c:pt idx="279">
                  <c:v>370</c:v>
                </c:pt>
                <c:pt idx="280">
                  <c:v>375</c:v>
                </c:pt>
                <c:pt idx="281">
                  <c:v>380</c:v>
                </c:pt>
                <c:pt idx="282">
                  <c:v>385</c:v>
                </c:pt>
                <c:pt idx="283">
                  <c:v>390</c:v>
                </c:pt>
                <c:pt idx="284">
                  <c:v>395</c:v>
                </c:pt>
                <c:pt idx="285">
                  <c:v>400</c:v>
                </c:pt>
                <c:pt idx="286">
                  <c:v>405</c:v>
                </c:pt>
                <c:pt idx="287">
                  <c:v>410</c:v>
                </c:pt>
                <c:pt idx="288">
                  <c:v>415</c:v>
                </c:pt>
                <c:pt idx="289">
                  <c:v>420</c:v>
                </c:pt>
                <c:pt idx="290">
                  <c:v>425</c:v>
                </c:pt>
                <c:pt idx="291">
                  <c:v>430</c:v>
                </c:pt>
                <c:pt idx="292">
                  <c:v>435</c:v>
                </c:pt>
                <c:pt idx="293">
                  <c:v>440</c:v>
                </c:pt>
                <c:pt idx="294">
                  <c:v>445</c:v>
                </c:pt>
                <c:pt idx="295">
                  <c:v>450</c:v>
                </c:pt>
                <c:pt idx="296">
                  <c:v>455</c:v>
                </c:pt>
                <c:pt idx="297">
                  <c:v>460</c:v>
                </c:pt>
                <c:pt idx="298">
                  <c:v>465</c:v>
                </c:pt>
                <c:pt idx="299">
                  <c:v>470</c:v>
                </c:pt>
                <c:pt idx="300">
                  <c:v>475</c:v>
                </c:pt>
                <c:pt idx="301">
                  <c:v>480</c:v>
                </c:pt>
                <c:pt idx="302">
                  <c:v>485</c:v>
                </c:pt>
                <c:pt idx="303">
                  <c:v>490</c:v>
                </c:pt>
                <c:pt idx="304">
                  <c:v>495</c:v>
                </c:pt>
                <c:pt idx="305">
                  <c:v>500</c:v>
                </c:pt>
                <c:pt idx="306">
                  <c:v>505</c:v>
                </c:pt>
                <c:pt idx="307">
                  <c:v>510</c:v>
                </c:pt>
                <c:pt idx="308">
                  <c:v>515</c:v>
                </c:pt>
                <c:pt idx="309">
                  <c:v>520</c:v>
                </c:pt>
                <c:pt idx="310">
                  <c:v>525</c:v>
                </c:pt>
                <c:pt idx="311">
                  <c:v>530</c:v>
                </c:pt>
                <c:pt idx="312">
                  <c:v>535</c:v>
                </c:pt>
                <c:pt idx="313">
                  <c:v>540</c:v>
                </c:pt>
                <c:pt idx="314">
                  <c:v>545</c:v>
                </c:pt>
                <c:pt idx="315">
                  <c:v>550</c:v>
                </c:pt>
                <c:pt idx="316">
                  <c:v>555</c:v>
                </c:pt>
                <c:pt idx="317">
                  <c:v>560</c:v>
                </c:pt>
                <c:pt idx="318">
                  <c:v>565</c:v>
                </c:pt>
                <c:pt idx="319">
                  <c:v>570</c:v>
                </c:pt>
                <c:pt idx="320">
                  <c:v>575</c:v>
                </c:pt>
                <c:pt idx="321">
                  <c:v>580</c:v>
                </c:pt>
                <c:pt idx="322">
                  <c:v>585</c:v>
                </c:pt>
                <c:pt idx="323">
                  <c:v>590</c:v>
                </c:pt>
                <c:pt idx="324">
                  <c:v>595</c:v>
                </c:pt>
                <c:pt idx="325">
                  <c:v>600</c:v>
                </c:pt>
                <c:pt idx="326">
                  <c:v>605</c:v>
                </c:pt>
                <c:pt idx="327">
                  <c:v>610</c:v>
                </c:pt>
                <c:pt idx="328">
                  <c:v>615</c:v>
                </c:pt>
                <c:pt idx="329">
                  <c:v>620</c:v>
                </c:pt>
                <c:pt idx="330">
                  <c:v>625</c:v>
                </c:pt>
                <c:pt idx="331">
                  <c:v>630</c:v>
                </c:pt>
                <c:pt idx="332">
                  <c:v>635</c:v>
                </c:pt>
                <c:pt idx="333">
                  <c:v>640</c:v>
                </c:pt>
                <c:pt idx="334">
                  <c:v>645</c:v>
                </c:pt>
                <c:pt idx="335">
                  <c:v>650</c:v>
                </c:pt>
                <c:pt idx="336">
                  <c:v>655</c:v>
                </c:pt>
                <c:pt idx="337">
                  <c:v>660</c:v>
                </c:pt>
                <c:pt idx="338">
                  <c:v>665</c:v>
                </c:pt>
                <c:pt idx="339">
                  <c:v>670</c:v>
                </c:pt>
                <c:pt idx="340">
                  <c:v>675</c:v>
                </c:pt>
                <c:pt idx="341">
                  <c:v>680</c:v>
                </c:pt>
                <c:pt idx="342">
                  <c:v>685</c:v>
                </c:pt>
                <c:pt idx="343">
                  <c:v>690</c:v>
                </c:pt>
                <c:pt idx="344">
                  <c:v>695</c:v>
                </c:pt>
                <c:pt idx="345">
                  <c:v>700</c:v>
                </c:pt>
                <c:pt idx="346">
                  <c:v>705</c:v>
                </c:pt>
                <c:pt idx="347">
                  <c:v>710</c:v>
                </c:pt>
                <c:pt idx="348">
                  <c:v>715</c:v>
                </c:pt>
                <c:pt idx="349">
                  <c:v>720</c:v>
                </c:pt>
                <c:pt idx="350">
                  <c:v>725</c:v>
                </c:pt>
                <c:pt idx="351">
                  <c:v>730</c:v>
                </c:pt>
                <c:pt idx="352">
                  <c:v>735</c:v>
                </c:pt>
                <c:pt idx="353">
                  <c:v>740</c:v>
                </c:pt>
                <c:pt idx="354">
                  <c:v>745</c:v>
                </c:pt>
                <c:pt idx="355">
                  <c:v>750</c:v>
                </c:pt>
                <c:pt idx="356">
                  <c:v>755</c:v>
                </c:pt>
                <c:pt idx="357">
                  <c:v>760</c:v>
                </c:pt>
                <c:pt idx="358">
                  <c:v>765</c:v>
                </c:pt>
                <c:pt idx="359">
                  <c:v>770</c:v>
                </c:pt>
                <c:pt idx="360">
                  <c:v>775</c:v>
                </c:pt>
                <c:pt idx="361">
                  <c:v>780</c:v>
                </c:pt>
                <c:pt idx="362">
                  <c:v>785</c:v>
                </c:pt>
                <c:pt idx="363">
                  <c:v>790</c:v>
                </c:pt>
                <c:pt idx="364">
                  <c:v>795</c:v>
                </c:pt>
                <c:pt idx="365">
                  <c:v>800</c:v>
                </c:pt>
                <c:pt idx="366">
                  <c:v>805</c:v>
                </c:pt>
                <c:pt idx="367">
                  <c:v>810</c:v>
                </c:pt>
                <c:pt idx="368">
                  <c:v>815</c:v>
                </c:pt>
                <c:pt idx="369">
                  <c:v>820</c:v>
                </c:pt>
                <c:pt idx="370">
                  <c:v>825</c:v>
                </c:pt>
                <c:pt idx="371">
                  <c:v>830</c:v>
                </c:pt>
                <c:pt idx="372">
                  <c:v>835</c:v>
                </c:pt>
                <c:pt idx="373">
                  <c:v>840</c:v>
                </c:pt>
                <c:pt idx="374">
                  <c:v>845</c:v>
                </c:pt>
                <c:pt idx="375">
                  <c:v>850</c:v>
                </c:pt>
                <c:pt idx="376">
                  <c:v>855</c:v>
                </c:pt>
                <c:pt idx="377">
                  <c:v>860</c:v>
                </c:pt>
                <c:pt idx="378">
                  <c:v>865</c:v>
                </c:pt>
                <c:pt idx="379">
                  <c:v>870</c:v>
                </c:pt>
                <c:pt idx="380">
                  <c:v>875</c:v>
                </c:pt>
                <c:pt idx="381">
                  <c:v>880</c:v>
                </c:pt>
                <c:pt idx="382">
                  <c:v>885</c:v>
                </c:pt>
                <c:pt idx="383">
                  <c:v>890</c:v>
                </c:pt>
                <c:pt idx="384">
                  <c:v>895</c:v>
                </c:pt>
                <c:pt idx="385">
                  <c:v>900</c:v>
                </c:pt>
                <c:pt idx="386">
                  <c:v>905</c:v>
                </c:pt>
                <c:pt idx="387">
                  <c:v>910</c:v>
                </c:pt>
                <c:pt idx="388">
                  <c:v>915</c:v>
                </c:pt>
                <c:pt idx="389">
                  <c:v>920</c:v>
                </c:pt>
                <c:pt idx="390">
                  <c:v>925</c:v>
                </c:pt>
                <c:pt idx="391">
                  <c:v>930</c:v>
                </c:pt>
                <c:pt idx="392">
                  <c:v>935</c:v>
                </c:pt>
                <c:pt idx="393">
                  <c:v>940</c:v>
                </c:pt>
                <c:pt idx="394">
                  <c:v>945</c:v>
                </c:pt>
                <c:pt idx="395">
                  <c:v>950</c:v>
                </c:pt>
                <c:pt idx="396">
                  <c:v>955</c:v>
                </c:pt>
                <c:pt idx="397">
                  <c:v>960</c:v>
                </c:pt>
                <c:pt idx="398">
                  <c:v>965</c:v>
                </c:pt>
                <c:pt idx="399">
                  <c:v>970</c:v>
                </c:pt>
                <c:pt idx="400">
                  <c:v>975</c:v>
                </c:pt>
                <c:pt idx="401">
                  <c:v>980</c:v>
                </c:pt>
                <c:pt idx="402">
                  <c:v>985</c:v>
                </c:pt>
                <c:pt idx="403">
                  <c:v>990</c:v>
                </c:pt>
                <c:pt idx="404">
                  <c:v>995</c:v>
                </c:pt>
                <c:pt idx="405">
                  <c:v>1000</c:v>
                </c:pt>
                <c:pt idx="406">
                  <c:v>1005</c:v>
                </c:pt>
                <c:pt idx="407">
                  <c:v>1010</c:v>
                </c:pt>
                <c:pt idx="408">
                  <c:v>1015</c:v>
                </c:pt>
                <c:pt idx="409">
                  <c:v>1020</c:v>
                </c:pt>
                <c:pt idx="410">
                  <c:v>1025</c:v>
                </c:pt>
                <c:pt idx="411">
                  <c:v>1030</c:v>
                </c:pt>
                <c:pt idx="412">
                  <c:v>1035</c:v>
                </c:pt>
                <c:pt idx="413">
                  <c:v>1040</c:v>
                </c:pt>
                <c:pt idx="414">
                  <c:v>1045</c:v>
                </c:pt>
                <c:pt idx="415">
                  <c:v>1050</c:v>
                </c:pt>
                <c:pt idx="416">
                  <c:v>1055</c:v>
                </c:pt>
                <c:pt idx="417">
                  <c:v>1060</c:v>
                </c:pt>
                <c:pt idx="418">
                  <c:v>1065</c:v>
                </c:pt>
                <c:pt idx="419">
                  <c:v>1070</c:v>
                </c:pt>
                <c:pt idx="420">
                  <c:v>1075</c:v>
                </c:pt>
                <c:pt idx="421">
                  <c:v>1080</c:v>
                </c:pt>
                <c:pt idx="422">
                  <c:v>1085</c:v>
                </c:pt>
                <c:pt idx="423">
                  <c:v>1090</c:v>
                </c:pt>
                <c:pt idx="424">
                  <c:v>1095</c:v>
                </c:pt>
                <c:pt idx="425">
                  <c:v>1100</c:v>
                </c:pt>
                <c:pt idx="426">
                  <c:v>1105</c:v>
                </c:pt>
                <c:pt idx="427">
                  <c:v>1110</c:v>
                </c:pt>
                <c:pt idx="428">
                  <c:v>1115</c:v>
                </c:pt>
                <c:pt idx="429">
                  <c:v>1120</c:v>
                </c:pt>
                <c:pt idx="430">
                  <c:v>1125</c:v>
                </c:pt>
                <c:pt idx="431">
                  <c:v>1130</c:v>
                </c:pt>
                <c:pt idx="432">
                  <c:v>1135</c:v>
                </c:pt>
                <c:pt idx="433">
                  <c:v>1140</c:v>
                </c:pt>
                <c:pt idx="434">
                  <c:v>1145</c:v>
                </c:pt>
                <c:pt idx="435">
                  <c:v>1150</c:v>
                </c:pt>
                <c:pt idx="436">
                  <c:v>1155</c:v>
                </c:pt>
                <c:pt idx="437">
                  <c:v>1160</c:v>
                </c:pt>
                <c:pt idx="438">
                  <c:v>1165</c:v>
                </c:pt>
                <c:pt idx="439">
                  <c:v>1170</c:v>
                </c:pt>
                <c:pt idx="440">
                  <c:v>1175</c:v>
                </c:pt>
                <c:pt idx="441">
                  <c:v>1180</c:v>
                </c:pt>
                <c:pt idx="442">
                  <c:v>1185</c:v>
                </c:pt>
                <c:pt idx="443">
                  <c:v>1190</c:v>
                </c:pt>
                <c:pt idx="444">
                  <c:v>1195</c:v>
                </c:pt>
                <c:pt idx="445">
                  <c:v>1200</c:v>
                </c:pt>
                <c:pt idx="446">
                  <c:v>1205</c:v>
                </c:pt>
                <c:pt idx="447">
                  <c:v>1210</c:v>
                </c:pt>
                <c:pt idx="448">
                  <c:v>1215</c:v>
                </c:pt>
                <c:pt idx="449">
                  <c:v>1220</c:v>
                </c:pt>
                <c:pt idx="450">
                  <c:v>1225</c:v>
                </c:pt>
                <c:pt idx="451">
                  <c:v>1230</c:v>
                </c:pt>
                <c:pt idx="452">
                  <c:v>1235</c:v>
                </c:pt>
                <c:pt idx="453">
                  <c:v>1240</c:v>
                </c:pt>
                <c:pt idx="454">
                  <c:v>1245</c:v>
                </c:pt>
                <c:pt idx="455">
                  <c:v>1250</c:v>
                </c:pt>
                <c:pt idx="456">
                  <c:v>1255</c:v>
                </c:pt>
                <c:pt idx="457">
                  <c:v>1260</c:v>
                </c:pt>
                <c:pt idx="458">
                  <c:v>1265</c:v>
                </c:pt>
                <c:pt idx="459">
                  <c:v>1270</c:v>
                </c:pt>
                <c:pt idx="460">
                  <c:v>1275</c:v>
                </c:pt>
                <c:pt idx="461">
                  <c:v>1280</c:v>
                </c:pt>
                <c:pt idx="462">
                  <c:v>1285</c:v>
                </c:pt>
                <c:pt idx="463">
                  <c:v>1290</c:v>
                </c:pt>
                <c:pt idx="464">
                  <c:v>1295</c:v>
                </c:pt>
                <c:pt idx="465">
                  <c:v>1300</c:v>
                </c:pt>
                <c:pt idx="466">
                  <c:v>1305</c:v>
                </c:pt>
                <c:pt idx="467">
                  <c:v>1310</c:v>
                </c:pt>
                <c:pt idx="468">
                  <c:v>1315</c:v>
                </c:pt>
                <c:pt idx="469">
                  <c:v>1320</c:v>
                </c:pt>
                <c:pt idx="470">
                  <c:v>1325</c:v>
                </c:pt>
                <c:pt idx="471">
                  <c:v>1330</c:v>
                </c:pt>
                <c:pt idx="472">
                  <c:v>1335</c:v>
                </c:pt>
                <c:pt idx="473">
                  <c:v>1340</c:v>
                </c:pt>
                <c:pt idx="474">
                  <c:v>1345</c:v>
                </c:pt>
                <c:pt idx="475">
                  <c:v>1350</c:v>
                </c:pt>
                <c:pt idx="476">
                  <c:v>1355</c:v>
                </c:pt>
                <c:pt idx="477">
                  <c:v>1360</c:v>
                </c:pt>
                <c:pt idx="478">
                  <c:v>1365</c:v>
                </c:pt>
                <c:pt idx="479">
                  <c:v>1370</c:v>
                </c:pt>
                <c:pt idx="480">
                  <c:v>1375</c:v>
                </c:pt>
                <c:pt idx="481">
                  <c:v>1380</c:v>
                </c:pt>
                <c:pt idx="482">
                  <c:v>1385</c:v>
                </c:pt>
                <c:pt idx="483">
                  <c:v>1390</c:v>
                </c:pt>
                <c:pt idx="484">
                  <c:v>1395</c:v>
                </c:pt>
                <c:pt idx="485">
                  <c:v>1400</c:v>
                </c:pt>
                <c:pt idx="486">
                  <c:v>1405</c:v>
                </c:pt>
                <c:pt idx="487">
                  <c:v>1410</c:v>
                </c:pt>
                <c:pt idx="488">
                  <c:v>1415</c:v>
                </c:pt>
                <c:pt idx="489">
                  <c:v>1420</c:v>
                </c:pt>
                <c:pt idx="490">
                  <c:v>1425</c:v>
                </c:pt>
                <c:pt idx="491">
                  <c:v>1430</c:v>
                </c:pt>
                <c:pt idx="492">
                  <c:v>1435</c:v>
                </c:pt>
                <c:pt idx="493">
                  <c:v>1440</c:v>
                </c:pt>
                <c:pt idx="494">
                  <c:v>1445</c:v>
                </c:pt>
                <c:pt idx="495">
                  <c:v>1450</c:v>
                </c:pt>
                <c:pt idx="496">
                  <c:v>1455</c:v>
                </c:pt>
                <c:pt idx="497">
                  <c:v>1460</c:v>
                </c:pt>
                <c:pt idx="498">
                  <c:v>1465</c:v>
                </c:pt>
                <c:pt idx="499">
                  <c:v>1470</c:v>
                </c:pt>
                <c:pt idx="500">
                  <c:v>1475</c:v>
                </c:pt>
                <c:pt idx="501">
                  <c:v>1480</c:v>
                </c:pt>
                <c:pt idx="502">
                  <c:v>1485</c:v>
                </c:pt>
                <c:pt idx="503">
                  <c:v>1490</c:v>
                </c:pt>
                <c:pt idx="504">
                  <c:v>1495</c:v>
                </c:pt>
                <c:pt idx="505">
                  <c:v>1500</c:v>
                </c:pt>
                <c:pt idx="506">
                  <c:v>1505</c:v>
                </c:pt>
                <c:pt idx="507">
                  <c:v>1510</c:v>
                </c:pt>
                <c:pt idx="508">
                  <c:v>1515</c:v>
                </c:pt>
                <c:pt idx="509">
                  <c:v>1520</c:v>
                </c:pt>
                <c:pt idx="510">
                  <c:v>1525</c:v>
                </c:pt>
                <c:pt idx="511">
                  <c:v>1530</c:v>
                </c:pt>
                <c:pt idx="512">
                  <c:v>1535</c:v>
                </c:pt>
                <c:pt idx="513">
                  <c:v>1540</c:v>
                </c:pt>
                <c:pt idx="514">
                  <c:v>1545</c:v>
                </c:pt>
                <c:pt idx="515">
                  <c:v>1550</c:v>
                </c:pt>
                <c:pt idx="516">
                  <c:v>1555</c:v>
                </c:pt>
                <c:pt idx="517">
                  <c:v>1560</c:v>
                </c:pt>
                <c:pt idx="518">
                  <c:v>1565</c:v>
                </c:pt>
                <c:pt idx="519">
                  <c:v>1570</c:v>
                </c:pt>
                <c:pt idx="520">
                  <c:v>1575</c:v>
                </c:pt>
                <c:pt idx="521">
                  <c:v>1580</c:v>
                </c:pt>
                <c:pt idx="522">
                  <c:v>1585</c:v>
                </c:pt>
                <c:pt idx="523">
                  <c:v>1590</c:v>
                </c:pt>
                <c:pt idx="524">
                  <c:v>1595</c:v>
                </c:pt>
                <c:pt idx="525">
                  <c:v>1600</c:v>
                </c:pt>
                <c:pt idx="526">
                  <c:v>1605</c:v>
                </c:pt>
                <c:pt idx="527">
                  <c:v>1610</c:v>
                </c:pt>
                <c:pt idx="528">
                  <c:v>1615</c:v>
                </c:pt>
                <c:pt idx="529">
                  <c:v>1620</c:v>
                </c:pt>
                <c:pt idx="530">
                  <c:v>1625</c:v>
                </c:pt>
                <c:pt idx="531">
                  <c:v>1630</c:v>
                </c:pt>
                <c:pt idx="532">
                  <c:v>1635</c:v>
                </c:pt>
                <c:pt idx="533">
                  <c:v>1640</c:v>
                </c:pt>
                <c:pt idx="534">
                  <c:v>1645</c:v>
                </c:pt>
                <c:pt idx="535">
                  <c:v>1650</c:v>
                </c:pt>
                <c:pt idx="536">
                  <c:v>1655</c:v>
                </c:pt>
                <c:pt idx="537">
                  <c:v>1660</c:v>
                </c:pt>
                <c:pt idx="538">
                  <c:v>1665</c:v>
                </c:pt>
                <c:pt idx="539">
                  <c:v>1670</c:v>
                </c:pt>
                <c:pt idx="540">
                  <c:v>1675</c:v>
                </c:pt>
                <c:pt idx="541">
                  <c:v>1680</c:v>
                </c:pt>
                <c:pt idx="542">
                  <c:v>1685</c:v>
                </c:pt>
                <c:pt idx="543">
                  <c:v>1690</c:v>
                </c:pt>
                <c:pt idx="544">
                  <c:v>1695</c:v>
                </c:pt>
                <c:pt idx="545">
                  <c:v>1700</c:v>
                </c:pt>
                <c:pt idx="546">
                  <c:v>1705</c:v>
                </c:pt>
                <c:pt idx="547">
                  <c:v>1710</c:v>
                </c:pt>
                <c:pt idx="548">
                  <c:v>1715</c:v>
                </c:pt>
                <c:pt idx="549">
                  <c:v>1720</c:v>
                </c:pt>
                <c:pt idx="550">
                  <c:v>1725</c:v>
                </c:pt>
                <c:pt idx="551">
                  <c:v>1730</c:v>
                </c:pt>
                <c:pt idx="552">
                  <c:v>1735</c:v>
                </c:pt>
                <c:pt idx="553">
                  <c:v>1740</c:v>
                </c:pt>
                <c:pt idx="554">
                  <c:v>1745</c:v>
                </c:pt>
                <c:pt idx="555">
                  <c:v>1750</c:v>
                </c:pt>
                <c:pt idx="556">
                  <c:v>1755</c:v>
                </c:pt>
                <c:pt idx="557">
                  <c:v>1760</c:v>
                </c:pt>
                <c:pt idx="558">
                  <c:v>1765</c:v>
                </c:pt>
                <c:pt idx="559">
                  <c:v>1770</c:v>
                </c:pt>
                <c:pt idx="560">
                  <c:v>1775</c:v>
                </c:pt>
                <c:pt idx="561">
                  <c:v>1780</c:v>
                </c:pt>
                <c:pt idx="562">
                  <c:v>1785</c:v>
                </c:pt>
                <c:pt idx="563">
                  <c:v>1790</c:v>
                </c:pt>
                <c:pt idx="564">
                  <c:v>1795</c:v>
                </c:pt>
                <c:pt idx="565">
                  <c:v>1800</c:v>
                </c:pt>
                <c:pt idx="566">
                  <c:v>1805</c:v>
                </c:pt>
                <c:pt idx="567">
                  <c:v>1810</c:v>
                </c:pt>
                <c:pt idx="568">
                  <c:v>1815</c:v>
                </c:pt>
                <c:pt idx="569">
                  <c:v>1820</c:v>
                </c:pt>
                <c:pt idx="570">
                  <c:v>1825</c:v>
                </c:pt>
                <c:pt idx="571">
                  <c:v>1830</c:v>
                </c:pt>
                <c:pt idx="572">
                  <c:v>1835</c:v>
                </c:pt>
                <c:pt idx="573">
                  <c:v>1840</c:v>
                </c:pt>
                <c:pt idx="574">
                  <c:v>1845</c:v>
                </c:pt>
                <c:pt idx="575">
                  <c:v>1850</c:v>
                </c:pt>
                <c:pt idx="576">
                  <c:v>1855</c:v>
                </c:pt>
                <c:pt idx="577">
                  <c:v>1860</c:v>
                </c:pt>
                <c:pt idx="578">
                  <c:v>1865</c:v>
                </c:pt>
                <c:pt idx="579">
                  <c:v>1870</c:v>
                </c:pt>
                <c:pt idx="580">
                  <c:v>1875</c:v>
                </c:pt>
                <c:pt idx="581">
                  <c:v>1880</c:v>
                </c:pt>
                <c:pt idx="582">
                  <c:v>1885</c:v>
                </c:pt>
                <c:pt idx="583">
                  <c:v>1890</c:v>
                </c:pt>
                <c:pt idx="584">
                  <c:v>1895</c:v>
                </c:pt>
                <c:pt idx="585">
                  <c:v>1900</c:v>
                </c:pt>
                <c:pt idx="586">
                  <c:v>1905</c:v>
                </c:pt>
                <c:pt idx="587">
                  <c:v>1910</c:v>
                </c:pt>
                <c:pt idx="588">
                  <c:v>1915</c:v>
                </c:pt>
                <c:pt idx="589">
                  <c:v>1920</c:v>
                </c:pt>
                <c:pt idx="590">
                  <c:v>1925</c:v>
                </c:pt>
                <c:pt idx="591">
                  <c:v>1930</c:v>
                </c:pt>
                <c:pt idx="592">
                  <c:v>1935</c:v>
                </c:pt>
                <c:pt idx="593">
                  <c:v>1940</c:v>
                </c:pt>
                <c:pt idx="594">
                  <c:v>1945</c:v>
                </c:pt>
                <c:pt idx="595">
                  <c:v>1950</c:v>
                </c:pt>
                <c:pt idx="596">
                  <c:v>1955</c:v>
                </c:pt>
                <c:pt idx="597">
                  <c:v>1960</c:v>
                </c:pt>
                <c:pt idx="598">
                  <c:v>1965</c:v>
                </c:pt>
                <c:pt idx="599">
                  <c:v>1970</c:v>
                </c:pt>
                <c:pt idx="600">
                  <c:v>1975</c:v>
                </c:pt>
                <c:pt idx="601">
                  <c:v>1980</c:v>
                </c:pt>
                <c:pt idx="602">
                  <c:v>1985</c:v>
                </c:pt>
                <c:pt idx="603">
                  <c:v>1990</c:v>
                </c:pt>
                <c:pt idx="604">
                  <c:v>1995</c:v>
                </c:pt>
                <c:pt idx="605">
                  <c:v>2000</c:v>
                </c:pt>
                <c:pt idx="606">
                  <c:v>2250</c:v>
                </c:pt>
                <c:pt idx="607">
                  <c:v>2500</c:v>
                </c:pt>
                <c:pt idx="608">
                  <c:v>2750</c:v>
                </c:pt>
                <c:pt idx="609">
                  <c:v>3000</c:v>
                </c:pt>
                <c:pt idx="610">
                  <c:v>3250</c:v>
                </c:pt>
                <c:pt idx="611">
                  <c:v>3500</c:v>
                </c:pt>
                <c:pt idx="612">
                  <c:v>3750</c:v>
                </c:pt>
                <c:pt idx="613">
                  <c:v>4000</c:v>
                </c:pt>
                <c:pt idx="614">
                  <c:v>4250</c:v>
                </c:pt>
                <c:pt idx="615">
                  <c:v>4500</c:v>
                </c:pt>
                <c:pt idx="616">
                  <c:v>4750</c:v>
                </c:pt>
                <c:pt idx="617">
                  <c:v>5000</c:v>
                </c:pt>
                <c:pt idx="618">
                  <c:v>5100</c:v>
                </c:pt>
                <c:pt idx="619">
                  <c:v>5200</c:v>
                </c:pt>
                <c:pt idx="620">
                  <c:v>5300</c:v>
                </c:pt>
                <c:pt idx="621">
                  <c:v>5400</c:v>
                </c:pt>
                <c:pt idx="622">
                  <c:v>5500</c:v>
                </c:pt>
                <c:pt idx="623">
                  <c:v>5600</c:v>
                </c:pt>
                <c:pt idx="624">
                  <c:v>5700</c:v>
                </c:pt>
                <c:pt idx="625">
                  <c:v>5800</c:v>
                </c:pt>
                <c:pt idx="626">
                  <c:v>5900</c:v>
                </c:pt>
                <c:pt idx="627">
                  <c:v>6000</c:v>
                </c:pt>
                <c:pt idx="628">
                  <c:v>6100</c:v>
                </c:pt>
                <c:pt idx="629">
                  <c:v>6200</c:v>
                </c:pt>
                <c:pt idx="630">
                  <c:v>6300</c:v>
                </c:pt>
                <c:pt idx="631">
                  <c:v>6400</c:v>
                </c:pt>
                <c:pt idx="632">
                  <c:v>6500</c:v>
                </c:pt>
                <c:pt idx="633">
                  <c:v>6600</c:v>
                </c:pt>
                <c:pt idx="634">
                  <c:v>6700</c:v>
                </c:pt>
                <c:pt idx="635">
                  <c:v>6800</c:v>
                </c:pt>
                <c:pt idx="636">
                  <c:v>6900</c:v>
                </c:pt>
                <c:pt idx="637">
                  <c:v>7000</c:v>
                </c:pt>
                <c:pt idx="638">
                  <c:v>7100</c:v>
                </c:pt>
                <c:pt idx="639">
                  <c:v>7200</c:v>
                </c:pt>
                <c:pt idx="640">
                  <c:v>7300</c:v>
                </c:pt>
                <c:pt idx="641">
                  <c:v>7400</c:v>
                </c:pt>
                <c:pt idx="642">
                  <c:v>7500</c:v>
                </c:pt>
                <c:pt idx="643">
                  <c:v>7600</c:v>
                </c:pt>
                <c:pt idx="644">
                  <c:v>7700</c:v>
                </c:pt>
                <c:pt idx="645">
                  <c:v>7800</c:v>
                </c:pt>
                <c:pt idx="646">
                  <c:v>7900</c:v>
                </c:pt>
                <c:pt idx="647">
                  <c:v>8000</c:v>
                </c:pt>
                <c:pt idx="648">
                  <c:v>8100</c:v>
                </c:pt>
                <c:pt idx="649">
                  <c:v>8200</c:v>
                </c:pt>
                <c:pt idx="650">
                  <c:v>8300</c:v>
                </c:pt>
                <c:pt idx="651">
                  <c:v>8400</c:v>
                </c:pt>
                <c:pt idx="652">
                  <c:v>8500</c:v>
                </c:pt>
                <c:pt idx="653">
                  <c:v>8600</c:v>
                </c:pt>
                <c:pt idx="654">
                  <c:v>8700</c:v>
                </c:pt>
                <c:pt idx="655">
                  <c:v>8800</c:v>
                </c:pt>
                <c:pt idx="656">
                  <c:v>8900</c:v>
                </c:pt>
                <c:pt idx="657">
                  <c:v>9000</c:v>
                </c:pt>
                <c:pt idx="658">
                  <c:v>9100</c:v>
                </c:pt>
                <c:pt idx="659">
                  <c:v>9200</c:v>
                </c:pt>
                <c:pt idx="660">
                  <c:v>9300</c:v>
                </c:pt>
                <c:pt idx="661">
                  <c:v>9400</c:v>
                </c:pt>
                <c:pt idx="662">
                  <c:v>9500</c:v>
                </c:pt>
                <c:pt idx="663">
                  <c:v>9600</c:v>
                </c:pt>
                <c:pt idx="664">
                  <c:v>9700</c:v>
                </c:pt>
                <c:pt idx="665">
                  <c:v>9800</c:v>
                </c:pt>
                <c:pt idx="666">
                  <c:v>9900</c:v>
                </c:pt>
                <c:pt idx="667">
                  <c:v>10000</c:v>
                </c:pt>
              </c:numCache>
            </c:numRef>
          </c:xVal>
          <c:yVal>
            <c:numRef>
              <c:f>'Bode Plots Calculations'!$BF$9:$BF$676</c:f>
              <c:numCache>
                <c:formatCode>General</c:formatCode>
                <c:ptCount val="668"/>
                <c:pt idx="0">
                  <c:v>84.965136704548755</c:v>
                </c:pt>
                <c:pt idx="1">
                  <c:v>81.385631068288049</c:v>
                </c:pt>
                <c:pt idx="2">
                  <c:v>78.517256089266425</c:v>
                </c:pt>
                <c:pt idx="3">
                  <c:v>76.272585993180726</c:v>
                </c:pt>
                <c:pt idx="4">
                  <c:v>74.457234411239199</c:v>
                </c:pt>
                <c:pt idx="5">
                  <c:v>72.941832772150846</c:v>
                </c:pt>
                <c:pt idx="6">
                  <c:v>71.644562590145682</c:v>
                </c:pt>
                <c:pt idx="7">
                  <c:v>70.511987063287293</c:v>
                </c:pt>
                <c:pt idx="8">
                  <c:v>69.507733184540925</c:v>
                </c:pt>
                <c:pt idx="9">
                  <c:v>68.606084128302911</c:v>
                </c:pt>
                <c:pt idx="10">
                  <c:v>62.629132596716275</c:v>
                </c:pt>
                <c:pt idx="11">
                  <c:v>59.115806738989356</c:v>
                </c:pt>
                <c:pt idx="12">
                  <c:v>56.62044559185982</c:v>
                </c:pt>
                <c:pt idx="13">
                  <c:v>54.684303502033693</c:v>
                </c:pt>
                <c:pt idx="14">
                  <c:v>53.102303413254404</c:v>
                </c:pt>
                <c:pt idx="15">
                  <c:v>51.764875285707646</c:v>
                </c:pt>
                <c:pt idx="16">
                  <c:v>50.606558960523984</c:v>
                </c:pt>
                <c:pt idx="17">
                  <c:v>49.585109202931633</c:v>
                </c:pt>
                <c:pt idx="18">
                  <c:v>48.671671411103659</c:v>
                </c:pt>
                <c:pt idx="19">
                  <c:v>42.676377851666359</c:v>
                </c:pt>
                <c:pt idx="20">
                  <c:v>39.196072292534268</c:v>
                </c:pt>
                <c:pt idx="21">
                  <c:v>36.75532109887137</c:v>
                </c:pt>
                <c:pt idx="22">
                  <c:v>34.891668752755734</c:v>
                </c:pt>
                <c:pt idx="23">
                  <c:v>33.399106141471947</c:v>
                </c:pt>
                <c:pt idx="24">
                  <c:v>32.167730661867616</c:v>
                </c:pt>
                <c:pt idx="25">
                  <c:v>31.131933715269788</c:v>
                </c:pt>
                <c:pt idx="26">
                  <c:v>30.249394405067605</c:v>
                </c:pt>
                <c:pt idx="27">
                  <c:v>29.491219367156148</c:v>
                </c:pt>
                <c:pt idx="28">
                  <c:v>27.001935014108092</c:v>
                </c:pt>
                <c:pt idx="29">
                  <c:v>25.956303236695078</c:v>
                </c:pt>
                <c:pt idx="30">
                  <c:v>25.917845520240856</c:v>
                </c:pt>
                <c:pt idx="31">
                  <c:v>26.72038746710577</c:v>
                </c:pt>
                <c:pt idx="32">
                  <c:v>28.219092103494418</c:v>
                </c:pt>
                <c:pt idx="33">
                  <c:v>29.745654348395398</c:v>
                </c:pt>
                <c:pt idx="34">
                  <c:v>29.349876708033491</c:v>
                </c:pt>
                <c:pt idx="35">
                  <c:v>26.698849427299074</c:v>
                </c:pt>
                <c:pt idx="36">
                  <c:v>23.715668358211342</c:v>
                </c:pt>
                <c:pt idx="37">
                  <c:v>21.143994561644842</c:v>
                </c:pt>
                <c:pt idx="38">
                  <c:v>19.008940378364407</c:v>
                </c:pt>
                <c:pt idx="39">
                  <c:v>17.221572473420469</c:v>
                </c:pt>
                <c:pt idx="40">
                  <c:v>15.701060028276032</c:v>
                </c:pt>
                <c:pt idx="41">
                  <c:v>14.387075922711421</c:v>
                </c:pt>
                <c:pt idx="42">
                  <c:v>13.235759225264589</c:v>
                </c:pt>
                <c:pt idx="43">
                  <c:v>12.21491037674987</c:v>
                </c:pt>
                <c:pt idx="44">
                  <c:v>11.300457042732655</c:v>
                </c:pt>
                <c:pt idx="45">
                  <c:v>10.474054658520323</c:v>
                </c:pt>
                <c:pt idx="46">
                  <c:v>9.7214705764753759</c:v>
                </c:pt>
                <c:pt idx="47">
                  <c:v>9.031482361931424</c:v>
                </c:pt>
                <c:pt idx="48">
                  <c:v>8.3951126467535815</c:v>
                </c:pt>
                <c:pt idx="49">
                  <c:v>7.8050872273890173</c:v>
                </c:pt>
                <c:pt idx="50">
                  <c:v>7.255443974715261</c:v>
                </c:pt>
                <c:pt idx="51">
                  <c:v>6.741245610839659</c:v>
                </c:pt>
                <c:pt idx="52">
                  <c:v>6.2583653760032405</c:v>
                </c:pt>
                <c:pt idx="53">
                  <c:v>5.8033247552125165</c:v>
                </c:pt>
                <c:pt idx="54">
                  <c:v>5.3731689957651998</c:v>
                </c:pt>
                <c:pt idx="55">
                  <c:v>4.9653704689163227</c:v>
                </c:pt>
                <c:pt idx="56">
                  <c:v>4.5777528278758242</c:v>
                </c:pt>
                <c:pt idx="57">
                  <c:v>4.2084308925845528</c:v>
                </c:pt>
                <c:pt idx="58">
                  <c:v>3.8557625637421289</c:v>
                </c:pt>
                <c:pt idx="59">
                  <c:v>3.5183100346024117</c:v>
                </c:pt>
                <c:pt idx="60">
                  <c:v>3.1948082588290134</c:v>
                </c:pt>
                <c:pt idx="61">
                  <c:v>2.8841391316454956</c:v>
                </c:pt>
                <c:pt idx="62">
                  <c:v>2.5853102067771561</c:v>
                </c:pt>
                <c:pt idx="63">
                  <c:v>2.297437042071691</c:v>
                </c:pt>
                <c:pt idx="64">
                  <c:v>2.019728468923975</c:v>
                </c:pt>
                <c:pt idx="65">
                  <c:v>1.7514742333538944</c:v>
                </c:pt>
                <c:pt idx="66">
                  <c:v>1.4920345729548665</c:v>
                </c:pt>
                <c:pt idx="67">
                  <c:v>1.2408313833432651</c:v>
                </c:pt>
                <c:pt idx="68">
                  <c:v>0.99734069697990879</c:v>
                </c:pt>
                <c:pt idx="69">
                  <c:v>0.76108625124950302</c:v>
                </c:pt>
                <c:pt idx="70">
                  <c:v>0.53163396511317151</c:v>
                </c:pt>
                <c:pt idx="71">
                  <c:v>0.30858717719576534</c:v>
                </c:pt>
                <c:pt idx="72">
                  <c:v>9.1582524856176045E-2</c:v>
                </c:pt>
                <c:pt idx="73">
                  <c:v>-0.11971363485750548</c:v>
                </c:pt>
                <c:pt idx="74">
                  <c:v>-0.32560834428565755</c:v>
                </c:pt>
                <c:pt idx="75">
                  <c:v>-0.52638477228922109</c:v>
                </c:pt>
                <c:pt idx="76">
                  <c:v>-0.72230460616307157</c:v>
                </c:pt>
                <c:pt idx="77">
                  <c:v>-0.91361015583249605</c:v>
                </c:pt>
                <c:pt idx="78">
                  <c:v>-1.1005262102665205</c:v>
                </c:pt>
                <c:pt idx="79">
                  <c:v>-1.2832616798061558</c:v>
                </c:pt>
                <c:pt idx="80">
                  <c:v>-1.4620110529456847</c:v>
                </c:pt>
                <c:pt idx="81">
                  <c:v>-1.6369556918198334</c:v>
                </c:pt>
                <c:pt idx="82">
                  <c:v>-1.8082649870756129</c:v>
                </c:pt>
                <c:pt idx="83">
                  <c:v>-1.9760973898171459</c:v>
                </c:pt>
                <c:pt idx="84">
                  <c:v>-2.140601335799956</c:v>
                </c:pt>
                <c:pt idx="85">
                  <c:v>-2.3019160749350585</c:v>
                </c:pt>
                <c:pt idx="86">
                  <c:v>-2.4601724173736277</c:v>
                </c:pt>
                <c:pt idx="87">
                  <c:v>-2.6154934059259833</c:v>
                </c:pt>
                <c:pt idx="88">
                  <c:v>-2.7679949232778194</c:v>
                </c:pt>
                <c:pt idx="89">
                  <c:v>-2.91778624136577</c:v>
                </c:pt>
                <c:pt idx="90">
                  <c:v>-3.0649705193322951</c:v>
                </c:pt>
                <c:pt idx="91">
                  <c:v>-3.2096452556721839</c:v>
                </c:pt>
                <c:pt idx="92">
                  <c:v>-3.3519026994877925</c:v>
                </c:pt>
                <c:pt idx="93">
                  <c:v>-3.4918302251712525</c:v>
                </c:pt>
                <c:pt idx="94">
                  <c:v>-3.6295106743137291</c:v>
                </c:pt>
                <c:pt idx="95">
                  <c:v>-3.7650226681932821</c:v>
                </c:pt>
                <c:pt idx="96">
                  <c:v>-3.8984408938030031</c:v>
                </c:pt>
                <c:pt idx="97">
                  <c:v>-4.0298363660420602</c:v>
                </c:pt>
                <c:pt idx="98">
                  <c:v>-4.1592766683963136</c:v>
                </c:pt>
                <c:pt idx="99">
                  <c:v>-4.2868261741765439</c:v>
                </c:pt>
                <c:pt idx="100">
                  <c:v>-4.4125462501558843</c:v>
                </c:pt>
                <c:pt idx="101">
                  <c:v>-4.5364954442490726</c:v>
                </c:pt>
                <c:pt idx="102">
                  <c:v>-4.6587296587013789</c:v>
                </c:pt>
                <c:pt idx="103">
                  <c:v>-4.7793023101010839</c:v>
                </c:pt>
                <c:pt idx="104">
                  <c:v>-4.8982644773932247</c:v>
                </c:pt>
                <c:pt idx="105">
                  <c:v>-5.015665038952239</c:v>
                </c:pt>
                <c:pt idx="106">
                  <c:v>-5.1315507996647272</c:v>
                </c:pt>
                <c:pt idx="107">
                  <c:v>-5.2459666088788044</c:v>
                </c:pt>
                <c:pt idx="108">
                  <c:v>-5.3589554699927202</c:v>
                </c:pt>
                <c:pt idx="109">
                  <c:v>-5.4705586423807953</c:v>
                </c:pt>
                <c:pt idx="110">
                  <c:v>-5.5808157362876409</c:v>
                </c:pt>
                <c:pt idx="111">
                  <c:v>-5.6897648012627355</c:v>
                </c:pt>
                <c:pt idx="112">
                  <c:v>-5.7974424086536462</c:v>
                </c:pt>
                <c:pt idx="113">
                  <c:v>-5.9038837286288555</c:v>
                </c:pt>
                <c:pt idx="114">
                  <c:v>-6.009122602158401</c:v>
                </c:pt>
                <c:pt idx="115">
                  <c:v>-6.1131916083419489</c:v>
                </c:pt>
                <c:pt idx="116">
                  <c:v>-6.2161221274396459</c:v>
                </c:pt>
                <c:pt idx="117">
                  <c:v>-6.3179443999298766</c:v>
                </c:pt>
                <c:pt idx="118">
                  <c:v>-6.4186875818900742</c:v>
                </c:pt>
                <c:pt idx="119">
                  <c:v>-6.51837979697134</c:v>
                </c:pt>
                <c:pt idx="120">
                  <c:v>-6.6170481852149834</c:v>
                </c:pt>
                <c:pt idx="121">
                  <c:v>-6.7147189489381223</c:v>
                </c:pt>
                <c:pt idx="122">
                  <c:v>-6.8114173958969371</c:v>
                </c:pt>
                <c:pt idx="123">
                  <c:v>-6.9071679799190475</c:v>
                </c:pt>
                <c:pt idx="124">
                  <c:v>-7.0019943391811026</c:v>
                </c:pt>
                <c:pt idx="125">
                  <c:v>-7.09591933229364</c:v>
                </c:pt>
                <c:pt idx="126">
                  <c:v>-7.1889650723423024</c:v>
                </c:pt>
                <c:pt idx="127">
                  <c:v>-7.2811529590232347</c:v>
                </c:pt>
                <c:pt idx="128">
                  <c:v>-7.3725037089994085</c:v>
                </c:pt>
                <c:pt idx="129">
                  <c:v>-7.4630373845953422</c:v>
                </c:pt>
                <c:pt idx="130">
                  <c:v>-7.5527734209384239</c:v>
                </c:pt>
                <c:pt idx="131">
                  <c:v>-7.6417306516473928</c:v>
                </c:pt>
                <c:pt idx="132">
                  <c:v>-7.7299273331606235</c:v>
                </c:pt>
                <c:pt idx="133">
                  <c:v>-7.817381167790427</c:v>
                </c:pt>
                <c:pt idx="134">
                  <c:v>-7.904109325583228</c:v>
                </c:pt>
                <c:pt idx="135">
                  <c:v>-7.9901284650595787</c:v>
                </c:pt>
                <c:pt idx="136">
                  <c:v>-8.0754547529030543</c:v>
                </c:pt>
                <c:pt idx="137">
                  <c:v>-8.1601038826618328</c:v>
                </c:pt>
                <c:pt idx="138">
                  <c:v>-8.2440910925226181</c:v>
                </c:pt>
                <c:pt idx="139">
                  <c:v>-8.3274311822123099</c:v>
                </c:pt>
                <c:pt idx="140">
                  <c:v>-8.4101385290789903</c:v>
                </c:pt>
                <c:pt idx="141">
                  <c:v>-8.4922271034004666</c:v>
                </c:pt>
                <c:pt idx="142">
                  <c:v>-8.5737104829651809</c:v>
                </c:pt>
                <c:pt idx="143">
                  <c:v>-8.6546018669675213</c:v>
                </c:pt>
                <c:pt idx="144">
                  <c:v>-8.7349140892565345</c:v>
                </c:pt>
                <c:pt idx="145">
                  <c:v>-8.8146596309748162</c:v>
                </c:pt>
                <c:pt idx="146">
                  <c:v>-8.8938506326216782</c:v>
                </c:pt>
                <c:pt idx="147">
                  <c:v>-8.9724989055727029</c:v>
                </c:pt>
                <c:pt idx="148">
                  <c:v>-9.050615943085635</c:v>
                </c:pt>
                <c:pt idx="149">
                  <c:v>-9.1282129308207818</c:v>
                </c:pt>
                <c:pt idx="150">
                  <c:v>-9.2053007569021634</c:v>
                </c:pt>
                <c:pt idx="151">
                  <c:v>-9.2818900215442532</c:v>
                </c:pt>
                <c:pt idx="152">
                  <c:v>-9.3579910462673617</c:v>
                </c:pt>
                <c:pt idx="153">
                  <c:v>-9.4336138827235718</c:v>
                </c:pt>
                <c:pt idx="154">
                  <c:v>-9.5087683211536049</c:v>
                </c:pt>
                <c:pt idx="155">
                  <c:v>-9.5834638984938536</c:v>
                </c:pt>
                <c:pt idx="156">
                  <c:v>-9.6577099061516698</c:v>
                </c:pt>
                <c:pt idx="157">
                  <c:v>-9.7315153974659427</c:v>
                </c:pt>
                <c:pt idx="158">
                  <c:v>-9.8048891948689167</c:v>
                </c:pt>
                <c:pt idx="159">
                  <c:v>-9.8778398967644172</c:v>
                </c:pt>
                <c:pt idx="160">
                  <c:v>-9.9503758841366086</c:v>
                </c:pt>
                <c:pt idx="161">
                  <c:v>-10.022505326902703</c:v>
                </c:pt>
                <c:pt idx="162">
                  <c:v>-10.094236190022245</c:v>
                </c:pt>
                <c:pt idx="163">
                  <c:v>-10.165576239374907</c:v>
                </c:pt>
                <c:pt idx="164">
                  <c:v>-10.236533047417948</c:v>
                </c:pt>
                <c:pt idx="165">
                  <c:v>-10.307113998634092</c:v>
                </c:pt>
                <c:pt idx="166">
                  <c:v>-10.37732629477965</c:v>
                </c:pt>
                <c:pt idx="167">
                  <c:v>-10.447176959942537</c:v>
                </c:pt>
                <c:pt idx="168">
                  <c:v>-10.516672845419023</c:v>
                </c:pt>
                <c:pt idx="169">
                  <c:v>-10.585820634417713</c:v>
                </c:pt>
                <c:pt idx="170">
                  <c:v>-10.654626846598717</c:v>
                </c:pt>
                <c:pt idx="171">
                  <c:v>-10.723097842455637</c:v>
                </c:pt>
                <c:pt idx="172">
                  <c:v>-10.791239827547535</c:v>
                </c:pt>
                <c:pt idx="173">
                  <c:v>-10.859058856587549</c:v>
                </c:pt>
                <c:pt idx="174">
                  <c:v>-10.926560837394735</c:v>
                </c:pt>
                <c:pt idx="175">
                  <c:v>-10.993751534715155</c:v>
                </c:pt>
                <c:pt idx="176">
                  <c:v>-11.060636573917899</c:v>
                </c:pt>
                <c:pt idx="177">
                  <c:v>-11.127221444571642</c:v>
                </c:pt>
                <c:pt idx="178">
                  <c:v>-11.193511503906821</c:v>
                </c:pt>
                <c:pt idx="179">
                  <c:v>-11.259511980168408</c:v>
                </c:pt>
                <c:pt idx="180">
                  <c:v>-11.32522797586385</c:v>
                </c:pt>
                <c:pt idx="181">
                  <c:v>-11.3906644709107</c:v>
                </c:pt>
                <c:pt idx="182">
                  <c:v>-11.45582632568815</c:v>
                </c:pt>
                <c:pt idx="183">
                  <c:v>-11.52071828399624</c:v>
                </c:pt>
                <c:pt idx="184">
                  <c:v>-11.585344975926898</c:v>
                </c:pt>
                <c:pt idx="185">
                  <c:v>-11.649710920650019</c:v>
                </c:pt>
                <c:pt idx="186">
                  <c:v>-11.713820529118307</c:v>
                </c:pt>
                <c:pt idx="187">
                  <c:v>-11.777678106693932</c:v>
                </c:pt>
                <c:pt idx="188">
                  <c:v>-11.841287855700189</c:v>
                </c:pt>
                <c:pt idx="189">
                  <c:v>-11.904653877901053</c:v>
                </c:pt>
                <c:pt idx="190">
                  <c:v>-11.967780176911472</c:v>
                </c:pt>
                <c:pt idx="191">
                  <c:v>-12.030670660540963</c:v>
                </c:pt>
                <c:pt idx="192">
                  <c:v>-12.093329143073158</c:v>
                </c:pt>
                <c:pt idx="193">
                  <c:v>-12.155759347483583</c:v>
                </c:pt>
                <c:pt idx="194">
                  <c:v>-12.2179649075981</c:v>
                </c:pt>
                <c:pt idx="195">
                  <c:v>-12.27994937019403</c:v>
                </c:pt>
                <c:pt idx="196">
                  <c:v>-12.341716197046189</c:v>
                </c:pt>
                <c:pt idx="197">
                  <c:v>-12.403268766919702</c:v>
                </c:pt>
                <c:pt idx="198">
                  <c:v>-12.464610377511606</c:v>
                </c:pt>
                <c:pt idx="199">
                  <c:v>-12.52574424734285</c:v>
                </c:pt>
                <c:pt idx="200">
                  <c:v>-12.586673517602613</c:v>
                </c:pt>
                <c:pt idx="201">
                  <c:v>-12.64740125394647</c:v>
                </c:pt>
                <c:pt idx="202">
                  <c:v>-12.707930448249932</c:v>
                </c:pt>
                <c:pt idx="203">
                  <c:v>-12.768264020318956</c:v>
                </c:pt>
                <c:pt idx="204">
                  <c:v>-12.828404819558726</c:v>
                </c:pt>
                <c:pt idx="205">
                  <c:v>-12.888355626602198</c:v>
                </c:pt>
                <c:pt idx="206">
                  <c:v>-12.948119154899571</c:v>
                </c:pt>
                <c:pt idx="207">
                  <c:v>-13.007698052269967</c:v>
                </c:pt>
                <c:pt idx="208">
                  <c:v>-13.067094902416617</c:v>
                </c:pt>
                <c:pt idx="209">
                  <c:v>-13.126312226406419</c:v>
                </c:pt>
                <c:pt idx="210">
                  <c:v>-13.185352484115281</c:v>
                </c:pt>
                <c:pt idx="211">
                  <c:v>-13.244218075639999</c:v>
                </c:pt>
                <c:pt idx="212">
                  <c:v>-13.302911342677831</c:v>
                </c:pt>
                <c:pt idx="213">
                  <c:v>-13.361434569874625</c:v>
                </c:pt>
                <c:pt idx="214">
                  <c:v>-13.419789986142485</c:v>
                </c:pt>
                <c:pt idx="215">
                  <c:v>-13.477979765947723</c:v>
                </c:pt>
                <c:pt idx="216">
                  <c:v>-13.536006030570125</c:v>
                </c:pt>
                <c:pt idx="217">
                  <c:v>-13.593870849334067</c:v>
                </c:pt>
                <c:pt idx="218">
                  <c:v>-13.651576240812513</c:v>
                </c:pt>
                <c:pt idx="219">
                  <c:v>-13.709124174004428</c:v>
                </c:pt>
                <c:pt idx="220">
                  <c:v>-13.766516569486413</c:v>
                </c:pt>
                <c:pt idx="221">
                  <c:v>-13.823755300539222</c:v>
                </c:pt>
                <c:pt idx="222">
                  <c:v>-13.880842194249771</c:v>
                </c:pt>
                <c:pt idx="223">
                  <c:v>-13.937779032589322</c:v>
                </c:pt>
                <c:pt idx="224">
                  <c:v>-13.994567553468425</c:v>
                </c:pt>
                <c:pt idx="225">
                  <c:v>-14.051209451769104</c:v>
                </c:pt>
                <c:pt idx="226">
                  <c:v>-14.609908260802131</c:v>
                </c:pt>
                <c:pt idx="227">
                  <c:v>-15.15552597213807</c:v>
                </c:pt>
                <c:pt idx="228">
                  <c:v>-15.689187310464806</c:v>
                </c:pt>
                <c:pt idx="229">
                  <c:v>-16.211763597632029</c:v>
                </c:pt>
                <c:pt idx="230">
                  <c:v>-16.723930535207575</c:v>
                </c:pt>
                <c:pt idx="231">
                  <c:v>-17.226214580040349</c:v>
                </c:pt>
                <c:pt idx="232">
                  <c:v>-17.719029885236214</c:v>
                </c:pt>
                <c:pt idx="233">
                  <c:v>-18.202707442210361</c:v>
                </c:pt>
                <c:pt idx="234">
                  <c:v>-18.677517807756562</c:v>
                </c:pt>
                <c:pt idx="235">
                  <c:v>-19.143688596228309</c:v>
                </c:pt>
                <c:pt idx="236">
                  <c:v>-19.601417741985504</c:v>
                </c:pt>
                <c:pt idx="237">
                  <c:v>-20.050883382448927</c:v>
                </c:pt>
                <c:pt idx="238">
                  <c:v>-20.492251073911891</c:v>
                </c:pt>
                <c:pt idx="239">
                  <c:v>-20.925678929524445</c:v>
                </c:pt>
                <c:pt idx="240">
                  <c:v>-21.351321161192367</c:v>
                </c:pt>
                <c:pt idx="241">
                  <c:v>-21.769330414114787</c:v>
                </c:pt>
                <c:pt idx="242">
                  <c:v>-22.179859203619991</c:v>
                </c:pt>
                <c:pt idx="243">
                  <c:v>-22.583060697817618</c:v>
                </c:pt>
                <c:pt idx="244">
                  <c:v>-22.979089035087604</c:v>
                </c:pt>
                <c:pt idx="245">
                  <c:v>-23.368099321157935</c:v>
                </c:pt>
                <c:pt idx="246">
                  <c:v>-23.750247415043088</c:v>
                </c:pt>
                <c:pt idx="247">
                  <c:v>-24.125689585037449</c:v>
                </c:pt>
                <c:pt idx="248">
                  <c:v>-24.494582094009548</c:v>
                </c:pt>
                <c:pt idx="249">
                  <c:v>-24.857080756291147</c:v>
                </c:pt>
                <c:pt idx="250">
                  <c:v>-25.213340495522374</c:v>
                </c:pt>
                <c:pt idx="251">
                  <c:v>-25.563514923072805</c:v>
                </c:pt>
                <c:pt idx="252">
                  <c:v>-25.907755949423258</c:v>
                </c:pt>
                <c:pt idx="253">
                  <c:v>-26.246213435603913</c:v>
                </c:pt>
                <c:pt idx="254">
                  <c:v>-26.579034887990588</c:v>
                </c:pt>
                <c:pt idx="255">
                  <c:v>-26.906365197103433</c:v>
                </c:pt>
                <c:pt idx="256">
                  <c:v>-27.228346419249366</c:v>
                </c:pt>
                <c:pt idx="257">
                  <c:v>-27.545117598680406</c:v>
                </c:pt>
                <c:pt idx="258">
                  <c:v>-27.856814627236012</c:v>
                </c:pt>
                <c:pt idx="259">
                  <c:v>-28.163570138067442</c:v>
                </c:pt>
                <c:pt idx="260">
                  <c:v>-28.465513429909095</c:v>
                </c:pt>
                <c:pt idx="261">
                  <c:v>-28.762770418390772</c:v>
                </c:pt>
                <c:pt idx="262">
                  <c:v>-29.055463611021931</c:v>
                </c:pt>
                <c:pt idx="263">
                  <c:v>-29.343712102683281</c:v>
                </c:pt>
                <c:pt idx="264">
                  <c:v>-29.627631588704233</c:v>
                </c:pt>
                <c:pt idx="265">
                  <c:v>-29.90733439286555</c:v>
                </c:pt>
                <c:pt idx="266">
                  <c:v>-30.182929507930581</c:v>
                </c:pt>
                <c:pt idx="267">
                  <c:v>-30.454522646566751</c:v>
                </c:pt>
                <c:pt idx="268">
                  <c:v>-30.722216300764028</c:v>
                </c:pt>
                <c:pt idx="269">
                  <c:v>-30.986109808086514</c:v>
                </c:pt>
                <c:pt idx="270">
                  <c:v>-31.246299423303778</c:v>
                </c:pt>
                <c:pt idx="271">
                  <c:v>-31.502878394140509</c:v>
                </c:pt>
                <c:pt idx="272">
                  <c:v>-31.755937040055414</c:v>
                </c:pt>
                <c:pt idx="273">
                  <c:v>-32.005562833115221</c:v>
                </c:pt>
                <c:pt idx="274">
                  <c:v>-32.251840480166308</c:v>
                </c:pt>
                <c:pt idx="275">
                  <c:v>-32.494852005628211</c:v>
                </c:pt>
                <c:pt idx="276">
                  <c:v>-32.734676834339353</c:v>
                </c:pt>
                <c:pt idx="277">
                  <c:v>-32.971391873978916</c:v>
                </c:pt>
                <c:pt idx="278">
                  <c:v>-33.205071596669846</c:v>
                </c:pt>
                <c:pt idx="279">
                  <c:v>-33.435788119438698</c:v>
                </c:pt>
                <c:pt idx="280">
                  <c:v>-33.663611283268878</c:v>
                </c:pt>
                <c:pt idx="281">
                  <c:v>-33.888608730536752</c:v>
                </c:pt>
                <c:pt idx="282">
                  <c:v>-34.110845980665047</c:v>
                </c:pt>
                <c:pt idx="283">
                  <c:v>-34.330386503866769</c:v>
                </c:pt>
                <c:pt idx="284">
                  <c:v>-34.547291792885893</c:v>
                </c:pt>
                <c:pt idx="285">
                  <c:v>-34.761621432669095</c:v>
                </c:pt>
                <c:pt idx="286">
                  <c:v>-34.973433167926324</c:v>
                </c:pt>
                <c:pt idx="287">
                  <c:v>-35.182782968558257</c:v>
                </c:pt>
                <c:pt idx="288">
                  <c:v>-35.389725092944907</c:v>
                </c:pt>
                <c:pt idx="289">
                  <c:v>-35.594312149104063</c:v>
                </c:pt>
                <c:pt idx="290">
                  <c:v>-35.796595153739069</c:v>
                </c:pt>
                <c:pt idx="291">
                  <c:v>-35.996623589205356</c:v>
                </c:pt>
                <c:pt idx="292">
                  <c:v>-36.19444545843222</c:v>
                </c:pt>
                <c:pt idx="293">
                  <c:v>-36.390107337842721</c:v>
                </c:pt>
                <c:pt idx="294">
                  <c:v>-36.583654428319086</c:v>
                </c:pt>
                <c:pt idx="295">
                  <c:v>-36.77513060426466</c:v>
                </c:pt>
                <c:pt idx="296">
                  <c:v>-36.964578460816021</c:v>
                </c:pt>
                <c:pt idx="297">
                  <c:v>-37.152039359261082</c:v>
                </c:pt>
                <c:pt idx="298">
                  <c:v>-37.337553470719492</c:v>
                </c:pt>
                <c:pt idx="299">
                  <c:v>-37.521159818143104</c:v>
                </c:pt>
                <c:pt idx="300">
                  <c:v>-37.702896316693796</c:v>
                </c:pt>
                <c:pt idx="301">
                  <c:v>-37.882799812555923</c:v>
                </c:pt>
                <c:pt idx="302">
                  <c:v>-38.06090612024024</c:v>
                </c:pt>
                <c:pt idx="303">
                  <c:v>-38.237250058435066</c:v>
                </c:pt>
                <c:pt idx="304">
                  <c:v>-38.411865484459653</c:v>
                </c:pt>
                <c:pt idx="305">
                  <c:v>-38.584785327373318</c:v>
                </c:pt>
                <c:pt idx="306">
                  <c:v>-38.756041619792931</c:v>
                </c:pt>
                <c:pt idx="307">
                  <c:v>-38.925665528469338</c:v>
                </c:pt>
                <c:pt idx="308">
                  <c:v>-39.093687383672489</c:v>
                </c:pt>
                <c:pt idx="309">
                  <c:v>-39.260136707432956</c:v>
                </c:pt>
                <c:pt idx="310">
                  <c:v>-39.425042240686231</c:v>
                </c:pt>
                <c:pt idx="311">
                  <c:v>-39.588431969364549</c:v>
                </c:pt>
                <c:pt idx="312">
                  <c:v>-39.750333149479275</c:v>
                </c:pt>
                <c:pt idx="313">
                  <c:v>-39.91077233123552</c:v>
                </c:pt>
                <c:pt idx="314">
                  <c:v>-40.069775382218928</c:v>
                </c:pt>
                <c:pt idx="315">
                  <c:v>-40.227367509692947</c:v>
                </c:pt>
                <c:pt idx="316">
                  <c:v>-40.383573282043713</c:v>
                </c:pt>
                <c:pt idx="317">
                  <c:v>-40.538416649407836</c:v>
                </c:pt>
                <c:pt idx="318">
                  <c:v>-40.69192096351717</c:v>
                </c:pt>
                <c:pt idx="319">
                  <c:v>-40.844108996793082</c:v>
                </c:pt>
                <c:pt idx="320">
                  <c:v>-40.995002960721621</c:v>
                </c:pt>
                <c:pt idx="321">
                  <c:v>-41.144624523539377</c:v>
                </c:pt>
                <c:pt idx="322">
                  <c:v>-41.292994827258688</c:v>
                </c:pt>
                <c:pt idx="323">
                  <c:v>-41.44013450405982</c:v>
                </c:pt>
                <c:pt idx="324">
                  <c:v>-41.586063692076209</c:v>
                </c:pt>
                <c:pt idx="325">
                  <c:v>-41.730802050597873</c:v>
                </c:pt>
                <c:pt idx="326">
                  <c:v>-41.874368774717297</c:v>
                </c:pt>
                <c:pt idx="327">
                  <c:v>-42.01678260944044</c:v>
                </c:pt>
                <c:pt idx="328">
                  <c:v>-42.158061863285148</c:v>
                </c:pt>
                <c:pt idx="329">
                  <c:v>-42.298224421387886</c:v>
                </c:pt>
                <c:pt idx="330">
                  <c:v>-42.437287758138844</c:v>
                </c:pt>
                <c:pt idx="331">
                  <c:v>-42.575268949364826</c:v>
                </c:pt>
                <c:pt idx="332">
                  <c:v>-42.71218468407821</c:v>
                </c:pt>
                <c:pt idx="333">
                  <c:v>-42.84805127580946</c:v>
                </c:pt>
                <c:pt idx="334">
                  <c:v>-42.982884673540326</c:v>
                </c:pt>
                <c:pt idx="335">
                  <c:v>-43.116700472253335</c:v>
                </c:pt>
                <c:pt idx="336">
                  <c:v>-43.249513923113525</c:v>
                </c:pt>
                <c:pt idx="337">
                  <c:v>-43.381339943296588</c:v>
                </c:pt>
                <c:pt idx="338">
                  <c:v>-43.512193125477793</c:v>
                </c:pt>
                <c:pt idx="339">
                  <c:v>-43.642087746995095</c:v>
                </c:pt>
                <c:pt idx="340">
                  <c:v>-43.771037778699188</c:v>
                </c:pt>
                <c:pt idx="341">
                  <c:v>-43.899056893502923</c:v>
                </c:pt>
                <c:pt idx="342">
                  <c:v>-44.026158474641797</c:v>
                </c:pt>
                <c:pt idx="343">
                  <c:v>-44.152355623656774</c:v>
                </c:pt>
                <c:pt idx="344">
                  <c:v>-44.277661168110249</c:v>
                </c:pt>
                <c:pt idx="345">
                  <c:v>-44.402087669045407</c:v>
                </c:pt>
                <c:pt idx="346">
                  <c:v>-44.525647428198965</c:v>
                </c:pt>
                <c:pt idx="347">
                  <c:v>-44.648352494976542</c:v>
                </c:pt>
                <c:pt idx="348">
                  <c:v>-44.770214673199931</c:v>
                </c:pt>
                <c:pt idx="349">
                  <c:v>-44.891245527634787</c:v>
                </c:pt>
                <c:pt idx="350">
                  <c:v>-45.011456390307018</c:v>
                </c:pt>
                <c:pt idx="351">
                  <c:v>-45.130858366615925</c:v>
                </c:pt>
                <c:pt idx="352">
                  <c:v>-45.249462341251636</c:v>
                </c:pt>
                <c:pt idx="353">
                  <c:v>-45.367278983924059</c:v>
                </c:pt>
                <c:pt idx="354">
                  <c:v>-45.484318754910468</c:v>
                </c:pt>
                <c:pt idx="355">
                  <c:v>-45.600591910428328</c:v>
                </c:pt>
                <c:pt idx="356">
                  <c:v>-45.716108507839849</c:v>
                </c:pt>
                <c:pt idx="357">
                  <c:v>-45.830878410694254</c:v>
                </c:pt>
                <c:pt idx="358">
                  <c:v>-45.944911293613906</c:v>
                </c:pt>
                <c:pt idx="359">
                  <c:v>-46.058216647029766</c:v>
                </c:pt>
                <c:pt idx="360">
                  <c:v>-46.170803781771639</c:v>
                </c:pt>
                <c:pt idx="361">
                  <c:v>-46.282681833518453</c:v>
                </c:pt>
                <c:pt idx="362">
                  <c:v>-46.393859767113561</c:v>
                </c:pt>
                <c:pt idx="363">
                  <c:v>-46.504346380749844</c:v>
                </c:pt>
                <c:pt idx="364">
                  <c:v>-46.614150310029238</c:v>
                </c:pt>
                <c:pt idx="365">
                  <c:v>-46.723280031900948</c:v>
                </c:pt>
                <c:pt idx="366">
                  <c:v>-46.831743868482931</c:v>
                </c:pt>
                <c:pt idx="367">
                  <c:v>-46.939549990770317</c:v>
                </c:pt>
                <c:pt idx="368">
                  <c:v>-47.04670642223499</c:v>
                </c:pt>
                <c:pt idx="369">
                  <c:v>-47.153221042319927</c:v>
                </c:pt>
                <c:pt idx="370">
                  <c:v>-47.259101589831886</c:v>
                </c:pt>
                <c:pt idx="371">
                  <c:v>-47.364355666236094</c:v>
                </c:pt>
                <c:pt idx="372">
                  <c:v>-47.468990738856064</c:v>
                </c:pt>
                <c:pt idx="373">
                  <c:v>-47.573014143981794</c:v>
                </c:pt>
                <c:pt idx="374">
                  <c:v>-47.676433089889571</c:v>
                </c:pt>
                <c:pt idx="375">
                  <c:v>-47.779254659776107</c:v>
                </c:pt>
                <c:pt idx="376">
                  <c:v>-47.881485814610173</c:v>
                </c:pt>
                <c:pt idx="377">
                  <c:v>-47.983133395904041</c:v>
                </c:pt>
                <c:pt idx="378">
                  <c:v>-48.084204128407848</c:v>
                </c:pt>
                <c:pt idx="379">
                  <c:v>-48.184704622729058</c:v>
                </c:pt>
                <c:pt idx="380">
                  <c:v>-48.28464137787968</c:v>
                </c:pt>
                <c:pt idx="381">
                  <c:v>-48.384020783753442</c:v>
                </c:pt>
                <c:pt idx="382">
                  <c:v>-48.482849123535317</c:v>
                </c:pt>
                <c:pt idx="383">
                  <c:v>-48.581132576045547</c:v>
                </c:pt>
                <c:pt idx="384">
                  <c:v>-48.67887721802019</c:v>
                </c:pt>
                <c:pt idx="385">
                  <c:v>-48.776089026330276</c:v>
                </c:pt>
                <c:pt idx="386">
                  <c:v>-48.872773880141558</c:v>
                </c:pt>
                <c:pt idx="387">
                  <c:v>-48.968937563016738</c:v>
                </c:pt>
                <c:pt idx="388">
                  <c:v>-49.064585764961784</c:v>
                </c:pt>
                <c:pt idx="389">
                  <c:v>-49.159724084418386</c:v>
                </c:pt>
                <c:pt idx="390">
                  <c:v>-49.254358030204045</c:v>
                </c:pt>
                <c:pt idx="391">
                  <c:v>-49.348493023401439</c:v>
                </c:pt>
                <c:pt idx="392">
                  <c:v>-49.442134399198714</c:v>
                </c:pt>
                <c:pt idx="393">
                  <c:v>-49.535287408682045</c:v>
                </c:pt>
                <c:pt idx="394">
                  <c:v>-49.627957220582147</c:v>
                </c:pt>
                <c:pt idx="395">
                  <c:v>-49.720148922975945</c:v>
                </c:pt>
                <c:pt idx="396">
                  <c:v>-49.811867524944901</c:v>
                </c:pt>
                <c:pt idx="397">
                  <c:v>-49.903117958191174</c:v>
                </c:pt>
                <c:pt idx="398">
                  <c:v>-49.993905078613025</c:v>
                </c:pt>
                <c:pt idx="399">
                  <c:v>-50.084233667840536</c:v>
                </c:pt>
                <c:pt idx="400">
                  <c:v>-50.174108434733</c:v>
                </c:pt>
                <c:pt idx="401">
                  <c:v>-50.263534016838911</c:v>
                </c:pt>
                <c:pt idx="402">
                  <c:v>-50.352514981819823</c:v>
                </c:pt>
                <c:pt idx="403">
                  <c:v>-50.441055828839097</c:v>
                </c:pt>
                <c:pt idx="404">
                  <c:v>-50.529160989916448</c:v>
                </c:pt>
                <c:pt idx="405">
                  <c:v>-50.616834831249527</c:v>
                </c:pt>
                <c:pt idx="406">
                  <c:v>-50.704081654503206</c:v>
                </c:pt>
                <c:pt idx="407">
                  <c:v>-50.790905698067746</c:v>
                </c:pt>
                <c:pt idx="408">
                  <c:v>-50.877311138286558</c:v>
                </c:pt>
                <c:pt idx="409">
                  <c:v>-50.963302090654601</c:v>
                </c:pt>
                <c:pt idx="410">
                  <c:v>-51.048882610987995</c:v>
                </c:pt>
                <c:pt idx="411">
                  <c:v>-51.13405669656602</c:v>
                </c:pt>
                <c:pt idx="412">
                  <c:v>-51.218828287245934</c:v>
                </c:pt>
                <c:pt idx="413">
                  <c:v>-51.303201266551561</c:v>
                </c:pt>
                <c:pt idx="414">
                  <c:v>-51.387179462736377</c:v>
                </c:pt>
                <c:pt idx="415">
                  <c:v>-51.470766649821755</c:v>
                </c:pt>
                <c:pt idx="416">
                  <c:v>-51.553966548611044</c:v>
                </c:pt>
                <c:pt idx="417">
                  <c:v>-51.636782827680236</c:v>
                </c:pt>
                <c:pt idx="418">
                  <c:v>-51.71921910434569</c:v>
                </c:pt>
                <c:pt idx="419">
                  <c:v>-51.801278945609837</c:v>
                </c:pt>
                <c:pt idx="420">
                  <c:v>-51.882965869085126</c:v>
                </c:pt>
                <c:pt idx="421">
                  <c:v>-51.964283343897002</c:v>
                </c:pt>
                <c:pt idx="422">
                  <c:v>-52.0452347915665</c:v>
                </c:pt>
                <c:pt idx="423">
                  <c:v>-52.12582358687289</c:v>
                </c:pt>
                <c:pt idx="424">
                  <c:v>-52.206053058696895</c:v>
                </c:pt>
                <c:pt idx="425">
                  <c:v>-52.285926490845256</c:v>
                </c:pt>
                <c:pt idx="426">
                  <c:v>-52.365447122856722</c:v>
                </c:pt>
                <c:pt idx="427">
                  <c:v>-52.444618150790383</c:v>
                </c:pt>
                <c:pt idx="428">
                  <c:v>-52.523442727996439</c:v>
                </c:pt>
                <c:pt idx="429">
                  <c:v>-52.601923965870157</c:v>
                </c:pt>
                <c:pt idx="430">
                  <c:v>-52.680064934589275</c:v>
                </c:pt>
                <c:pt idx="431">
                  <c:v>-52.75786866383541</c:v>
                </c:pt>
                <c:pt idx="432">
                  <c:v>-52.835338143499662</c:v>
                </c:pt>
                <c:pt idx="433">
                  <c:v>-52.912476324373216</c:v>
                </c:pt>
                <c:pt idx="434">
                  <c:v>-52.989286118822847</c:v>
                </c:pt>
                <c:pt idx="435">
                  <c:v>-53.065770401452099</c:v>
                </c:pt>
                <c:pt idx="436">
                  <c:v>-53.141932009748345</c:v>
                </c:pt>
                <c:pt idx="437">
                  <c:v>-53.217773744716084</c:v>
                </c:pt>
                <c:pt idx="438">
                  <c:v>-53.293298371496753</c:v>
                </c:pt>
                <c:pt idx="439">
                  <c:v>-53.368508619975657</c:v>
                </c:pt>
                <c:pt idx="440">
                  <c:v>-53.443407185376017</c:v>
                </c:pt>
                <c:pt idx="441">
                  <c:v>-53.517996728840664</c:v>
                </c:pt>
                <c:pt idx="442">
                  <c:v>-53.592279878001577</c:v>
                </c:pt>
                <c:pt idx="443">
                  <c:v>-53.666259227537694</c:v>
                </c:pt>
                <c:pt idx="444">
                  <c:v>-53.739937339721166</c:v>
                </c:pt>
                <c:pt idx="445">
                  <c:v>-53.813316744952296</c:v>
                </c:pt>
                <c:pt idx="446">
                  <c:v>-53.886399942283703</c:v>
                </c:pt>
                <c:pt idx="447">
                  <c:v>-53.959189399933585</c:v>
                </c:pt>
                <c:pt idx="448">
                  <c:v>-54.031687555788722</c:v>
                </c:pt>
                <c:pt idx="449">
                  <c:v>-54.103896817897201</c:v>
                </c:pt>
                <c:pt idx="450">
                  <c:v>-54.17581956495124</c:v>
                </c:pt>
                <c:pt idx="451">
                  <c:v>-54.247458146760309</c:v>
                </c:pt>
                <c:pt idx="452">
                  <c:v>-54.31881488471479</c:v>
                </c:pt>
                <c:pt idx="453">
                  <c:v>-54.389892072240372</c:v>
                </c:pt>
                <c:pt idx="454">
                  <c:v>-54.46069197524352</c:v>
                </c:pt>
                <c:pt idx="455">
                  <c:v>-54.531216832548004</c:v>
                </c:pt>
                <c:pt idx="456">
                  <c:v>-54.601468856322924</c:v>
                </c:pt>
                <c:pt idx="457">
                  <c:v>-54.671450232502288</c:v>
                </c:pt>
                <c:pt idx="458">
                  <c:v>-54.741163121196443</c:v>
                </c:pt>
                <c:pt idx="459">
                  <c:v>-54.810609657095441</c:v>
                </c:pt>
                <c:pt idx="460">
                  <c:v>-54.87979194986459</c:v>
                </c:pt>
                <c:pt idx="461">
                  <c:v>-54.94871208453241</c:v>
                </c:pt>
                <c:pt idx="462">
                  <c:v>-55.017372121871063</c:v>
                </c:pt>
                <c:pt idx="463">
                  <c:v>-55.085774098769505</c:v>
                </c:pt>
                <c:pt idx="464">
                  <c:v>-55.153920028599529</c:v>
                </c:pt>
                <c:pt idx="465">
                  <c:v>-55.221811901574789</c:v>
                </c:pt>
                <c:pt idx="466">
                  <c:v>-55.289451685103117</c:v>
                </c:pt>
                <c:pt idx="467">
                  <c:v>-55.356841324132056</c:v>
                </c:pt>
                <c:pt idx="468">
                  <c:v>-55.423982741487976</c:v>
                </c:pt>
                <c:pt idx="469">
                  <c:v>-55.490877838208803</c:v>
                </c:pt>
                <c:pt idx="470">
                  <c:v>-55.557528493870535</c:v>
                </c:pt>
                <c:pt idx="471">
                  <c:v>-55.623936566907631</c:v>
                </c:pt>
                <c:pt idx="472">
                  <c:v>-55.690103894927617</c:v>
                </c:pt>
                <c:pt idx="473">
                  <c:v>-55.756032295019637</c:v>
                </c:pt>
                <c:pt idx="474">
                  <c:v>-55.821723564057486</c:v>
                </c:pt>
                <c:pt idx="475">
                  <c:v>-55.887179478997098</c:v>
                </c:pt>
                <c:pt idx="476">
                  <c:v>-55.952401797168456</c:v>
                </c:pt>
                <c:pt idx="477">
                  <c:v>-56.017392256562346</c:v>
                </c:pt>
                <c:pt idx="478">
                  <c:v>-56.082152576111774</c:v>
                </c:pt>
                <c:pt idx="479">
                  <c:v>-56.146684455968369</c:v>
                </c:pt>
                <c:pt idx="480">
                  <c:v>-56.210989577773788</c:v>
                </c:pt>
                <c:pt idx="481">
                  <c:v>-56.27506960492623</c:v>
                </c:pt>
                <c:pt idx="482">
                  <c:v>-56.338926182842172</c:v>
                </c:pt>
                <c:pt idx="483">
                  <c:v>-56.402560939213522</c:v>
                </c:pt>
                <c:pt idx="484">
                  <c:v>-56.465975484260056</c:v>
                </c:pt>
                <c:pt idx="485">
                  <c:v>-56.529171410977533</c:v>
                </c:pt>
                <c:pt idx="486">
                  <c:v>-56.592150295381302</c:v>
                </c:pt>
                <c:pt idx="487">
                  <c:v>-56.654913696745723</c:v>
                </c:pt>
                <c:pt idx="488">
                  <c:v>-56.717463157839354</c:v>
                </c:pt>
                <c:pt idx="489">
                  <c:v>-56.779800205156015</c:v>
                </c:pt>
                <c:pt idx="490">
                  <c:v>-56.841926349141865</c:v>
                </c:pt>
                <c:pt idx="491">
                  <c:v>-56.903843084418497</c:v>
                </c:pt>
                <c:pt idx="492">
                  <c:v>-56.965551890002224</c:v>
                </c:pt>
                <c:pt idx="493">
                  <c:v>-57.027054229519521</c:v>
                </c:pt>
                <c:pt idx="494">
                  <c:v>-57.088351551418896</c:v>
                </c:pt>
                <c:pt idx="495">
                  <c:v>-57.149445289178935</c:v>
                </c:pt>
                <c:pt idx="496">
                  <c:v>-57.210336861512999</c:v>
                </c:pt>
                <c:pt idx="497">
                  <c:v>-57.271027672570312</c:v>
                </c:pt>
                <c:pt idx="498">
                  <c:v>-57.331519112133734</c:v>
                </c:pt>
                <c:pt idx="499">
                  <c:v>-57.391812555814077</c:v>
                </c:pt>
                <c:pt idx="500">
                  <c:v>-57.451909365241278</c:v>
                </c:pt>
                <c:pt idx="501">
                  <c:v>-57.511810888252271</c:v>
                </c:pt>
                <c:pt idx="502">
                  <c:v>-57.57151845907579</c:v>
                </c:pt>
                <c:pt idx="503">
                  <c:v>-57.631033398514042</c:v>
                </c:pt>
                <c:pt idx="504">
                  <c:v>-57.690357014121346</c:v>
                </c:pt>
                <c:pt idx="505">
                  <c:v>-57.749490600379929</c:v>
                </c:pt>
                <c:pt idx="506">
                  <c:v>-57.808435438872642</c:v>
                </c:pt>
                <c:pt idx="507">
                  <c:v>-57.867192798453019</c:v>
                </c:pt>
                <c:pt idx="508">
                  <c:v>-57.925763935412427</c:v>
                </c:pt>
                <c:pt idx="509">
                  <c:v>-57.984150093644509</c:v>
                </c:pt>
                <c:pt idx="510">
                  <c:v>-58.042352504806985</c:v>
                </c:pt>
                <c:pt idx="511">
                  <c:v>-58.100372388480785</c:v>
                </c:pt>
                <c:pt idx="512">
                  <c:v>-58.158210952326648</c:v>
                </c:pt>
                <c:pt idx="513">
                  <c:v>-58.215869392239135</c:v>
                </c:pt>
                <c:pt idx="514">
                  <c:v>-58.273348892498262</c:v>
                </c:pt>
                <c:pt idx="515">
                  <c:v>-58.330650625918565</c:v>
                </c:pt>
                <c:pt idx="516">
                  <c:v>-58.387775753995911</c:v>
                </c:pt>
                <c:pt idx="517">
                  <c:v>-58.444725427051921</c:v>
                </c:pt>
                <c:pt idx="518">
                  <c:v>-58.501500784376084</c:v>
                </c:pt>
                <c:pt idx="519">
                  <c:v>-58.558102954365637</c:v>
                </c:pt>
                <c:pt idx="520">
                  <c:v>-58.614533054663241</c:v>
                </c:pt>
                <c:pt idx="521">
                  <c:v>-58.67079219229251</c:v>
                </c:pt>
                <c:pt idx="522">
                  <c:v>-58.726881463791337</c:v>
                </c:pt>
                <c:pt idx="523">
                  <c:v>-58.782801955343267</c:v>
                </c:pt>
                <c:pt idx="524">
                  <c:v>-58.838554742906695</c:v>
                </c:pt>
                <c:pt idx="525">
                  <c:v>-58.894140892342122</c:v>
                </c:pt>
                <c:pt idx="526">
                  <c:v>-58.949561459537428</c:v>
                </c:pt>
                <c:pt idx="527">
                  <c:v>-59.004817490531238</c:v>
                </c:pt>
                <c:pt idx="528">
                  <c:v>-59.059910021634316</c:v>
                </c:pt>
                <c:pt idx="529">
                  <c:v>-59.114840079549168</c:v>
                </c:pt>
                <c:pt idx="530">
                  <c:v>-59.169608681487802</c:v>
                </c:pt>
                <c:pt idx="531">
                  <c:v>-59.224216835287642</c:v>
                </c:pt>
                <c:pt idx="532">
                  <c:v>-59.278665539525754</c:v>
                </c:pt>
                <c:pt idx="533">
                  <c:v>-59.332955783631256</c:v>
                </c:pt>
                <c:pt idx="534">
                  <c:v>-59.38708854799615</c:v>
                </c:pt>
                <c:pt idx="535">
                  <c:v>-59.441064804084327</c:v>
                </c:pt>
                <c:pt idx="536">
                  <c:v>-59.49488551453905</c:v>
                </c:pt>
                <c:pt idx="537">
                  <c:v>-59.548551633288831</c:v>
                </c:pt>
                <c:pt idx="538">
                  <c:v>-59.6020641056516</c:v>
                </c:pt>
                <c:pt idx="539">
                  <c:v>-59.655423868437495</c:v>
                </c:pt>
                <c:pt idx="540">
                  <c:v>-59.708631850049997</c:v>
                </c:pt>
                <c:pt idx="541">
                  <c:v>-59.76168897058561</c:v>
                </c:pt>
                <c:pt idx="542">
                  <c:v>-59.814596141932114</c:v>
                </c:pt>
                <c:pt idx="543">
                  <c:v>-59.867354267865267</c:v>
                </c:pt>
                <c:pt idx="544">
                  <c:v>-59.919964244144182</c:v>
                </c:pt>
                <c:pt idx="545">
                  <c:v>-59.972426958605297</c:v>
                </c:pt>
                <c:pt idx="546">
                  <c:v>-60.024743291254936</c:v>
                </c:pt>
                <c:pt idx="547">
                  <c:v>-60.076914114360484</c:v>
                </c:pt>
                <c:pt idx="548">
                  <c:v>-60.128940292540406</c:v>
                </c:pt>
                <c:pt idx="549">
                  <c:v>-60.180822682852757</c:v>
                </c:pt>
                <c:pt idx="550">
                  <c:v>-60.232562134882585</c:v>
                </c:pt>
                <c:pt idx="551">
                  <c:v>-60.284159490827918</c:v>
                </c:pt>
                <c:pt idx="552">
                  <c:v>-60.335615585584705</c:v>
                </c:pt>
                <c:pt idx="553">
                  <c:v>-60.386931246830351</c:v>
                </c:pt>
                <c:pt idx="554">
                  <c:v>-60.438107295106221</c:v>
                </c:pt>
                <c:pt idx="555">
                  <c:v>-60.48914454389886</c:v>
                </c:pt>
                <c:pt idx="556">
                  <c:v>-60.540043799720074</c:v>
                </c:pt>
                <c:pt idx="557">
                  <c:v>-60.590805862186016</c:v>
                </c:pt>
                <c:pt idx="558">
                  <c:v>-60.641431524094898</c:v>
                </c:pt>
                <c:pt idx="559">
                  <c:v>-60.691921571503897</c:v>
                </c:pt>
                <c:pt idx="560">
                  <c:v>-60.742276783804748</c:v>
                </c:pt>
                <c:pt idx="561">
                  <c:v>-60.79249793379843</c:v>
                </c:pt>
                <c:pt idx="562">
                  <c:v>-60.842585787768712</c:v>
                </c:pt>
                <c:pt idx="563">
                  <c:v>-60.892541105554791</c:v>
                </c:pt>
                <c:pt idx="564">
                  <c:v>-60.942364640622799</c:v>
                </c:pt>
                <c:pt idx="565">
                  <c:v>-60.992057140136367</c:v>
                </c:pt>
                <c:pt idx="566">
                  <c:v>-61.041619345026291</c:v>
                </c:pt>
                <c:pt idx="567">
                  <c:v>-61.0910519900591</c:v>
                </c:pt>
                <c:pt idx="568">
                  <c:v>-61.140355803904797</c:v>
                </c:pt>
                <c:pt idx="569">
                  <c:v>-61.189531509203611</c:v>
                </c:pt>
                <c:pt idx="570">
                  <c:v>-61.238579822631898</c:v>
                </c:pt>
                <c:pt idx="571">
                  <c:v>-61.287501454967071</c:v>
                </c:pt>
                <c:pt idx="572">
                  <c:v>-61.336297111151694</c:v>
                </c:pt>
                <c:pt idx="573">
                  <c:v>-61.384967490356729</c:v>
                </c:pt>
                <c:pt idx="574">
                  <c:v>-61.433513286043848</c:v>
                </c:pt>
                <c:pt idx="575">
                  <c:v>-61.481935186027023</c:v>
                </c:pt>
                <c:pt idx="576">
                  <c:v>-61.530233872533167</c:v>
                </c:pt>
                <c:pt idx="577">
                  <c:v>-61.578410022262076</c:v>
                </c:pt>
                <c:pt idx="578">
                  <c:v>-61.62646430644547</c:v>
                </c:pt>
                <c:pt idx="579">
                  <c:v>-61.674397390905341</c:v>
                </c:pt>
                <c:pt idx="580">
                  <c:v>-61.72220993611144</c:v>
                </c:pt>
                <c:pt idx="581">
                  <c:v>-61.769902597238044</c:v>
                </c:pt>
                <c:pt idx="582">
                  <c:v>-61.817476024220007</c:v>
                </c:pt>
                <c:pt idx="583">
                  <c:v>-61.864930861808027</c:v>
                </c:pt>
                <c:pt idx="584">
                  <c:v>-61.912267749623162</c:v>
                </c:pt>
                <c:pt idx="585">
                  <c:v>-61.959487322210691</c:v>
                </c:pt>
                <c:pt idx="586">
                  <c:v>-62.006590209093268</c:v>
                </c:pt>
                <c:pt idx="587">
                  <c:v>-62.053577034823334</c:v>
                </c:pt>
                <c:pt idx="588">
                  <c:v>-62.100448419034848</c:v>
                </c:pt>
                <c:pt idx="589">
                  <c:v>-62.14720497649445</c:v>
                </c:pt>
                <c:pt idx="590">
                  <c:v>-62.193847317151821</c:v>
                </c:pt>
                <c:pt idx="591">
                  <c:v>-62.240376046189461</c:v>
                </c:pt>
                <c:pt idx="592">
                  <c:v>-62.286791764071879</c:v>
                </c:pt>
                <c:pt idx="593">
                  <c:v>-62.333095066593998</c:v>
                </c:pt>
                <c:pt idx="594">
                  <c:v>-62.37928654492918</c:v>
                </c:pt>
                <c:pt idx="595">
                  <c:v>-62.42536678567631</c:v>
                </c:pt>
                <c:pt idx="596">
                  <c:v>-62.471336370906634</c:v>
                </c:pt>
                <c:pt idx="597">
                  <c:v>-62.517195878209755</c:v>
                </c:pt>
                <c:pt idx="598">
                  <c:v>-62.562945880739107</c:v>
                </c:pt>
                <c:pt idx="599">
                  <c:v>-62.608586947256924</c:v>
                </c:pt>
                <c:pt idx="600">
                  <c:v>-62.65411964217855</c:v>
                </c:pt>
                <c:pt idx="601">
                  <c:v>-62.69954452561624</c:v>
                </c:pt>
                <c:pt idx="602">
                  <c:v>-62.744862153422417</c:v>
                </c:pt>
                <c:pt idx="603">
                  <c:v>-62.790073077232321</c:v>
                </c:pt>
                <c:pt idx="604">
                  <c:v>-62.835177844506262</c:v>
                </c:pt>
                <c:pt idx="605">
                  <c:v>-62.880176998571173</c:v>
                </c:pt>
                <c:pt idx="606">
                  <c:v>-65.006393148761305</c:v>
                </c:pt>
                <c:pt idx="607">
                  <c:v>-66.9249016200407</c:v>
                </c:pt>
                <c:pt idx="608">
                  <c:v>-68.676305120599153</c:v>
                </c:pt>
                <c:pt idx="609">
                  <c:v>-70.290453151329629</c:v>
                </c:pt>
                <c:pt idx="610">
                  <c:v>-71.789891635139909</c:v>
                </c:pt>
                <c:pt idx="611">
                  <c:v>-73.192034763008564</c:v>
                </c:pt>
                <c:pt idx="612">
                  <c:v>-74.510588354191256</c:v>
                </c:pt>
                <c:pt idx="613">
                  <c:v>-75.756514561071512</c:v>
                </c:pt>
                <c:pt idx="614">
                  <c:v>-76.938704611693765</c:v>
                </c:pt>
                <c:pt idx="615">
                  <c:v>-78.064459538733018</c:v>
                </c:pt>
                <c:pt idx="616">
                  <c:v>-79.13984101039037</c:v>
                </c:pt>
                <c:pt idx="617">
                  <c:v>-80.169932090327222</c:v>
                </c:pt>
                <c:pt idx="618">
                  <c:v>-80.569527108205818</c:v>
                </c:pt>
                <c:pt idx="619">
                  <c:v>-80.962827470361418</c:v>
                </c:pt>
                <c:pt idx="620">
                  <c:v>-81.35006446758679</c:v>
                </c:pt>
                <c:pt idx="621">
                  <c:v>-81.731455671636994</c:v>
                </c:pt>
                <c:pt idx="622">
                  <c:v>-82.1072059949324</c:v>
                </c:pt>
                <c:pt idx="623">
                  <c:v>-82.477508652870654</c:v>
                </c:pt>
                <c:pt idx="624">
                  <c:v>-82.842546039090564</c:v>
                </c:pt>
                <c:pt idx="625">
                  <c:v>-83.202490522776202</c:v>
                </c:pt>
                <c:pt idx="626">
                  <c:v>-83.557505176007055</c:v>
                </c:pt>
                <c:pt idx="627">
                  <c:v>-83.907744438222451</c:v>
                </c:pt>
                <c:pt idx="628">
                  <c:v>-84.253354724055214</c:v>
                </c:pt>
                <c:pt idx="629">
                  <c:v>-84.594474980082083</c:v>
                </c:pt>
                <c:pt idx="630">
                  <c:v>-84.931237195420238</c:v>
                </c:pt>
                <c:pt idx="631">
                  <c:v>-85.263766870560119</c:v>
                </c:pt>
                <c:pt idx="632">
                  <c:v>-85.592183448350994</c:v>
                </c:pt>
                <c:pt idx="633">
                  <c:v>-85.916600710639855</c:v>
                </c:pt>
                <c:pt idx="634">
                  <c:v>-86.23712714369843</c:v>
                </c:pt>
                <c:pt idx="635">
                  <c:v>-86.553866275249547</c:v>
                </c:pt>
                <c:pt idx="636">
                  <c:v>-86.866916985619071</c:v>
                </c:pt>
                <c:pt idx="637">
                  <c:v>-87.176373795285599</c:v>
                </c:pt>
                <c:pt idx="638">
                  <c:v>-87.482327130876612</c:v>
                </c:pt>
                <c:pt idx="639">
                  <c:v>-87.78486357145907</c:v>
                </c:pt>
                <c:pt idx="640">
                  <c:v>-88.084066076794855</c:v>
                </c:pt>
                <c:pt idx="641">
                  <c:v>-88.38001419907269</c:v>
                </c:pt>
                <c:pt idx="642">
                  <c:v>-88.67278427948618</c:v>
                </c:pt>
                <c:pt idx="643">
                  <c:v>-88.962449630900238</c:v>
                </c:pt>
                <c:pt idx="644">
                  <c:v>-89.249080707734691</c:v>
                </c:pt>
                <c:pt idx="645">
                  <c:v>-89.532745264091162</c:v>
                </c:pt>
                <c:pt idx="646">
                  <c:v>-89.813508501057285</c:v>
                </c:pt>
                <c:pt idx="647">
                  <c:v>-90.091433204039774</c:v>
                </c:pt>
                <c:pt idx="648">
                  <c:v>-90.36657987090274</c:v>
                </c:pt>
                <c:pt idx="649">
                  <c:v>-90.639006831620463</c:v>
                </c:pt>
                <c:pt idx="650">
                  <c:v>-90.908770360092802</c:v>
                </c:pt>
                <c:pt idx="651">
                  <c:v>-91.175924778715896</c:v>
                </c:pt>
                <c:pt idx="652">
                  <c:v>-91.440522556251665</c:v>
                </c:pt>
                <c:pt idx="653">
                  <c:v>-91.702614399492845</c:v>
                </c:pt>
                <c:pt idx="654">
                  <c:v>-91.962249339181014</c:v>
                </c:pt>
                <c:pt idx="655">
                  <c:v>-92.219474810595457</c:v>
                </c:pt>
                <c:pt idx="656">
                  <c:v>-92.474336729198669</c:v>
                </c:pt>
                <c:pt idx="657">
                  <c:v>-92.726879561691817</c:v>
                </c:pt>
                <c:pt idx="658">
                  <c:v>-92.977146392806262</c:v>
                </c:pt>
                <c:pt idx="659">
                  <c:v>-93.225178988130182</c:v>
                </c:pt>
                <c:pt idx="660">
                  <c:v>-93.471017853247645</c:v>
                </c:pt>
                <c:pt idx="661">
                  <c:v>-93.714702289443892</c:v>
                </c:pt>
                <c:pt idx="662">
                  <c:v>-93.956270446212471</c:v>
                </c:pt>
                <c:pt idx="663">
                  <c:v>-94.195759370780863</c:v>
                </c:pt>
                <c:pt idx="664">
                  <c:v>-94.433205054855705</c:v>
                </c:pt>
                <c:pt idx="665">
                  <c:v>-94.668642478772114</c:v>
                </c:pt>
                <c:pt idx="666">
                  <c:v>-94.902105653219607</c:v>
                </c:pt>
                <c:pt idx="667">
                  <c:v>-95.133627658702608</c:v>
                </c:pt>
              </c:numCache>
            </c:numRef>
          </c:yVal>
          <c:smooth val="1"/>
          <c:extLst>
            <c:ext xmlns:c16="http://schemas.microsoft.com/office/drawing/2014/chart" uri="{C3380CC4-5D6E-409C-BE32-E72D297353CC}">
              <c16:uniqueId val="{00000000-BED3-43CF-9D4A-81AF6A44D307}"/>
            </c:ext>
          </c:extLst>
        </c:ser>
        <c:ser>
          <c:idx val="5"/>
          <c:order val="2"/>
          <c:tx>
            <c:v>LC Double Pole</c:v>
          </c:tx>
          <c:spPr>
            <a:ln w="28575">
              <a:solidFill>
                <a:schemeClr val="tx1"/>
              </a:solidFill>
            </a:ln>
          </c:spPr>
          <c:marker>
            <c:symbol val="x"/>
            <c:size val="8"/>
            <c:spPr>
              <a:noFill/>
              <a:ln w="22225">
                <a:solidFill>
                  <a:schemeClr val="tx1"/>
                </a:solidFill>
              </a:ln>
            </c:spPr>
          </c:marker>
          <c:dLbls>
            <c:dLbl>
              <c:idx val="0"/>
              <c:layout>
                <c:manualLayout>
                  <c:x val="5.9616632195422774E-3"/>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BED3-43CF-9D4A-81AF6A44D307}"/>
                </c:ext>
              </c:extLst>
            </c:dLbl>
            <c:spPr>
              <a:noFill/>
              <a:ln w="25400">
                <a:noFill/>
              </a:ln>
            </c:spPr>
            <c:txPr>
              <a:bodyPr rot="0"/>
              <a:lstStyle/>
              <a:p>
                <a:pPr algn="ctr" rtl="0">
                  <a:defRPr sz="1000" b="1"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Calculations'!$B$683</c:f>
              <c:numCache>
                <c:formatCode>General</c:formatCode>
                <c:ptCount val="1"/>
                <c:pt idx="0">
                  <c:v>4.3688422842539056</c:v>
                </c:pt>
              </c:numCache>
            </c:numRef>
          </c:xVal>
          <c:yVal>
            <c:numRef>
              <c:f>'Bode Plots Calculations'!$BF$683</c:f>
              <c:numCache>
                <c:formatCode>General</c:formatCode>
                <c:ptCount val="1"/>
                <c:pt idx="0">
                  <c:v>29.736997154780106</c:v>
                </c:pt>
              </c:numCache>
            </c:numRef>
          </c:yVal>
          <c:smooth val="1"/>
          <c:extLst>
            <c:ext xmlns:c16="http://schemas.microsoft.com/office/drawing/2014/chart" uri="{C3380CC4-5D6E-409C-BE32-E72D297353CC}">
              <c16:uniqueId val="{00000002-BED3-43CF-9D4A-81AF6A44D307}"/>
            </c:ext>
          </c:extLst>
        </c:ser>
        <c:ser>
          <c:idx val="6"/>
          <c:order val="3"/>
          <c:tx>
            <c:v>Fz1</c:v>
          </c:tx>
          <c:spPr>
            <a:ln w="28575">
              <a:noFill/>
            </a:ln>
          </c:spPr>
          <c:marker>
            <c:symbol val="circle"/>
            <c:size val="8"/>
            <c:spPr>
              <a:noFill/>
              <a:ln w="19050">
                <a:solidFill>
                  <a:srgbClr val="000000"/>
                </a:solidFill>
                <a:prstDash val="solid"/>
              </a:ln>
            </c:spPr>
          </c:marker>
          <c:dLbls>
            <c:dLbl>
              <c:idx val="0"/>
              <c:tx>
                <c:rich>
                  <a:bodyPr/>
                  <a:lstStyle/>
                  <a:p>
                    <a:r>
                      <a:rPr lang="en-US">
                        <a:solidFill>
                          <a:srgbClr val="0000FF"/>
                        </a:solidFill>
                      </a:rPr>
                      <a:t>F</a:t>
                    </a:r>
                    <a:r>
                      <a:rPr lang="en-US" baseline="-25000"/>
                      <a:t>Z1</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Calculations'!$B$684</c:f>
              <c:numCache>
                <c:formatCode>General</c:formatCode>
                <c:ptCount val="1"/>
                <c:pt idx="0">
                  <c:v>6.0469203371487987</c:v>
                </c:pt>
              </c:numCache>
            </c:numRef>
          </c:xVal>
          <c:yVal>
            <c:numRef>
              <c:f>'Bode Plots Calculations'!$BF$684</c:f>
              <c:numCache>
                <c:formatCode>General</c:formatCode>
                <c:ptCount val="1"/>
                <c:pt idx="0">
                  <c:v>20.926324723386031</c:v>
                </c:pt>
              </c:numCache>
            </c:numRef>
          </c:yVal>
          <c:smooth val="1"/>
          <c:extLst>
            <c:ext xmlns:c16="http://schemas.microsoft.com/office/drawing/2014/chart" uri="{C3380CC4-5D6E-409C-BE32-E72D297353CC}">
              <c16:uniqueId val="{00000004-BED3-43CF-9D4A-81AF6A44D307}"/>
            </c:ext>
          </c:extLst>
        </c:ser>
        <c:ser>
          <c:idx val="7"/>
          <c:order val="4"/>
          <c:tx>
            <c:v>Fz2</c:v>
          </c:tx>
          <c:spPr>
            <a:ln w="28575">
              <a:noFill/>
            </a:ln>
          </c:spPr>
          <c:marker>
            <c:symbol val="circle"/>
            <c:size val="8"/>
            <c:spPr>
              <a:noFill/>
              <a:ln w="19050" cap="rnd">
                <a:solidFill>
                  <a:srgbClr val="000000"/>
                </a:solidFill>
                <a:prstDash val="solid"/>
                <a:round/>
              </a:ln>
            </c:spPr>
          </c:marker>
          <c:dLbls>
            <c:dLbl>
              <c:idx val="0"/>
              <c:tx>
                <c:rich>
                  <a:bodyPr/>
                  <a:lstStyle/>
                  <a:p>
                    <a:r>
                      <a:rPr lang="en-US">
                        <a:solidFill>
                          <a:srgbClr val="0000FF"/>
                        </a:solidFill>
                      </a:rPr>
                      <a:t>F</a:t>
                    </a:r>
                    <a:r>
                      <a:rPr lang="en-US" baseline="-25000"/>
                      <a:t>Z2</a:t>
                    </a:r>
                  </a:p>
                </c:rich>
              </c:tx>
              <c:dLblPos val="b"/>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Calculations'!$B$685</c:f>
              <c:numCache>
                <c:formatCode>General</c:formatCode>
                <c:ptCount val="1"/>
                <c:pt idx="0">
                  <c:v>3.8894169910497651</c:v>
                </c:pt>
              </c:numCache>
            </c:numRef>
          </c:xVal>
          <c:yVal>
            <c:numRef>
              <c:f>'Bode Plots Calculations'!$BF$685</c:f>
              <c:numCache>
                <c:formatCode>General</c:formatCode>
                <c:ptCount val="1"/>
                <c:pt idx="0">
                  <c:v>29.490160531501161</c:v>
                </c:pt>
              </c:numCache>
            </c:numRef>
          </c:yVal>
          <c:smooth val="1"/>
          <c:extLst>
            <c:ext xmlns:c16="http://schemas.microsoft.com/office/drawing/2014/chart" uri="{C3380CC4-5D6E-409C-BE32-E72D297353CC}">
              <c16:uniqueId val="{00000006-BED3-43CF-9D4A-81AF6A44D307}"/>
            </c:ext>
          </c:extLst>
        </c:ser>
        <c:ser>
          <c:idx val="8"/>
          <c:order val="5"/>
          <c:tx>
            <c:v>Fp1</c:v>
          </c:tx>
          <c:spPr>
            <a:ln w="28575">
              <a:noFill/>
            </a:ln>
          </c:spPr>
          <c:marker>
            <c:symbol val="x"/>
            <c:size val="8"/>
            <c:spPr>
              <a:noFill/>
              <a:ln w="22225">
                <a:solidFill>
                  <a:srgbClr val="000000"/>
                </a:solidFill>
                <a:prstDash val="solid"/>
              </a:ln>
            </c:spPr>
          </c:marker>
          <c:dLbls>
            <c:dLbl>
              <c:idx val="0"/>
              <c:tx>
                <c:rich>
                  <a:bodyPr/>
                  <a:lstStyle/>
                  <a:p>
                    <a:r>
                      <a:rPr lang="en-US">
                        <a:solidFill>
                          <a:srgbClr val="0000FF"/>
                        </a:solidFill>
                      </a:rPr>
                      <a:t>F</a:t>
                    </a:r>
                    <a:r>
                      <a:rPr lang="en-US" baseline="-25000"/>
                      <a:t>P1</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Calculations'!$B$686</c:f>
              <c:numCache>
                <c:formatCode>General</c:formatCode>
                <c:ptCount val="1"/>
                <c:pt idx="0">
                  <c:v>120.57192672254273</c:v>
                </c:pt>
              </c:numCache>
            </c:numRef>
          </c:xVal>
          <c:yVal>
            <c:numRef>
              <c:f>'Bode Plots Calculations'!$BF$686</c:f>
              <c:numCache>
                <c:formatCode>General</c:formatCode>
                <c:ptCount val="1"/>
                <c:pt idx="0">
                  <c:v>-16.270864155017975</c:v>
                </c:pt>
              </c:numCache>
            </c:numRef>
          </c:yVal>
          <c:smooth val="1"/>
          <c:extLst>
            <c:ext xmlns:c16="http://schemas.microsoft.com/office/drawing/2014/chart" uri="{C3380CC4-5D6E-409C-BE32-E72D297353CC}">
              <c16:uniqueId val="{00000008-BED3-43CF-9D4A-81AF6A44D307}"/>
            </c:ext>
          </c:extLst>
        </c:ser>
        <c:ser>
          <c:idx val="9"/>
          <c:order val="6"/>
          <c:tx>
            <c:v>Fp2</c:v>
          </c:tx>
          <c:spPr>
            <a:ln w="28575">
              <a:solidFill>
                <a:schemeClr val="tx1"/>
              </a:solidFill>
            </a:ln>
          </c:spPr>
          <c:marker>
            <c:symbol val="x"/>
            <c:size val="8"/>
            <c:spPr>
              <a:noFill/>
              <a:ln w="22225">
                <a:solidFill>
                  <a:schemeClr val="tx1"/>
                </a:solidFill>
              </a:ln>
            </c:spPr>
          </c:marker>
          <c:dLbls>
            <c:dLbl>
              <c:idx val="0"/>
              <c:tx>
                <c:rich>
                  <a:bodyPr/>
                  <a:lstStyle/>
                  <a:p>
                    <a:r>
                      <a:rPr lang="en-US">
                        <a:solidFill>
                          <a:srgbClr val="0000FF"/>
                        </a:solidFill>
                      </a:rPr>
                      <a:t>F</a:t>
                    </a:r>
                    <a:r>
                      <a:rPr lang="en-US" baseline="-25000"/>
                      <a:t>P2</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Calculations'!$B$687</c:f>
              <c:numCache>
                <c:formatCode>General</c:formatCode>
                <c:ptCount val="1"/>
                <c:pt idx="0">
                  <c:v>195.51709090114446</c:v>
                </c:pt>
              </c:numCache>
            </c:numRef>
          </c:xVal>
          <c:yVal>
            <c:numRef>
              <c:f>'Bode Plots Calculations'!$BF$687</c:f>
              <c:numCache>
                <c:formatCode>General</c:formatCode>
                <c:ptCount val="1"/>
                <c:pt idx="0">
                  <c:v>-23.019642485227013</c:v>
                </c:pt>
              </c:numCache>
            </c:numRef>
          </c:yVal>
          <c:smooth val="1"/>
          <c:extLst>
            <c:ext xmlns:c16="http://schemas.microsoft.com/office/drawing/2014/chart" uri="{C3380CC4-5D6E-409C-BE32-E72D297353CC}">
              <c16:uniqueId val="{0000000A-BED3-43CF-9D4A-81AF6A44D307}"/>
            </c:ext>
          </c:extLst>
        </c:ser>
        <c:ser>
          <c:idx val="4"/>
          <c:order val="7"/>
          <c:tx>
            <c:v>F_ESR</c:v>
          </c:tx>
          <c:spPr>
            <a:ln w="28575">
              <a:noFill/>
            </a:ln>
          </c:spPr>
          <c:marker>
            <c:symbol val="circle"/>
            <c:size val="8"/>
            <c:spPr>
              <a:noFill/>
              <a:ln w="19050">
                <a:solidFill>
                  <a:srgbClr val="000000"/>
                </a:solidFill>
                <a:prstDash val="solid"/>
              </a:ln>
            </c:spPr>
          </c:marker>
          <c:dLbls>
            <c:dLbl>
              <c:idx val="0"/>
              <c:tx>
                <c:rich>
                  <a:bodyPr/>
                  <a:lstStyle/>
                  <a:p>
                    <a:r>
                      <a:rPr lang="en-US" b="1"/>
                      <a:t>F</a:t>
                    </a:r>
                    <a:r>
                      <a:rPr lang="en-US" baseline="-25000"/>
                      <a:t>ESR</a:t>
                    </a:r>
                  </a:p>
                </c:rich>
              </c:tx>
              <c:dLblPos val="l"/>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BED3-43CF-9D4A-81AF6A44D307}"/>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Calculations'!$B$682</c:f>
              <c:numCache>
                <c:formatCode>General</c:formatCode>
                <c:ptCount val="1"/>
                <c:pt idx="0">
                  <c:v>120.5719267225427</c:v>
                </c:pt>
              </c:numCache>
            </c:numRef>
          </c:xVal>
          <c:yVal>
            <c:numRef>
              <c:f>'Bode Plots Calculations'!$BF$682</c:f>
              <c:numCache>
                <c:formatCode>General</c:formatCode>
                <c:ptCount val="1"/>
                <c:pt idx="0">
                  <c:v>-16.270864155017975</c:v>
                </c:pt>
              </c:numCache>
            </c:numRef>
          </c:yVal>
          <c:smooth val="1"/>
          <c:extLst>
            <c:ext xmlns:c16="http://schemas.microsoft.com/office/drawing/2014/chart" uri="{C3380CC4-5D6E-409C-BE32-E72D297353CC}">
              <c16:uniqueId val="{0000000C-BED3-43CF-9D4A-81AF6A44D307}"/>
            </c:ext>
          </c:extLst>
        </c:ser>
        <c:dLbls>
          <c:showLegendKey val="0"/>
          <c:showVal val="0"/>
          <c:showCatName val="0"/>
          <c:showSerName val="0"/>
          <c:showPercent val="0"/>
          <c:showBubbleSize val="0"/>
        </c:dLbls>
        <c:axId val="315151872"/>
        <c:axId val="315545856"/>
      </c:scatterChart>
      <c:scatterChart>
        <c:scatterStyle val="lineMarker"/>
        <c:varyColors val="0"/>
        <c:ser>
          <c:idx val="3"/>
          <c:order val="1"/>
          <c:tx>
            <c:v>Loop Phase</c:v>
          </c:tx>
          <c:spPr>
            <a:ln w="34925">
              <a:solidFill>
                <a:srgbClr val="002060"/>
              </a:solidFill>
              <a:prstDash val="sysDash"/>
            </a:ln>
          </c:spPr>
          <c:marker>
            <c:symbol val="none"/>
          </c:marker>
          <c:xVal>
            <c:numRef>
              <c:f>'Bode Plots Calculations'!$B$9:$B$676</c:f>
              <c:numCache>
                <c:formatCode>General</c:formatCode>
                <c:ptCount val="668"/>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0.02</c:v>
                </c:pt>
                <c:pt idx="11">
                  <c:v>0.03</c:v>
                </c:pt>
                <c:pt idx="12">
                  <c:v>0.04</c:v>
                </c:pt>
                <c:pt idx="13">
                  <c:v>0.05</c:v>
                </c:pt>
                <c:pt idx="14">
                  <c:v>0.06</c:v>
                </c:pt>
                <c:pt idx="15">
                  <c:v>7.0000000000000007E-2</c:v>
                </c:pt>
                <c:pt idx="16">
                  <c:v>0.08</c:v>
                </c:pt>
                <c:pt idx="17">
                  <c:v>0.09</c:v>
                </c:pt>
                <c:pt idx="18">
                  <c:v>0.1</c:v>
                </c:pt>
                <c:pt idx="19">
                  <c:v>0.2</c:v>
                </c:pt>
                <c:pt idx="20">
                  <c:v>0.3</c:v>
                </c:pt>
                <c:pt idx="21">
                  <c:v>0.4</c:v>
                </c:pt>
                <c:pt idx="22">
                  <c:v>0.5</c:v>
                </c:pt>
                <c:pt idx="23">
                  <c:v>0.6</c:v>
                </c:pt>
                <c:pt idx="24">
                  <c:v>0.7</c:v>
                </c:pt>
                <c:pt idx="25">
                  <c:v>0.8</c:v>
                </c:pt>
                <c:pt idx="26">
                  <c:v>0.9</c:v>
                </c:pt>
                <c:pt idx="27">
                  <c:v>1</c:v>
                </c:pt>
                <c:pt idx="28">
                  <c:v>1.5</c:v>
                </c:pt>
                <c:pt idx="29">
                  <c:v>2</c:v>
                </c:pt>
                <c:pt idx="30">
                  <c:v>2.5</c:v>
                </c:pt>
                <c:pt idx="31">
                  <c:v>3</c:v>
                </c:pt>
                <c:pt idx="32">
                  <c:v>3.5</c:v>
                </c:pt>
                <c:pt idx="33">
                  <c:v>4</c:v>
                </c:pt>
                <c:pt idx="34">
                  <c:v>4.5</c:v>
                </c:pt>
                <c:pt idx="35">
                  <c:v>5</c:v>
                </c:pt>
                <c:pt idx="36">
                  <c:v>5.5</c:v>
                </c:pt>
                <c:pt idx="37">
                  <c:v>6</c:v>
                </c:pt>
                <c:pt idx="38">
                  <c:v>6.5</c:v>
                </c:pt>
                <c:pt idx="39">
                  <c:v>7</c:v>
                </c:pt>
                <c:pt idx="40">
                  <c:v>7.5</c:v>
                </c:pt>
                <c:pt idx="41">
                  <c:v>8</c:v>
                </c:pt>
                <c:pt idx="42">
                  <c:v>8.5</c:v>
                </c:pt>
                <c:pt idx="43">
                  <c:v>9</c:v>
                </c:pt>
                <c:pt idx="44">
                  <c:v>9.5</c:v>
                </c:pt>
                <c:pt idx="45">
                  <c:v>10</c:v>
                </c:pt>
                <c:pt idx="46">
                  <c:v>10.5</c:v>
                </c:pt>
                <c:pt idx="47">
                  <c:v>11</c:v>
                </c:pt>
                <c:pt idx="48">
                  <c:v>11.5</c:v>
                </c:pt>
                <c:pt idx="49">
                  <c:v>12</c:v>
                </c:pt>
                <c:pt idx="50">
                  <c:v>12.5</c:v>
                </c:pt>
                <c:pt idx="51">
                  <c:v>13</c:v>
                </c:pt>
                <c:pt idx="52">
                  <c:v>13.5</c:v>
                </c:pt>
                <c:pt idx="53">
                  <c:v>14</c:v>
                </c:pt>
                <c:pt idx="54">
                  <c:v>14.5</c:v>
                </c:pt>
                <c:pt idx="55">
                  <c:v>15</c:v>
                </c:pt>
                <c:pt idx="56">
                  <c:v>15.5</c:v>
                </c:pt>
                <c:pt idx="57">
                  <c:v>16</c:v>
                </c:pt>
                <c:pt idx="58">
                  <c:v>16.5</c:v>
                </c:pt>
                <c:pt idx="59">
                  <c:v>17</c:v>
                </c:pt>
                <c:pt idx="60">
                  <c:v>17.5</c:v>
                </c:pt>
                <c:pt idx="61">
                  <c:v>18</c:v>
                </c:pt>
                <c:pt idx="62">
                  <c:v>18.5</c:v>
                </c:pt>
                <c:pt idx="63">
                  <c:v>19</c:v>
                </c:pt>
                <c:pt idx="64">
                  <c:v>19.5</c:v>
                </c:pt>
                <c:pt idx="65">
                  <c:v>20</c:v>
                </c:pt>
                <c:pt idx="66">
                  <c:v>20.5</c:v>
                </c:pt>
                <c:pt idx="67">
                  <c:v>21</c:v>
                </c:pt>
                <c:pt idx="68">
                  <c:v>21.5</c:v>
                </c:pt>
                <c:pt idx="69">
                  <c:v>22</c:v>
                </c:pt>
                <c:pt idx="70">
                  <c:v>22.5</c:v>
                </c:pt>
                <c:pt idx="71">
                  <c:v>23</c:v>
                </c:pt>
                <c:pt idx="72">
                  <c:v>23.5</c:v>
                </c:pt>
                <c:pt idx="73">
                  <c:v>24</c:v>
                </c:pt>
                <c:pt idx="74">
                  <c:v>24.5</c:v>
                </c:pt>
                <c:pt idx="75">
                  <c:v>25</c:v>
                </c:pt>
                <c:pt idx="76">
                  <c:v>25.5</c:v>
                </c:pt>
                <c:pt idx="77">
                  <c:v>26</c:v>
                </c:pt>
                <c:pt idx="78">
                  <c:v>26.5</c:v>
                </c:pt>
                <c:pt idx="79">
                  <c:v>27</c:v>
                </c:pt>
                <c:pt idx="80">
                  <c:v>27.5</c:v>
                </c:pt>
                <c:pt idx="81">
                  <c:v>28</c:v>
                </c:pt>
                <c:pt idx="82">
                  <c:v>28.5</c:v>
                </c:pt>
                <c:pt idx="83">
                  <c:v>29</c:v>
                </c:pt>
                <c:pt idx="84">
                  <c:v>29.5</c:v>
                </c:pt>
                <c:pt idx="85">
                  <c:v>30</c:v>
                </c:pt>
                <c:pt idx="86">
                  <c:v>30.5</c:v>
                </c:pt>
                <c:pt idx="87">
                  <c:v>31</c:v>
                </c:pt>
                <c:pt idx="88">
                  <c:v>31.5</c:v>
                </c:pt>
                <c:pt idx="89">
                  <c:v>32</c:v>
                </c:pt>
                <c:pt idx="90">
                  <c:v>32.5</c:v>
                </c:pt>
                <c:pt idx="91">
                  <c:v>33</c:v>
                </c:pt>
                <c:pt idx="92">
                  <c:v>33.5</c:v>
                </c:pt>
                <c:pt idx="93">
                  <c:v>34</c:v>
                </c:pt>
                <c:pt idx="94">
                  <c:v>34.5</c:v>
                </c:pt>
                <c:pt idx="95">
                  <c:v>35</c:v>
                </c:pt>
                <c:pt idx="96">
                  <c:v>35.5</c:v>
                </c:pt>
                <c:pt idx="97">
                  <c:v>36</c:v>
                </c:pt>
                <c:pt idx="98">
                  <c:v>36.5</c:v>
                </c:pt>
                <c:pt idx="99">
                  <c:v>37</c:v>
                </c:pt>
                <c:pt idx="100">
                  <c:v>37.5</c:v>
                </c:pt>
                <c:pt idx="101">
                  <c:v>38</c:v>
                </c:pt>
                <c:pt idx="102">
                  <c:v>38.5</c:v>
                </c:pt>
                <c:pt idx="103">
                  <c:v>39</c:v>
                </c:pt>
                <c:pt idx="104">
                  <c:v>39.5</c:v>
                </c:pt>
                <c:pt idx="105">
                  <c:v>40</c:v>
                </c:pt>
                <c:pt idx="106">
                  <c:v>40.5</c:v>
                </c:pt>
                <c:pt idx="107">
                  <c:v>41</c:v>
                </c:pt>
                <c:pt idx="108">
                  <c:v>41.5</c:v>
                </c:pt>
                <c:pt idx="109">
                  <c:v>42</c:v>
                </c:pt>
                <c:pt idx="110">
                  <c:v>42.5</c:v>
                </c:pt>
                <c:pt idx="111">
                  <c:v>43</c:v>
                </c:pt>
                <c:pt idx="112">
                  <c:v>43.5</c:v>
                </c:pt>
                <c:pt idx="113">
                  <c:v>44</c:v>
                </c:pt>
                <c:pt idx="114">
                  <c:v>44.5</c:v>
                </c:pt>
                <c:pt idx="115">
                  <c:v>45</c:v>
                </c:pt>
                <c:pt idx="116">
                  <c:v>45.5</c:v>
                </c:pt>
                <c:pt idx="117">
                  <c:v>46</c:v>
                </c:pt>
                <c:pt idx="118">
                  <c:v>46.5</c:v>
                </c:pt>
                <c:pt idx="119">
                  <c:v>47</c:v>
                </c:pt>
                <c:pt idx="120">
                  <c:v>47.5</c:v>
                </c:pt>
                <c:pt idx="121">
                  <c:v>48</c:v>
                </c:pt>
                <c:pt idx="122">
                  <c:v>48.5</c:v>
                </c:pt>
                <c:pt idx="123">
                  <c:v>49</c:v>
                </c:pt>
                <c:pt idx="124">
                  <c:v>49.5</c:v>
                </c:pt>
                <c:pt idx="125">
                  <c:v>50</c:v>
                </c:pt>
                <c:pt idx="126">
                  <c:v>50.5</c:v>
                </c:pt>
                <c:pt idx="127">
                  <c:v>51</c:v>
                </c:pt>
                <c:pt idx="128">
                  <c:v>51.5</c:v>
                </c:pt>
                <c:pt idx="129">
                  <c:v>52</c:v>
                </c:pt>
                <c:pt idx="130">
                  <c:v>52.5</c:v>
                </c:pt>
                <c:pt idx="131">
                  <c:v>53</c:v>
                </c:pt>
                <c:pt idx="132">
                  <c:v>53.5</c:v>
                </c:pt>
                <c:pt idx="133">
                  <c:v>54</c:v>
                </c:pt>
                <c:pt idx="134">
                  <c:v>54.5</c:v>
                </c:pt>
                <c:pt idx="135">
                  <c:v>55</c:v>
                </c:pt>
                <c:pt idx="136">
                  <c:v>55.5</c:v>
                </c:pt>
                <c:pt idx="137">
                  <c:v>56</c:v>
                </c:pt>
                <c:pt idx="138">
                  <c:v>56.5</c:v>
                </c:pt>
                <c:pt idx="139">
                  <c:v>57</c:v>
                </c:pt>
                <c:pt idx="140">
                  <c:v>57.5</c:v>
                </c:pt>
                <c:pt idx="141">
                  <c:v>58</c:v>
                </c:pt>
                <c:pt idx="142">
                  <c:v>58.5</c:v>
                </c:pt>
                <c:pt idx="143">
                  <c:v>59</c:v>
                </c:pt>
                <c:pt idx="144">
                  <c:v>59.5</c:v>
                </c:pt>
                <c:pt idx="145">
                  <c:v>60</c:v>
                </c:pt>
                <c:pt idx="146">
                  <c:v>60.5</c:v>
                </c:pt>
                <c:pt idx="147">
                  <c:v>61</c:v>
                </c:pt>
                <c:pt idx="148">
                  <c:v>61.5</c:v>
                </c:pt>
                <c:pt idx="149">
                  <c:v>62</c:v>
                </c:pt>
                <c:pt idx="150">
                  <c:v>62.5</c:v>
                </c:pt>
                <c:pt idx="151">
                  <c:v>63</c:v>
                </c:pt>
                <c:pt idx="152">
                  <c:v>63.5</c:v>
                </c:pt>
                <c:pt idx="153">
                  <c:v>64</c:v>
                </c:pt>
                <c:pt idx="154">
                  <c:v>64.5</c:v>
                </c:pt>
                <c:pt idx="155">
                  <c:v>65</c:v>
                </c:pt>
                <c:pt idx="156">
                  <c:v>65.5</c:v>
                </c:pt>
                <c:pt idx="157">
                  <c:v>66</c:v>
                </c:pt>
                <c:pt idx="158">
                  <c:v>66.5</c:v>
                </c:pt>
                <c:pt idx="159">
                  <c:v>67</c:v>
                </c:pt>
                <c:pt idx="160">
                  <c:v>67.5</c:v>
                </c:pt>
                <c:pt idx="161">
                  <c:v>68</c:v>
                </c:pt>
                <c:pt idx="162">
                  <c:v>68.5</c:v>
                </c:pt>
                <c:pt idx="163">
                  <c:v>69</c:v>
                </c:pt>
                <c:pt idx="164">
                  <c:v>69.5</c:v>
                </c:pt>
                <c:pt idx="165">
                  <c:v>70</c:v>
                </c:pt>
                <c:pt idx="166">
                  <c:v>70.5</c:v>
                </c:pt>
                <c:pt idx="167">
                  <c:v>71</c:v>
                </c:pt>
                <c:pt idx="168">
                  <c:v>71.5</c:v>
                </c:pt>
                <c:pt idx="169">
                  <c:v>72</c:v>
                </c:pt>
                <c:pt idx="170">
                  <c:v>72.5</c:v>
                </c:pt>
                <c:pt idx="171">
                  <c:v>73</c:v>
                </c:pt>
                <c:pt idx="172">
                  <c:v>73.5</c:v>
                </c:pt>
                <c:pt idx="173">
                  <c:v>74</c:v>
                </c:pt>
                <c:pt idx="174">
                  <c:v>74.5</c:v>
                </c:pt>
                <c:pt idx="175">
                  <c:v>75</c:v>
                </c:pt>
                <c:pt idx="176">
                  <c:v>75.5</c:v>
                </c:pt>
                <c:pt idx="177">
                  <c:v>76</c:v>
                </c:pt>
                <c:pt idx="178">
                  <c:v>76.5</c:v>
                </c:pt>
                <c:pt idx="179">
                  <c:v>77</c:v>
                </c:pt>
                <c:pt idx="180">
                  <c:v>77.5</c:v>
                </c:pt>
                <c:pt idx="181">
                  <c:v>78</c:v>
                </c:pt>
                <c:pt idx="182">
                  <c:v>78.5</c:v>
                </c:pt>
                <c:pt idx="183">
                  <c:v>79</c:v>
                </c:pt>
                <c:pt idx="184">
                  <c:v>79.5</c:v>
                </c:pt>
                <c:pt idx="185">
                  <c:v>80</c:v>
                </c:pt>
                <c:pt idx="186">
                  <c:v>80.5</c:v>
                </c:pt>
                <c:pt idx="187">
                  <c:v>81</c:v>
                </c:pt>
                <c:pt idx="188">
                  <c:v>81.5</c:v>
                </c:pt>
                <c:pt idx="189">
                  <c:v>82</c:v>
                </c:pt>
                <c:pt idx="190">
                  <c:v>82.5</c:v>
                </c:pt>
                <c:pt idx="191">
                  <c:v>83</c:v>
                </c:pt>
                <c:pt idx="192">
                  <c:v>83.5</c:v>
                </c:pt>
                <c:pt idx="193">
                  <c:v>84</c:v>
                </c:pt>
                <c:pt idx="194">
                  <c:v>84.5</c:v>
                </c:pt>
                <c:pt idx="195">
                  <c:v>85</c:v>
                </c:pt>
                <c:pt idx="196">
                  <c:v>85.5</c:v>
                </c:pt>
                <c:pt idx="197">
                  <c:v>86</c:v>
                </c:pt>
                <c:pt idx="198">
                  <c:v>86.5</c:v>
                </c:pt>
                <c:pt idx="199">
                  <c:v>87</c:v>
                </c:pt>
                <c:pt idx="200">
                  <c:v>87.5</c:v>
                </c:pt>
                <c:pt idx="201">
                  <c:v>88</c:v>
                </c:pt>
                <c:pt idx="202">
                  <c:v>88.5</c:v>
                </c:pt>
                <c:pt idx="203">
                  <c:v>89</c:v>
                </c:pt>
                <c:pt idx="204">
                  <c:v>89.5</c:v>
                </c:pt>
                <c:pt idx="205">
                  <c:v>90</c:v>
                </c:pt>
                <c:pt idx="206">
                  <c:v>90.5</c:v>
                </c:pt>
                <c:pt idx="207">
                  <c:v>91</c:v>
                </c:pt>
                <c:pt idx="208">
                  <c:v>91.5</c:v>
                </c:pt>
                <c:pt idx="209">
                  <c:v>92</c:v>
                </c:pt>
                <c:pt idx="210">
                  <c:v>92.5</c:v>
                </c:pt>
                <c:pt idx="211">
                  <c:v>93</c:v>
                </c:pt>
                <c:pt idx="212">
                  <c:v>93.5</c:v>
                </c:pt>
                <c:pt idx="213">
                  <c:v>94</c:v>
                </c:pt>
                <c:pt idx="214">
                  <c:v>94.5</c:v>
                </c:pt>
                <c:pt idx="215">
                  <c:v>95</c:v>
                </c:pt>
                <c:pt idx="216">
                  <c:v>95.5</c:v>
                </c:pt>
                <c:pt idx="217">
                  <c:v>96</c:v>
                </c:pt>
                <c:pt idx="218">
                  <c:v>96.5</c:v>
                </c:pt>
                <c:pt idx="219">
                  <c:v>97</c:v>
                </c:pt>
                <c:pt idx="220">
                  <c:v>97.5</c:v>
                </c:pt>
                <c:pt idx="221">
                  <c:v>98</c:v>
                </c:pt>
                <c:pt idx="222">
                  <c:v>98.5</c:v>
                </c:pt>
                <c:pt idx="223">
                  <c:v>99</c:v>
                </c:pt>
                <c:pt idx="224">
                  <c:v>99.5</c:v>
                </c:pt>
                <c:pt idx="225">
                  <c:v>100</c:v>
                </c:pt>
                <c:pt idx="226">
                  <c:v>105</c:v>
                </c:pt>
                <c:pt idx="227">
                  <c:v>110</c:v>
                </c:pt>
                <c:pt idx="228">
                  <c:v>115</c:v>
                </c:pt>
                <c:pt idx="229">
                  <c:v>120</c:v>
                </c:pt>
                <c:pt idx="230">
                  <c:v>125</c:v>
                </c:pt>
                <c:pt idx="231">
                  <c:v>130</c:v>
                </c:pt>
                <c:pt idx="232">
                  <c:v>135</c:v>
                </c:pt>
                <c:pt idx="233">
                  <c:v>140</c:v>
                </c:pt>
                <c:pt idx="234">
                  <c:v>145</c:v>
                </c:pt>
                <c:pt idx="235">
                  <c:v>150</c:v>
                </c:pt>
                <c:pt idx="236">
                  <c:v>155</c:v>
                </c:pt>
                <c:pt idx="237">
                  <c:v>160</c:v>
                </c:pt>
                <c:pt idx="238">
                  <c:v>165</c:v>
                </c:pt>
                <c:pt idx="239">
                  <c:v>170</c:v>
                </c:pt>
                <c:pt idx="240">
                  <c:v>175</c:v>
                </c:pt>
                <c:pt idx="241">
                  <c:v>180</c:v>
                </c:pt>
                <c:pt idx="242">
                  <c:v>185</c:v>
                </c:pt>
                <c:pt idx="243">
                  <c:v>190</c:v>
                </c:pt>
                <c:pt idx="244">
                  <c:v>195</c:v>
                </c:pt>
                <c:pt idx="245">
                  <c:v>200</c:v>
                </c:pt>
                <c:pt idx="246">
                  <c:v>205</c:v>
                </c:pt>
                <c:pt idx="247">
                  <c:v>210</c:v>
                </c:pt>
                <c:pt idx="248">
                  <c:v>215</c:v>
                </c:pt>
                <c:pt idx="249">
                  <c:v>220</c:v>
                </c:pt>
                <c:pt idx="250">
                  <c:v>225</c:v>
                </c:pt>
                <c:pt idx="251">
                  <c:v>230</c:v>
                </c:pt>
                <c:pt idx="252">
                  <c:v>235</c:v>
                </c:pt>
                <c:pt idx="253">
                  <c:v>240</c:v>
                </c:pt>
                <c:pt idx="254">
                  <c:v>245</c:v>
                </c:pt>
                <c:pt idx="255">
                  <c:v>250</c:v>
                </c:pt>
                <c:pt idx="256">
                  <c:v>255</c:v>
                </c:pt>
                <c:pt idx="257">
                  <c:v>260</c:v>
                </c:pt>
                <c:pt idx="258">
                  <c:v>265</c:v>
                </c:pt>
                <c:pt idx="259">
                  <c:v>270</c:v>
                </c:pt>
                <c:pt idx="260">
                  <c:v>275</c:v>
                </c:pt>
                <c:pt idx="261">
                  <c:v>280</c:v>
                </c:pt>
                <c:pt idx="262">
                  <c:v>285</c:v>
                </c:pt>
                <c:pt idx="263">
                  <c:v>290</c:v>
                </c:pt>
                <c:pt idx="264">
                  <c:v>295</c:v>
                </c:pt>
                <c:pt idx="265">
                  <c:v>300</c:v>
                </c:pt>
                <c:pt idx="266">
                  <c:v>305</c:v>
                </c:pt>
                <c:pt idx="267">
                  <c:v>310</c:v>
                </c:pt>
                <c:pt idx="268">
                  <c:v>315</c:v>
                </c:pt>
                <c:pt idx="269">
                  <c:v>320</c:v>
                </c:pt>
                <c:pt idx="270">
                  <c:v>325</c:v>
                </c:pt>
                <c:pt idx="271">
                  <c:v>330</c:v>
                </c:pt>
                <c:pt idx="272">
                  <c:v>335</c:v>
                </c:pt>
                <c:pt idx="273">
                  <c:v>340</c:v>
                </c:pt>
                <c:pt idx="274">
                  <c:v>345</c:v>
                </c:pt>
                <c:pt idx="275">
                  <c:v>350</c:v>
                </c:pt>
                <c:pt idx="276">
                  <c:v>355</c:v>
                </c:pt>
                <c:pt idx="277">
                  <c:v>360</c:v>
                </c:pt>
                <c:pt idx="278">
                  <c:v>365</c:v>
                </c:pt>
                <c:pt idx="279">
                  <c:v>370</c:v>
                </c:pt>
                <c:pt idx="280">
                  <c:v>375</c:v>
                </c:pt>
                <c:pt idx="281">
                  <c:v>380</c:v>
                </c:pt>
                <c:pt idx="282">
                  <c:v>385</c:v>
                </c:pt>
                <c:pt idx="283">
                  <c:v>390</c:v>
                </c:pt>
                <c:pt idx="284">
                  <c:v>395</c:v>
                </c:pt>
                <c:pt idx="285">
                  <c:v>400</c:v>
                </c:pt>
                <c:pt idx="286">
                  <c:v>405</c:v>
                </c:pt>
                <c:pt idx="287">
                  <c:v>410</c:v>
                </c:pt>
                <c:pt idx="288">
                  <c:v>415</c:v>
                </c:pt>
                <c:pt idx="289">
                  <c:v>420</c:v>
                </c:pt>
                <c:pt idx="290">
                  <c:v>425</c:v>
                </c:pt>
                <c:pt idx="291">
                  <c:v>430</c:v>
                </c:pt>
                <c:pt idx="292">
                  <c:v>435</c:v>
                </c:pt>
                <c:pt idx="293">
                  <c:v>440</c:v>
                </c:pt>
                <c:pt idx="294">
                  <c:v>445</c:v>
                </c:pt>
                <c:pt idx="295">
                  <c:v>450</c:v>
                </c:pt>
                <c:pt idx="296">
                  <c:v>455</c:v>
                </c:pt>
                <c:pt idx="297">
                  <c:v>460</c:v>
                </c:pt>
                <c:pt idx="298">
                  <c:v>465</c:v>
                </c:pt>
                <c:pt idx="299">
                  <c:v>470</c:v>
                </c:pt>
                <c:pt idx="300">
                  <c:v>475</c:v>
                </c:pt>
                <c:pt idx="301">
                  <c:v>480</c:v>
                </c:pt>
                <c:pt idx="302">
                  <c:v>485</c:v>
                </c:pt>
                <c:pt idx="303">
                  <c:v>490</c:v>
                </c:pt>
                <c:pt idx="304">
                  <c:v>495</c:v>
                </c:pt>
                <c:pt idx="305">
                  <c:v>500</c:v>
                </c:pt>
                <c:pt idx="306">
                  <c:v>505</c:v>
                </c:pt>
                <c:pt idx="307">
                  <c:v>510</c:v>
                </c:pt>
                <c:pt idx="308">
                  <c:v>515</c:v>
                </c:pt>
                <c:pt idx="309">
                  <c:v>520</c:v>
                </c:pt>
                <c:pt idx="310">
                  <c:v>525</c:v>
                </c:pt>
                <c:pt idx="311">
                  <c:v>530</c:v>
                </c:pt>
                <c:pt idx="312">
                  <c:v>535</c:v>
                </c:pt>
                <c:pt idx="313">
                  <c:v>540</c:v>
                </c:pt>
                <c:pt idx="314">
                  <c:v>545</c:v>
                </c:pt>
                <c:pt idx="315">
                  <c:v>550</c:v>
                </c:pt>
                <c:pt idx="316">
                  <c:v>555</c:v>
                </c:pt>
                <c:pt idx="317">
                  <c:v>560</c:v>
                </c:pt>
                <c:pt idx="318">
                  <c:v>565</c:v>
                </c:pt>
                <c:pt idx="319">
                  <c:v>570</c:v>
                </c:pt>
                <c:pt idx="320">
                  <c:v>575</c:v>
                </c:pt>
                <c:pt idx="321">
                  <c:v>580</c:v>
                </c:pt>
                <c:pt idx="322">
                  <c:v>585</c:v>
                </c:pt>
                <c:pt idx="323">
                  <c:v>590</c:v>
                </c:pt>
                <c:pt idx="324">
                  <c:v>595</c:v>
                </c:pt>
                <c:pt idx="325">
                  <c:v>600</c:v>
                </c:pt>
                <c:pt idx="326">
                  <c:v>605</c:v>
                </c:pt>
                <c:pt idx="327">
                  <c:v>610</c:v>
                </c:pt>
                <c:pt idx="328">
                  <c:v>615</c:v>
                </c:pt>
                <c:pt idx="329">
                  <c:v>620</c:v>
                </c:pt>
                <c:pt idx="330">
                  <c:v>625</c:v>
                </c:pt>
                <c:pt idx="331">
                  <c:v>630</c:v>
                </c:pt>
                <c:pt idx="332">
                  <c:v>635</c:v>
                </c:pt>
                <c:pt idx="333">
                  <c:v>640</c:v>
                </c:pt>
                <c:pt idx="334">
                  <c:v>645</c:v>
                </c:pt>
                <c:pt idx="335">
                  <c:v>650</c:v>
                </c:pt>
                <c:pt idx="336">
                  <c:v>655</c:v>
                </c:pt>
                <c:pt idx="337">
                  <c:v>660</c:v>
                </c:pt>
                <c:pt idx="338">
                  <c:v>665</c:v>
                </c:pt>
                <c:pt idx="339">
                  <c:v>670</c:v>
                </c:pt>
                <c:pt idx="340">
                  <c:v>675</c:v>
                </c:pt>
                <c:pt idx="341">
                  <c:v>680</c:v>
                </c:pt>
                <c:pt idx="342">
                  <c:v>685</c:v>
                </c:pt>
                <c:pt idx="343">
                  <c:v>690</c:v>
                </c:pt>
                <c:pt idx="344">
                  <c:v>695</c:v>
                </c:pt>
                <c:pt idx="345">
                  <c:v>700</c:v>
                </c:pt>
                <c:pt idx="346">
                  <c:v>705</c:v>
                </c:pt>
                <c:pt idx="347">
                  <c:v>710</c:v>
                </c:pt>
                <c:pt idx="348">
                  <c:v>715</c:v>
                </c:pt>
                <c:pt idx="349">
                  <c:v>720</c:v>
                </c:pt>
                <c:pt idx="350">
                  <c:v>725</c:v>
                </c:pt>
                <c:pt idx="351">
                  <c:v>730</c:v>
                </c:pt>
                <c:pt idx="352">
                  <c:v>735</c:v>
                </c:pt>
                <c:pt idx="353">
                  <c:v>740</c:v>
                </c:pt>
                <c:pt idx="354">
                  <c:v>745</c:v>
                </c:pt>
                <c:pt idx="355">
                  <c:v>750</c:v>
                </c:pt>
                <c:pt idx="356">
                  <c:v>755</c:v>
                </c:pt>
                <c:pt idx="357">
                  <c:v>760</c:v>
                </c:pt>
                <c:pt idx="358">
                  <c:v>765</c:v>
                </c:pt>
                <c:pt idx="359">
                  <c:v>770</c:v>
                </c:pt>
                <c:pt idx="360">
                  <c:v>775</c:v>
                </c:pt>
                <c:pt idx="361">
                  <c:v>780</c:v>
                </c:pt>
                <c:pt idx="362">
                  <c:v>785</c:v>
                </c:pt>
                <c:pt idx="363">
                  <c:v>790</c:v>
                </c:pt>
                <c:pt idx="364">
                  <c:v>795</c:v>
                </c:pt>
                <c:pt idx="365">
                  <c:v>800</c:v>
                </c:pt>
                <c:pt idx="366">
                  <c:v>805</c:v>
                </c:pt>
                <c:pt idx="367">
                  <c:v>810</c:v>
                </c:pt>
                <c:pt idx="368">
                  <c:v>815</c:v>
                </c:pt>
                <c:pt idx="369">
                  <c:v>820</c:v>
                </c:pt>
                <c:pt idx="370">
                  <c:v>825</c:v>
                </c:pt>
                <c:pt idx="371">
                  <c:v>830</c:v>
                </c:pt>
                <c:pt idx="372">
                  <c:v>835</c:v>
                </c:pt>
                <c:pt idx="373">
                  <c:v>840</c:v>
                </c:pt>
                <c:pt idx="374">
                  <c:v>845</c:v>
                </c:pt>
                <c:pt idx="375">
                  <c:v>850</c:v>
                </c:pt>
                <c:pt idx="376">
                  <c:v>855</c:v>
                </c:pt>
                <c:pt idx="377">
                  <c:v>860</c:v>
                </c:pt>
                <c:pt idx="378">
                  <c:v>865</c:v>
                </c:pt>
                <c:pt idx="379">
                  <c:v>870</c:v>
                </c:pt>
                <c:pt idx="380">
                  <c:v>875</c:v>
                </c:pt>
                <c:pt idx="381">
                  <c:v>880</c:v>
                </c:pt>
                <c:pt idx="382">
                  <c:v>885</c:v>
                </c:pt>
                <c:pt idx="383">
                  <c:v>890</c:v>
                </c:pt>
                <c:pt idx="384">
                  <c:v>895</c:v>
                </c:pt>
                <c:pt idx="385">
                  <c:v>900</c:v>
                </c:pt>
                <c:pt idx="386">
                  <c:v>905</c:v>
                </c:pt>
                <c:pt idx="387">
                  <c:v>910</c:v>
                </c:pt>
                <c:pt idx="388">
                  <c:v>915</c:v>
                </c:pt>
                <c:pt idx="389">
                  <c:v>920</c:v>
                </c:pt>
                <c:pt idx="390">
                  <c:v>925</c:v>
                </c:pt>
                <c:pt idx="391">
                  <c:v>930</c:v>
                </c:pt>
                <c:pt idx="392">
                  <c:v>935</c:v>
                </c:pt>
                <c:pt idx="393">
                  <c:v>940</c:v>
                </c:pt>
                <c:pt idx="394">
                  <c:v>945</c:v>
                </c:pt>
                <c:pt idx="395">
                  <c:v>950</c:v>
                </c:pt>
                <c:pt idx="396">
                  <c:v>955</c:v>
                </c:pt>
                <c:pt idx="397">
                  <c:v>960</c:v>
                </c:pt>
                <c:pt idx="398">
                  <c:v>965</c:v>
                </c:pt>
                <c:pt idx="399">
                  <c:v>970</c:v>
                </c:pt>
                <c:pt idx="400">
                  <c:v>975</c:v>
                </c:pt>
                <c:pt idx="401">
                  <c:v>980</c:v>
                </c:pt>
                <c:pt idx="402">
                  <c:v>985</c:v>
                </c:pt>
                <c:pt idx="403">
                  <c:v>990</c:v>
                </c:pt>
                <c:pt idx="404">
                  <c:v>995</c:v>
                </c:pt>
                <c:pt idx="405">
                  <c:v>1000</c:v>
                </c:pt>
                <c:pt idx="406">
                  <c:v>1005</c:v>
                </c:pt>
                <c:pt idx="407">
                  <c:v>1010</c:v>
                </c:pt>
                <c:pt idx="408">
                  <c:v>1015</c:v>
                </c:pt>
                <c:pt idx="409">
                  <c:v>1020</c:v>
                </c:pt>
                <c:pt idx="410">
                  <c:v>1025</c:v>
                </c:pt>
                <c:pt idx="411">
                  <c:v>1030</c:v>
                </c:pt>
                <c:pt idx="412">
                  <c:v>1035</c:v>
                </c:pt>
                <c:pt idx="413">
                  <c:v>1040</c:v>
                </c:pt>
                <c:pt idx="414">
                  <c:v>1045</c:v>
                </c:pt>
                <c:pt idx="415">
                  <c:v>1050</c:v>
                </c:pt>
                <c:pt idx="416">
                  <c:v>1055</c:v>
                </c:pt>
                <c:pt idx="417">
                  <c:v>1060</c:v>
                </c:pt>
                <c:pt idx="418">
                  <c:v>1065</c:v>
                </c:pt>
                <c:pt idx="419">
                  <c:v>1070</c:v>
                </c:pt>
                <c:pt idx="420">
                  <c:v>1075</c:v>
                </c:pt>
                <c:pt idx="421">
                  <c:v>1080</c:v>
                </c:pt>
                <c:pt idx="422">
                  <c:v>1085</c:v>
                </c:pt>
                <c:pt idx="423">
                  <c:v>1090</c:v>
                </c:pt>
                <c:pt idx="424">
                  <c:v>1095</c:v>
                </c:pt>
                <c:pt idx="425">
                  <c:v>1100</c:v>
                </c:pt>
                <c:pt idx="426">
                  <c:v>1105</c:v>
                </c:pt>
                <c:pt idx="427">
                  <c:v>1110</c:v>
                </c:pt>
                <c:pt idx="428">
                  <c:v>1115</c:v>
                </c:pt>
                <c:pt idx="429">
                  <c:v>1120</c:v>
                </c:pt>
                <c:pt idx="430">
                  <c:v>1125</c:v>
                </c:pt>
                <c:pt idx="431">
                  <c:v>1130</c:v>
                </c:pt>
                <c:pt idx="432">
                  <c:v>1135</c:v>
                </c:pt>
                <c:pt idx="433">
                  <c:v>1140</c:v>
                </c:pt>
                <c:pt idx="434">
                  <c:v>1145</c:v>
                </c:pt>
                <c:pt idx="435">
                  <c:v>1150</c:v>
                </c:pt>
                <c:pt idx="436">
                  <c:v>1155</c:v>
                </c:pt>
                <c:pt idx="437">
                  <c:v>1160</c:v>
                </c:pt>
                <c:pt idx="438">
                  <c:v>1165</c:v>
                </c:pt>
                <c:pt idx="439">
                  <c:v>1170</c:v>
                </c:pt>
                <c:pt idx="440">
                  <c:v>1175</c:v>
                </c:pt>
                <c:pt idx="441">
                  <c:v>1180</c:v>
                </c:pt>
                <c:pt idx="442">
                  <c:v>1185</c:v>
                </c:pt>
                <c:pt idx="443">
                  <c:v>1190</c:v>
                </c:pt>
                <c:pt idx="444">
                  <c:v>1195</c:v>
                </c:pt>
                <c:pt idx="445">
                  <c:v>1200</c:v>
                </c:pt>
                <c:pt idx="446">
                  <c:v>1205</c:v>
                </c:pt>
                <c:pt idx="447">
                  <c:v>1210</c:v>
                </c:pt>
                <c:pt idx="448">
                  <c:v>1215</c:v>
                </c:pt>
                <c:pt idx="449">
                  <c:v>1220</c:v>
                </c:pt>
                <c:pt idx="450">
                  <c:v>1225</c:v>
                </c:pt>
                <c:pt idx="451">
                  <c:v>1230</c:v>
                </c:pt>
                <c:pt idx="452">
                  <c:v>1235</c:v>
                </c:pt>
                <c:pt idx="453">
                  <c:v>1240</c:v>
                </c:pt>
                <c:pt idx="454">
                  <c:v>1245</c:v>
                </c:pt>
                <c:pt idx="455">
                  <c:v>1250</c:v>
                </c:pt>
                <c:pt idx="456">
                  <c:v>1255</c:v>
                </c:pt>
                <c:pt idx="457">
                  <c:v>1260</c:v>
                </c:pt>
                <c:pt idx="458">
                  <c:v>1265</c:v>
                </c:pt>
                <c:pt idx="459">
                  <c:v>1270</c:v>
                </c:pt>
                <c:pt idx="460">
                  <c:v>1275</c:v>
                </c:pt>
                <c:pt idx="461">
                  <c:v>1280</c:v>
                </c:pt>
                <c:pt idx="462">
                  <c:v>1285</c:v>
                </c:pt>
                <c:pt idx="463">
                  <c:v>1290</c:v>
                </c:pt>
                <c:pt idx="464">
                  <c:v>1295</c:v>
                </c:pt>
                <c:pt idx="465">
                  <c:v>1300</c:v>
                </c:pt>
                <c:pt idx="466">
                  <c:v>1305</c:v>
                </c:pt>
                <c:pt idx="467">
                  <c:v>1310</c:v>
                </c:pt>
                <c:pt idx="468">
                  <c:v>1315</c:v>
                </c:pt>
                <c:pt idx="469">
                  <c:v>1320</c:v>
                </c:pt>
                <c:pt idx="470">
                  <c:v>1325</c:v>
                </c:pt>
                <c:pt idx="471">
                  <c:v>1330</c:v>
                </c:pt>
                <c:pt idx="472">
                  <c:v>1335</c:v>
                </c:pt>
                <c:pt idx="473">
                  <c:v>1340</c:v>
                </c:pt>
                <c:pt idx="474">
                  <c:v>1345</c:v>
                </c:pt>
                <c:pt idx="475">
                  <c:v>1350</c:v>
                </c:pt>
                <c:pt idx="476">
                  <c:v>1355</c:v>
                </c:pt>
                <c:pt idx="477">
                  <c:v>1360</c:v>
                </c:pt>
                <c:pt idx="478">
                  <c:v>1365</c:v>
                </c:pt>
                <c:pt idx="479">
                  <c:v>1370</c:v>
                </c:pt>
                <c:pt idx="480">
                  <c:v>1375</c:v>
                </c:pt>
                <c:pt idx="481">
                  <c:v>1380</c:v>
                </c:pt>
                <c:pt idx="482">
                  <c:v>1385</c:v>
                </c:pt>
                <c:pt idx="483">
                  <c:v>1390</c:v>
                </c:pt>
                <c:pt idx="484">
                  <c:v>1395</c:v>
                </c:pt>
                <c:pt idx="485">
                  <c:v>1400</c:v>
                </c:pt>
                <c:pt idx="486">
                  <c:v>1405</c:v>
                </c:pt>
                <c:pt idx="487">
                  <c:v>1410</c:v>
                </c:pt>
                <c:pt idx="488">
                  <c:v>1415</c:v>
                </c:pt>
                <c:pt idx="489">
                  <c:v>1420</c:v>
                </c:pt>
                <c:pt idx="490">
                  <c:v>1425</c:v>
                </c:pt>
                <c:pt idx="491">
                  <c:v>1430</c:v>
                </c:pt>
                <c:pt idx="492">
                  <c:v>1435</c:v>
                </c:pt>
                <c:pt idx="493">
                  <c:v>1440</c:v>
                </c:pt>
                <c:pt idx="494">
                  <c:v>1445</c:v>
                </c:pt>
                <c:pt idx="495">
                  <c:v>1450</c:v>
                </c:pt>
                <c:pt idx="496">
                  <c:v>1455</c:v>
                </c:pt>
                <c:pt idx="497">
                  <c:v>1460</c:v>
                </c:pt>
                <c:pt idx="498">
                  <c:v>1465</c:v>
                </c:pt>
                <c:pt idx="499">
                  <c:v>1470</c:v>
                </c:pt>
                <c:pt idx="500">
                  <c:v>1475</c:v>
                </c:pt>
                <c:pt idx="501">
                  <c:v>1480</c:v>
                </c:pt>
                <c:pt idx="502">
                  <c:v>1485</c:v>
                </c:pt>
                <c:pt idx="503">
                  <c:v>1490</c:v>
                </c:pt>
                <c:pt idx="504">
                  <c:v>1495</c:v>
                </c:pt>
                <c:pt idx="505">
                  <c:v>1500</c:v>
                </c:pt>
                <c:pt idx="506">
                  <c:v>1505</c:v>
                </c:pt>
                <c:pt idx="507">
                  <c:v>1510</c:v>
                </c:pt>
                <c:pt idx="508">
                  <c:v>1515</c:v>
                </c:pt>
                <c:pt idx="509">
                  <c:v>1520</c:v>
                </c:pt>
                <c:pt idx="510">
                  <c:v>1525</c:v>
                </c:pt>
                <c:pt idx="511">
                  <c:v>1530</c:v>
                </c:pt>
                <c:pt idx="512">
                  <c:v>1535</c:v>
                </c:pt>
                <c:pt idx="513">
                  <c:v>1540</c:v>
                </c:pt>
                <c:pt idx="514">
                  <c:v>1545</c:v>
                </c:pt>
                <c:pt idx="515">
                  <c:v>1550</c:v>
                </c:pt>
                <c:pt idx="516">
                  <c:v>1555</c:v>
                </c:pt>
                <c:pt idx="517">
                  <c:v>1560</c:v>
                </c:pt>
                <c:pt idx="518">
                  <c:v>1565</c:v>
                </c:pt>
                <c:pt idx="519">
                  <c:v>1570</c:v>
                </c:pt>
                <c:pt idx="520">
                  <c:v>1575</c:v>
                </c:pt>
                <c:pt idx="521">
                  <c:v>1580</c:v>
                </c:pt>
                <c:pt idx="522">
                  <c:v>1585</c:v>
                </c:pt>
                <c:pt idx="523">
                  <c:v>1590</c:v>
                </c:pt>
                <c:pt idx="524">
                  <c:v>1595</c:v>
                </c:pt>
                <c:pt idx="525">
                  <c:v>1600</c:v>
                </c:pt>
                <c:pt idx="526">
                  <c:v>1605</c:v>
                </c:pt>
                <c:pt idx="527">
                  <c:v>1610</c:v>
                </c:pt>
                <c:pt idx="528">
                  <c:v>1615</c:v>
                </c:pt>
                <c:pt idx="529">
                  <c:v>1620</c:v>
                </c:pt>
                <c:pt idx="530">
                  <c:v>1625</c:v>
                </c:pt>
                <c:pt idx="531">
                  <c:v>1630</c:v>
                </c:pt>
                <c:pt idx="532">
                  <c:v>1635</c:v>
                </c:pt>
                <c:pt idx="533">
                  <c:v>1640</c:v>
                </c:pt>
                <c:pt idx="534">
                  <c:v>1645</c:v>
                </c:pt>
                <c:pt idx="535">
                  <c:v>1650</c:v>
                </c:pt>
                <c:pt idx="536">
                  <c:v>1655</c:v>
                </c:pt>
                <c:pt idx="537">
                  <c:v>1660</c:v>
                </c:pt>
                <c:pt idx="538">
                  <c:v>1665</c:v>
                </c:pt>
                <c:pt idx="539">
                  <c:v>1670</c:v>
                </c:pt>
                <c:pt idx="540">
                  <c:v>1675</c:v>
                </c:pt>
                <c:pt idx="541">
                  <c:v>1680</c:v>
                </c:pt>
                <c:pt idx="542">
                  <c:v>1685</c:v>
                </c:pt>
                <c:pt idx="543">
                  <c:v>1690</c:v>
                </c:pt>
                <c:pt idx="544">
                  <c:v>1695</c:v>
                </c:pt>
                <c:pt idx="545">
                  <c:v>1700</c:v>
                </c:pt>
                <c:pt idx="546">
                  <c:v>1705</c:v>
                </c:pt>
                <c:pt idx="547">
                  <c:v>1710</c:v>
                </c:pt>
                <c:pt idx="548">
                  <c:v>1715</c:v>
                </c:pt>
                <c:pt idx="549">
                  <c:v>1720</c:v>
                </c:pt>
                <c:pt idx="550">
                  <c:v>1725</c:v>
                </c:pt>
                <c:pt idx="551">
                  <c:v>1730</c:v>
                </c:pt>
                <c:pt idx="552">
                  <c:v>1735</c:v>
                </c:pt>
                <c:pt idx="553">
                  <c:v>1740</c:v>
                </c:pt>
                <c:pt idx="554">
                  <c:v>1745</c:v>
                </c:pt>
                <c:pt idx="555">
                  <c:v>1750</c:v>
                </c:pt>
                <c:pt idx="556">
                  <c:v>1755</c:v>
                </c:pt>
                <c:pt idx="557">
                  <c:v>1760</c:v>
                </c:pt>
                <c:pt idx="558">
                  <c:v>1765</c:v>
                </c:pt>
                <c:pt idx="559">
                  <c:v>1770</c:v>
                </c:pt>
                <c:pt idx="560">
                  <c:v>1775</c:v>
                </c:pt>
                <c:pt idx="561">
                  <c:v>1780</c:v>
                </c:pt>
                <c:pt idx="562">
                  <c:v>1785</c:v>
                </c:pt>
                <c:pt idx="563">
                  <c:v>1790</c:v>
                </c:pt>
                <c:pt idx="564">
                  <c:v>1795</c:v>
                </c:pt>
                <c:pt idx="565">
                  <c:v>1800</c:v>
                </c:pt>
                <c:pt idx="566">
                  <c:v>1805</c:v>
                </c:pt>
                <c:pt idx="567">
                  <c:v>1810</c:v>
                </c:pt>
                <c:pt idx="568">
                  <c:v>1815</c:v>
                </c:pt>
                <c:pt idx="569">
                  <c:v>1820</c:v>
                </c:pt>
                <c:pt idx="570">
                  <c:v>1825</c:v>
                </c:pt>
                <c:pt idx="571">
                  <c:v>1830</c:v>
                </c:pt>
                <c:pt idx="572">
                  <c:v>1835</c:v>
                </c:pt>
                <c:pt idx="573">
                  <c:v>1840</c:v>
                </c:pt>
                <c:pt idx="574">
                  <c:v>1845</c:v>
                </c:pt>
                <c:pt idx="575">
                  <c:v>1850</c:v>
                </c:pt>
                <c:pt idx="576">
                  <c:v>1855</c:v>
                </c:pt>
                <c:pt idx="577">
                  <c:v>1860</c:v>
                </c:pt>
                <c:pt idx="578">
                  <c:v>1865</c:v>
                </c:pt>
                <c:pt idx="579">
                  <c:v>1870</c:v>
                </c:pt>
                <c:pt idx="580">
                  <c:v>1875</c:v>
                </c:pt>
                <c:pt idx="581">
                  <c:v>1880</c:v>
                </c:pt>
                <c:pt idx="582">
                  <c:v>1885</c:v>
                </c:pt>
                <c:pt idx="583">
                  <c:v>1890</c:v>
                </c:pt>
                <c:pt idx="584">
                  <c:v>1895</c:v>
                </c:pt>
                <c:pt idx="585">
                  <c:v>1900</c:v>
                </c:pt>
                <c:pt idx="586">
                  <c:v>1905</c:v>
                </c:pt>
                <c:pt idx="587">
                  <c:v>1910</c:v>
                </c:pt>
                <c:pt idx="588">
                  <c:v>1915</c:v>
                </c:pt>
                <c:pt idx="589">
                  <c:v>1920</c:v>
                </c:pt>
                <c:pt idx="590">
                  <c:v>1925</c:v>
                </c:pt>
                <c:pt idx="591">
                  <c:v>1930</c:v>
                </c:pt>
                <c:pt idx="592">
                  <c:v>1935</c:v>
                </c:pt>
                <c:pt idx="593">
                  <c:v>1940</c:v>
                </c:pt>
                <c:pt idx="594">
                  <c:v>1945</c:v>
                </c:pt>
                <c:pt idx="595">
                  <c:v>1950</c:v>
                </c:pt>
                <c:pt idx="596">
                  <c:v>1955</c:v>
                </c:pt>
                <c:pt idx="597">
                  <c:v>1960</c:v>
                </c:pt>
                <c:pt idx="598">
                  <c:v>1965</c:v>
                </c:pt>
                <c:pt idx="599">
                  <c:v>1970</c:v>
                </c:pt>
                <c:pt idx="600">
                  <c:v>1975</c:v>
                </c:pt>
                <c:pt idx="601">
                  <c:v>1980</c:v>
                </c:pt>
                <c:pt idx="602">
                  <c:v>1985</c:v>
                </c:pt>
                <c:pt idx="603">
                  <c:v>1990</c:v>
                </c:pt>
                <c:pt idx="604">
                  <c:v>1995</c:v>
                </c:pt>
                <c:pt idx="605">
                  <c:v>2000</c:v>
                </c:pt>
                <c:pt idx="606">
                  <c:v>2250</c:v>
                </c:pt>
                <c:pt idx="607">
                  <c:v>2500</c:v>
                </c:pt>
                <c:pt idx="608">
                  <c:v>2750</c:v>
                </c:pt>
                <c:pt idx="609">
                  <c:v>3000</c:v>
                </c:pt>
                <c:pt idx="610">
                  <c:v>3250</c:v>
                </c:pt>
                <c:pt idx="611">
                  <c:v>3500</c:v>
                </c:pt>
                <c:pt idx="612">
                  <c:v>3750</c:v>
                </c:pt>
                <c:pt idx="613">
                  <c:v>4000</c:v>
                </c:pt>
                <c:pt idx="614">
                  <c:v>4250</c:v>
                </c:pt>
                <c:pt idx="615">
                  <c:v>4500</c:v>
                </c:pt>
                <c:pt idx="616">
                  <c:v>4750</c:v>
                </c:pt>
                <c:pt idx="617">
                  <c:v>5000</c:v>
                </c:pt>
                <c:pt idx="618">
                  <c:v>5100</c:v>
                </c:pt>
                <c:pt idx="619">
                  <c:v>5200</c:v>
                </c:pt>
                <c:pt idx="620">
                  <c:v>5300</c:v>
                </c:pt>
                <c:pt idx="621">
                  <c:v>5400</c:v>
                </c:pt>
                <c:pt idx="622">
                  <c:v>5500</c:v>
                </c:pt>
                <c:pt idx="623">
                  <c:v>5600</c:v>
                </c:pt>
                <c:pt idx="624">
                  <c:v>5700</c:v>
                </c:pt>
                <c:pt idx="625">
                  <c:v>5800</c:v>
                </c:pt>
                <c:pt idx="626">
                  <c:v>5900</c:v>
                </c:pt>
                <c:pt idx="627">
                  <c:v>6000</c:v>
                </c:pt>
                <c:pt idx="628">
                  <c:v>6100</c:v>
                </c:pt>
                <c:pt idx="629">
                  <c:v>6200</c:v>
                </c:pt>
                <c:pt idx="630">
                  <c:v>6300</c:v>
                </c:pt>
                <c:pt idx="631">
                  <c:v>6400</c:v>
                </c:pt>
                <c:pt idx="632">
                  <c:v>6500</c:v>
                </c:pt>
                <c:pt idx="633">
                  <c:v>6600</c:v>
                </c:pt>
                <c:pt idx="634">
                  <c:v>6700</c:v>
                </c:pt>
                <c:pt idx="635">
                  <c:v>6800</c:v>
                </c:pt>
                <c:pt idx="636">
                  <c:v>6900</c:v>
                </c:pt>
                <c:pt idx="637">
                  <c:v>7000</c:v>
                </c:pt>
                <c:pt idx="638">
                  <c:v>7100</c:v>
                </c:pt>
                <c:pt idx="639">
                  <c:v>7200</c:v>
                </c:pt>
                <c:pt idx="640">
                  <c:v>7300</c:v>
                </c:pt>
                <c:pt idx="641">
                  <c:v>7400</c:v>
                </c:pt>
                <c:pt idx="642">
                  <c:v>7500</c:v>
                </c:pt>
                <c:pt idx="643">
                  <c:v>7600</c:v>
                </c:pt>
                <c:pt idx="644">
                  <c:v>7700</c:v>
                </c:pt>
                <c:pt idx="645">
                  <c:v>7800</c:v>
                </c:pt>
                <c:pt idx="646">
                  <c:v>7900</c:v>
                </c:pt>
                <c:pt idx="647">
                  <c:v>8000</c:v>
                </c:pt>
                <c:pt idx="648">
                  <c:v>8100</c:v>
                </c:pt>
                <c:pt idx="649">
                  <c:v>8200</c:v>
                </c:pt>
                <c:pt idx="650">
                  <c:v>8300</c:v>
                </c:pt>
                <c:pt idx="651">
                  <c:v>8400</c:v>
                </c:pt>
                <c:pt idx="652">
                  <c:v>8500</c:v>
                </c:pt>
                <c:pt idx="653">
                  <c:v>8600</c:v>
                </c:pt>
                <c:pt idx="654">
                  <c:v>8700</c:v>
                </c:pt>
                <c:pt idx="655">
                  <c:v>8800</c:v>
                </c:pt>
                <c:pt idx="656">
                  <c:v>8900</c:v>
                </c:pt>
                <c:pt idx="657">
                  <c:v>9000</c:v>
                </c:pt>
                <c:pt idx="658">
                  <c:v>9100</c:v>
                </c:pt>
                <c:pt idx="659">
                  <c:v>9200</c:v>
                </c:pt>
                <c:pt idx="660">
                  <c:v>9300</c:v>
                </c:pt>
                <c:pt idx="661">
                  <c:v>9400</c:v>
                </c:pt>
                <c:pt idx="662">
                  <c:v>9500</c:v>
                </c:pt>
                <c:pt idx="663">
                  <c:v>9600</c:v>
                </c:pt>
                <c:pt idx="664">
                  <c:v>9700</c:v>
                </c:pt>
                <c:pt idx="665">
                  <c:v>9800</c:v>
                </c:pt>
                <c:pt idx="666">
                  <c:v>9900</c:v>
                </c:pt>
                <c:pt idx="667">
                  <c:v>10000</c:v>
                </c:pt>
              </c:numCache>
            </c:numRef>
          </c:xVal>
          <c:yVal>
            <c:numRef>
              <c:f>'Bode Plots Calculations'!$BG$9:$BG$676</c:f>
              <c:numCache>
                <c:formatCode>General</c:formatCode>
                <c:ptCount val="668"/>
                <c:pt idx="0">
                  <c:v>-40.765763285780338</c:v>
                </c:pt>
                <c:pt idx="1">
                  <c:v>-59.866883125386991</c:v>
                </c:pt>
                <c:pt idx="2">
                  <c:v>-68.817670681360866</c:v>
                </c:pt>
                <c:pt idx="3">
                  <c:v>-73.763444015876473</c:v>
                </c:pt>
                <c:pt idx="4">
                  <c:v>-76.853078164289755</c:v>
                </c:pt>
                <c:pt idx="5">
                  <c:v>-78.952049221888046</c:v>
                </c:pt>
                <c:pt idx="6">
                  <c:v>-80.464989971993901</c:v>
                </c:pt>
                <c:pt idx="7">
                  <c:v>-81.604048917956661</c:v>
                </c:pt>
                <c:pt idx="8">
                  <c:v>-82.49053404202472</c:v>
                </c:pt>
                <c:pt idx="9">
                  <c:v>-83.198616768962566</c:v>
                </c:pt>
                <c:pt idx="10">
                  <c:v>-86.303975344530471</c:v>
                </c:pt>
                <c:pt idx="11">
                  <c:v>-87.218741261867592</c:v>
                </c:pt>
                <c:pt idx="12">
                  <c:v>-87.58204605156034</c:v>
                </c:pt>
                <c:pt idx="13">
                  <c:v>-87.724397406876847</c:v>
                </c:pt>
                <c:pt idx="14">
                  <c:v>-87.756205561919245</c:v>
                </c:pt>
                <c:pt idx="15">
                  <c:v>-87.724835541735004</c:v>
                </c:pt>
                <c:pt idx="16">
                  <c:v>-87.653983553025682</c:v>
                </c:pt>
                <c:pt idx="17">
                  <c:v>-87.556819812749765</c:v>
                </c:pt>
                <c:pt idx="18">
                  <c:v>-87.441249549652667</c:v>
                </c:pt>
                <c:pt idx="19">
                  <c:v>-85.882587817849625</c:v>
                </c:pt>
                <c:pt idx="20">
                  <c:v>-84.110448807136322</c:v>
                </c:pt>
                <c:pt idx="21">
                  <c:v>-82.294777321947166</c:v>
                </c:pt>
                <c:pt idx="22">
                  <c:v>-80.472704292773784</c:v>
                </c:pt>
                <c:pt idx="23">
                  <c:v>-78.659218080843644</c:v>
                </c:pt>
                <c:pt idx="24">
                  <c:v>-76.862978998696875</c:v>
                </c:pt>
                <c:pt idx="25">
                  <c:v>-75.090278051948729</c:v>
                </c:pt>
                <c:pt idx="26">
                  <c:v>-73.346363780941047</c:v>
                </c:pt>
                <c:pt idx="27">
                  <c:v>-71.635982510799835</c:v>
                </c:pt>
                <c:pt idx="28">
                  <c:v>-63.742890739060769</c:v>
                </c:pt>
                <c:pt idx="29">
                  <c:v>-57.379914433927325</c:v>
                </c:pt>
                <c:pt idx="30">
                  <c:v>-53.321976302056974</c:v>
                </c:pt>
                <c:pt idx="31">
                  <c:v>-52.947640760094124</c:v>
                </c:pt>
                <c:pt idx="32">
                  <c:v>-59.128754068621241</c:v>
                </c:pt>
                <c:pt idx="33">
                  <c:v>-76.870681281774964</c:v>
                </c:pt>
                <c:pt idx="34">
                  <c:v>-104.68726306928006</c:v>
                </c:pt>
                <c:pt idx="35">
                  <c:v>-125.79074719357361</c:v>
                </c:pt>
                <c:pt idx="36">
                  <c:v>-135.89130064438896</c:v>
                </c:pt>
                <c:pt idx="37">
                  <c:v>-139.99274920329168</c:v>
                </c:pt>
                <c:pt idx="38">
                  <c:v>-141.28220413799968</c:v>
                </c:pt>
                <c:pt idx="39">
                  <c:v>-141.21450822035263</c:v>
                </c:pt>
                <c:pt idx="40">
                  <c:v>-140.46961306720425</c:v>
                </c:pt>
                <c:pt idx="41">
                  <c:v>-139.38732374685387</c:v>
                </c:pt>
                <c:pt idx="42">
                  <c:v>-138.1475733070059</c:v>
                </c:pt>
                <c:pt idx="43">
                  <c:v>-136.84961071369185</c:v>
                </c:pt>
                <c:pt idx="44">
                  <c:v>-135.54946940280291</c:v>
                </c:pt>
                <c:pt idx="45">
                  <c:v>-134.27893068063889</c:v>
                </c:pt>
                <c:pt idx="46">
                  <c:v>-133.0556791777573</c:v>
                </c:pt>
                <c:pt idx="47">
                  <c:v>-131.88899855960932</c:v>
                </c:pt>
                <c:pt idx="48">
                  <c:v>-130.78308739611634</c:v>
                </c:pt>
                <c:pt idx="49">
                  <c:v>-129.73904781866176</c:v>
                </c:pt>
                <c:pt idx="50">
                  <c:v>-128.75610619066094</c:v>
                </c:pt>
                <c:pt idx="51">
                  <c:v>-127.83237550476954</c:v>
                </c:pt>
                <c:pt idx="52">
                  <c:v>-126.96533724875067</c:v>
                </c:pt>
                <c:pt idx="53">
                  <c:v>-126.15214790073591</c:v>
                </c:pt>
                <c:pt idx="54">
                  <c:v>-125.38983391572323</c:v>
                </c:pt>
                <c:pt idx="55">
                  <c:v>-124.67541485895657</c:v>
                </c:pt>
                <c:pt idx="56">
                  <c:v>-124.0059797821624</c:v>
                </c:pt>
                <c:pt idx="57">
                  <c:v>-123.37873298104128</c:v>
                </c:pt>
                <c:pt idx="58">
                  <c:v>-122.79101965160639</c:v>
                </c:pt>
                <c:pt idx="59">
                  <c:v>-122.24033837474903</c:v>
                </c:pt>
                <c:pt idx="60">
                  <c:v>-121.7243450332758</c:v>
                </c:pt>
                <c:pt idx="61">
                  <c:v>-121.24085123942396</c:v>
                </c:pt>
                <c:pt idx="62">
                  <c:v>-120.78781933792506</c:v>
                </c:pt>
                <c:pt idx="63">
                  <c:v>-120.3633553711676</c:v>
                </c:pt>
                <c:pt idx="64">
                  <c:v>-119.96570093506996</c:v>
                </c:pt>
                <c:pt idx="65">
                  <c:v>-119.59322454339399</c:v>
                </c:pt>
                <c:pt idx="66">
                  <c:v>-119.24441290633423</c:v>
                </c:pt>
                <c:pt idx="67">
                  <c:v>-118.9178623844751</c:v>
                </c:pt>
                <c:pt idx="68">
                  <c:v>-118.61227078035003</c:v>
                </c:pt>
                <c:pt idx="69">
                  <c:v>-118.32642956248988</c:v>
                </c:pt>
                <c:pt idx="70">
                  <c:v>-118.05921657124448</c:v>
                </c:pt>
                <c:pt idx="71">
                  <c:v>-117.80958922509834</c:v>
                </c:pt>
                <c:pt idx="72">
                  <c:v>-117.5765782260551</c:v>
                </c:pt>
                <c:pt idx="73">
                  <c:v>-117.35928174973598</c:v>
                </c:pt>
                <c:pt idx="74">
                  <c:v>-117.15686009788779</c:v>
                </c:pt>
                <c:pt idx="75">
                  <c:v>-116.96853078647108</c:v>
                </c:pt>
                <c:pt idx="76">
                  <c:v>-116.79356404030489</c:v>
                </c:pt>
                <c:pt idx="77">
                  <c:v>-116.63127866461785</c:v>
                </c:pt>
                <c:pt idx="78">
                  <c:v>-116.48103826426123</c:v>
                </c:pt>
                <c:pt idx="79">
                  <c:v>-116.34224778240079</c:v>
                </c:pt>
                <c:pt idx="80">
                  <c:v>-116.21435033196649</c:v>
                </c:pt>
                <c:pt idx="81">
                  <c:v>-116.09682429481549</c:v>
                </c:pt>
                <c:pt idx="82">
                  <c:v>-115.98918066533847</c:v>
                </c:pt>
                <c:pt idx="83">
                  <c:v>-115.89096061702527</c:v>
                </c:pt>
                <c:pt idx="84">
                  <c:v>-115.80173327225143</c:v>
                </c:pt>
                <c:pt idx="85">
                  <c:v>-115.721093657217</c:v>
                </c:pt>
                <c:pt idx="86">
                  <c:v>-115.64866082554407</c:v>
                </c:pt>
                <c:pt idx="87">
                  <c:v>-115.58407613550912</c:v>
                </c:pt>
                <c:pt idx="88">
                  <c:v>-115.52700166724513</c:v>
                </c:pt>
                <c:pt idx="89">
                  <c:v>-115.47711876749963</c:v>
                </c:pt>
                <c:pt idx="90">
                  <c:v>-115.43412671067972</c:v>
                </c:pt>
                <c:pt idx="91">
                  <c:v>-115.39774146595931</c:v>
                </c:pt>
                <c:pt idx="92">
                  <c:v>-115.36769456117405</c:v>
                </c:pt>
                <c:pt idx="93">
                  <c:v>-115.34373203509261</c:v>
                </c:pt>
                <c:pt idx="94">
                  <c:v>-115.32561347043452</c:v>
                </c:pt>
                <c:pt idx="95">
                  <c:v>-115.31311110071191</c:v>
                </c:pt>
                <c:pt idx="96">
                  <c:v>-115.30600898461482</c:v>
                </c:pt>
                <c:pt idx="97">
                  <c:v>-115.30410224223637</c:v>
                </c:pt>
                <c:pt idx="98">
                  <c:v>-115.30719634795935</c:v>
                </c:pt>
                <c:pt idx="99">
                  <c:v>-115.31510647529686</c:v>
                </c:pt>
                <c:pt idx="100">
                  <c:v>-115.32765688940856</c:v>
                </c:pt>
                <c:pt idx="101">
                  <c:v>-115.34468038339854</c:v>
                </c:pt>
                <c:pt idx="102">
                  <c:v>-115.36601775485092</c:v>
                </c:pt>
                <c:pt idx="103">
                  <c:v>-115.39151731937481</c:v>
                </c:pt>
                <c:pt idx="104">
                  <c:v>-115.42103445821473</c:v>
                </c:pt>
                <c:pt idx="105">
                  <c:v>-115.45443119724271</c:v>
                </c:pt>
                <c:pt idx="106">
                  <c:v>-115.49157581487974</c:v>
                </c:pt>
                <c:pt idx="107">
                  <c:v>-115.53234247670906</c:v>
                </c:pt>
                <c:pt idx="108">
                  <c:v>-115.57661089473268</c:v>
                </c:pt>
                <c:pt idx="109">
                  <c:v>-115.62426600939958</c:v>
                </c:pt>
                <c:pt idx="110">
                  <c:v>-115.67519769269028</c:v>
                </c:pt>
                <c:pt idx="111">
                  <c:v>-115.7293004706866</c:v>
                </c:pt>
                <c:pt idx="112">
                  <c:v>-115.78647326418628</c:v>
                </c:pt>
                <c:pt idx="113">
                  <c:v>-115.84661914604001</c:v>
                </c:pt>
                <c:pt idx="114">
                  <c:v>-115.90964511399693</c:v>
                </c:pt>
                <c:pt idx="115">
                  <c:v>-115.97546187794343</c:v>
                </c:pt>
                <c:pt idx="116">
                  <c:v>-116.0439836605082</c:v>
                </c:pt>
                <c:pt idx="117">
                  <c:v>-116.11512801008985</c:v>
                </c:pt>
                <c:pt idx="118">
                  <c:v>-116.18881562543703</c:v>
                </c:pt>
                <c:pt idx="119">
                  <c:v>-116.2649701909792</c:v>
                </c:pt>
                <c:pt idx="120">
                  <c:v>-116.34351822216877</c:v>
                </c:pt>
                <c:pt idx="121">
                  <c:v>-116.42438892015208</c:v>
                </c:pt>
                <c:pt idx="122">
                  <c:v>-116.50751403513846</c:v>
                </c:pt>
                <c:pt idx="123">
                  <c:v>-116.59282773788473</c:v>
                </c:pt>
                <c:pt idx="124">
                  <c:v>-116.68026649875657</c:v>
                </c:pt>
                <c:pt idx="125">
                  <c:v>-116.76976897386687</c:v>
                </c:pt>
                <c:pt idx="126">
                  <c:v>-116.86127589782996</c:v>
                </c:pt>
                <c:pt idx="127">
                  <c:v>-116.95472998270233</c:v>
                </c:pt>
                <c:pt idx="128">
                  <c:v>-117.05007582271399</c:v>
                </c:pt>
                <c:pt idx="129">
                  <c:v>-117.14725980442012</c:v>
                </c:pt>
                <c:pt idx="130">
                  <c:v>-117.24623002193155</c:v>
                </c:pt>
                <c:pt idx="131">
                  <c:v>-117.34693619690623</c:v>
                </c:pt>
                <c:pt idx="132">
                  <c:v>-117.44932960300466</c:v>
                </c:pt>
                <c:pt idx="133">
                  <c:v>-117.55336299453489</c:v>
                </c:pt>
                <c:pt idx="134">
                  <c:v>-117.65899053903026</c:v>
                </c:pt>
                <c:pt idx="135">
                  <c:v>-117.7661677535214</c:v>
                </c:pt>
                <c:pt idx="136">
                  <c:v>-117.87485144427959</c:v>
                </c:pt>
                <c:pt idx="137">
                  <c:v>-117.98499964982365</c:v>
                </c:pt>
                <c:pt idx="138">
                  <c:v>-118.09657158699734</c:v>
                </c:pt>
                <c:pt idx="139">
                  <c:v>-118.20952759993523</c:v>
                </c:pt>
                <c:pt idx="140">
                  <c:v>-118.32382911174838</c:v>
                </c:pt>
                <c:pt idx="141">
                  <c:v>-118.43943857877214</c:v>
                </c:pt>
                <c:pt idx="142">
                  <c:v>-118.55631944722727</c:v>
                </c:pt>
                <c:pt idx="143">
                  <c:v>-118.6744361121564</c:v>
                </c:pt>
                <c:pt idx="144">
                  <c:v>-118.79375387850629</c:v>
                </c:pt>
                <c:pt idx="145">
                  <c:v>-118.91423892423363</c:v>
                </c:pt>
                <c:pt idx="146">
                  <c:v>-119.03585826532166</c:v>
                </c:pt>
                <c:pt idx="147">
                  <c:v>-119.1585797225995</c:v>
                </c:pt>
                <c:pt idx="148">
                  <c:v>-119.28237189026447</c:v>
                </c:pt>
                <c:pt idx="149">
                  <c:v>-119.4072041060133</c:v>
                </c:pt>
                <c:pt idx="150">
                  <c:v>-119.53304642269345</c:v>
                </c:pt>
                <c:pt idx="151">
                  <c:v>-119.65986958139145</c:v>
                </c:pt>
                <c:pt idx="152">
                  <c:v>-119.78764498587992</c:v>
                </c:pt>
                <c:pt idx="153">
                  <c:v>-119.91634467835006</c:v>
                </c:pt>
                <c:pt idx="154">
                  <c:v>-120.04594131635956</c:v>
                </c:pt>
                <c:pt idx="155">
                  <c:v>-120.17640815093134</c:v>
                </c:pt>
                <c:pt idx="156">
                  <c:v>-120.3077190057414</c:v>
                </c:pt>
                <c:pt idx="157">
                  <c:v>-120.43984825733787</c:v>
                </c:pt>
                <c:pt idx="158">
                  <c:v>-120.57277081633583</c:v>
                </c:pt>
                <c:pt idx="159">
                  <c:v>-120.70646210953788</c:v>
                </c:pt>
                <c:pt idx="160">
                  <c:v>-120.84089806293022</c:v>
                </c:pt>
                <c:pt idx="161">
                  <c:v>-120.97605508550892</c:v>
                </c:pt>
                <c:pt idx="162">
                  <c:v>-121.11191005389323</c:v>
                </c:pt>
                <c:pt idx="163">
                  <c:v>-121.24844029768404</c:v>
                </c:pt>
                <c:pt idx="164">
                  <c:v>-121.38562358552974</c:v>
                </c:pt>
                <c:pt idx="165">
                  <c:v>-121.52343811186155</c:v>
                </c:pt>
                <c:pt idx="166">
                  <c:v>-121.66186248426463</c:v>
                </c:pt>
                <c:pt idx="167">
                  <c:v>-121.80087571145171</c:v>
                </c:pt>
                <c:pt idx="168">
                  <c:v>-121.94045719180788</c:v>
                </c:pt>
                <c:pt idx="169">
                  <c:v>-122.08058670247722</c:v>
                </c:pt>
                <c:pt idx="170">
                  <c:v>-122.22124438896365</c:v>
                </c:pt>
                <c:pt idx="171">
                  <c:v>-122.36241075521912</c:v>
                </c:pt>
                <c:pt idx="172">
                  <c:v>-122.50406665419405</c:v>
                </c:pt>
                <c:pt idx="173">
                  <c:v>-122.64619327882669</c:v>
                </c:pt>
                <c:pt idx="174">
                  <c:v>-122.78877215344801</c:v>
                </c:pt>
                <c:pt idx="175">
                  <c:v>-122.93178512558168</c:v>
                </c:pt>
                <c:pt idx="176">
                  <c:v>-123.0752143581182</c:v>
                </c:pt>
                <c:pt idx="177">
                  <c:v>-123.21904232184376</c:v>
                </c:pt>
                <c:pt idx="178">
                  <c:v>-123.36325178830603</c:v>
                </c:pt>
                <c:pt idx="179">
                  <c:v>-123.50782582299924</c:v>
                </c:pt>
                <c:pt idx="180">
                  <c:v>-123.65274777885212</c:v>
                </c:pt>
                <c:pt idx="181">
                  <c:v>-123.79800129000245</c:v>
                </c:pt>
                <c:pt idx="182">
                  <c:v>-123.94357026584451</c:v>
                </c:pt>
                <c:pt idx="183">
                  <c:v>-124.089438885334</c:v>
                </c:pt>
                <c:pt idx="184">
                  <c:v>-124.23559159153774</c:v>
                </c:pt>
                <c:pt idx="185">
                  <c:v>-124.38201308641496</c:v>
                </c:pt>
                <c:pt idx="186">
                  <c:v>-124.52868832581876</c:v>
                </c:pt>
                <c:pt idx="187">
                  <c:v>-124.67560251470468</c:v>
                </c:pt>
                <c:pt idx="188">
                  <c:v>-124.82274110253741</c:v>
                </c:pt>
                <c:pt idx="189">
                  <c:v>-124.97008977888294</c:v>
                </c:pt>
                <c:pt idx="190">
                  <c:v>-125.11763446917884</c:v>
                </c:pt>
                <c:pt idx="191">
                  <c:v>-125.2653613306704</c:v>
                </c:pt>
                <c:pt idx="192">
                  <c:v>-125.41325674850589</c:v>
                </c:pt>
                <c:pt idx="193">
                  <c:v>-125.56130733198145</c:v>
                </c:pt>
                <c:pt idx="194">
                  <c:v>-125.70949991092718</c:v>
                </c:pt>
                <c:pt idx="195">
                  <c:v>-125.85782153222809</c:v>
                </c:pt>
                <c:pt idx="196">
                  <c:v>-126.00625945647049</c:v>
                </c:pt>
                <c:pt idx="197">
                  <c:v>-126.15480115470899</c:v>
                </c:pt>
                <c:pt idx="198">
                  <c:v>-126.30343430534617</c:v>
                </c:pt>
                <c:pt idx="199">
                  <c:v>-126.45214679111888</c:v>
                </c:pt>
                <c:pt idx="200">
                  <c:v>-126.60092669618557</c:v>
                </c:pt>
                <c:pt idx="201">
                  <c:v>-126.74976230330859</c:v>
                </c:pt>
                <c:pt idx="202">
                  <c:v>-126.89864209112646</c:v>
                </c:pt>
                <c:pt idx="203">
                  <c:v>-127.04755473151036</c:v>
                </c:pt>
                <c:pt idx="204">
                  <c:v>-127.19648908700066</c:v>
                </c:pt>
                <c:pt idx="205">
                  <c:v>-127.34543420831884</c:v>
                </c:pt>
                <c:pt idx="206">
                  <c:v>-127.49437933194992</c:v>
                </c:pt>
                <c:pt idx="207">
                  <c:v>-127.64331387779136</c:v>
                </c:pt>
                <c:pt idx="208">
                  <c:v>-127.79222744686561</c:v>
                </c:pt>
                <c:pt idx="209">
                  <c:v>-127.94110981909074</c:v>
                </c:pt>
                <c:pt idx="210">
                  <c:v>-128.08995095110714</c:v>
                </c:pt>
                <c:pt idx="211">
                  <c:v>-128.23874097415637</c:v>
                </c:pt>
                <c:pt idx="212">
                  <c:v>-128.38747019200892</c:v>
                </c:pt>
                <c:pt idx="213">
                  <c:v>-128.53612907893844</c:v>
                </c:pt>
                <c:pt idx="214">
                  <c:v>-128.68470827773859</c:v>
                </c:pt>
                <c:pt idx="215">
                  <c:v>-128.8331985977814</c:v>
                </c:pt>
                <c:pt idx="216">
                  <c:v>-128.98159101311273</c:v>
                </c:pt>
                <c:pt idx="217">
                  <c:v>-129.12987666058436</c:v>
                </c:pt>
                <c:pt idx="218">
                  <c:v>-129.27804683801926</c:v>
                </c:pt>
                <c:pt idx="219">
                  <c:v>-129.42609300240807</c:v>
                </c:pt>
                <c:pt idx="220">
                  <c:v>-129.57400676813546</c:v>
                </c:pt>
                <c:pt idx="221">
                  <c:v>-129.72177990523352</c:v>
                </c:pt>
                <c:pt idx="222">
                  <c:v>-129.86940433766182</c:v>
                </c:pt>
                <c:pt idx="223">
                  <c:v>-130.01687214161055</c:v>
                </c:pt>
                <c:pt idx="224">
                  <c:v>-130.16417554382761</c:v>
                </c:pt>
                <c:pt idx="225">
                  <c:v>-130.31130691996577</c:v>
                </c:pt>
                <c:pt idx="226">
                  <c:v>-131.77158514171472</c:v>
                </c:pt>
                <c:pt idx="227">
                  <c:v>-133.207318795231</c:v>
                </c:pt>
                <c:pt idx="228">
                  <c:v>-134.61309828113949</c:v>
                </c:pt>
                <c:pt idx="229">
                  <c:v>-135.98467491843104</c:v>
                </c:pt>
                <c:pt idx="230">
                  <c:v>-137.31882413025161</c:v>
                </c:pt>
                <c:pt idx="231">
                  <c:v>-138.61321501292178</c:v>
                </c:pt>
                <c:pt idx="232">
                  <c:v>-139.86628692780164</c:v>
                </c:pt>
                <c:pt idx="233">
                  <c:v>-141.07713423846076</c:v>
                </c:pt>
                <c:pt idx="234">
                  <c:v>-142.24540027501553</c:v>
                </c:pt>
                <c:pt idx="235">
                  <c:v>-143.37118130435661</c:v>
                </c:pt>
                <c:pt idx="236">
                  <c:v>-144.45494088749828</c:v>
                </c:pt>
                <c:pt idx="237">
                  <c:v>-145.49743461398995</c:v>
                </c:pt>
                <c:pt idx="238">
                  <c:v>-146.49964487127559</c:v>
                </c:pt>
                <c:pt idx="239">
                  <c:v>-147.46272505552872</c:v>
                </c:pt>
                <c:pt idx="240">
                  <c:v>-148.387952461791</c:v>
                </c:pt>
                <c:pt idx="241">
                  <c:v>-149.27668899642634</c:v>
                </c:pt>
                <c:pt idx="242">
                  <c:v>-150.13034882036612</c:v>
                </c:pt>
                <c:pt idx="243">
                  <c:v>-150.95037204268209</c:v>
                </c:pt>
                <c:pt idx="244">
                  <c:v>-151.73820362702946</c:v>
                </c:pt>
                <c:pt idx="245">
                  <c:v>-152.49527673687638</c:v>
                </c:pt>
                <c:pt idx="246">
                  <c:v>-153.22299981997949</c:v>
                </c:pt>
                <c:pt idx="247">
                  <c:v>-153.92274681139105</c:v>
                </c:pt>
                <c:pt idx="248">
                  <c:v>-154.59584991251151</c:v>
                </c:pt>
                <c:pt idx="249">
                  <c:v>-155.24359447810798</c:v>
                </c:pt>
                <c:pt idx="250">
                  <c:v>-155.86721561184169</c:v>
                </c:pt>
                <c:pt idx="251">
                  <c:v>-156.46789613268962</c:v>
                </c:pt>
                <c:pt idx="252">
                  <c:v>-157.04676562936027</c:v>
                </c:pt>
                <c:pt idx="253">
                  <c:v>-157.6049003675119</c:v>
                </c:pt>
                <c:pt idx="254">
                  <c:v>-158.14332385567468</c:v>
                </c:pt>
                <c:pt idx="255">
                  <c:v>-158.66300791081954</c:v>
                </c:pt>
                <c:pt idx="256">
                  <c:v>-159.16487409413344</c:v>
                </c:pt>
                <c:pt idx="257">
                  <c:v>-159.64979541240916</c:v>
                </c:pt>
                <c:pt idx="258">
                  <c:v>-160.11859820116345</c:v>
                </c:pt>
                <c:pt idx="259">
                  <c:v>-160.57206412274715</c:v>
                </c:pt>
                <c:pt idx="260">
                  <c:v>-161.01093222683514</c:v>
                </c:pt>
                <c:pt idx="261">
                  <c:v>-161.43590103225887</c:v>
                </c:pt>
                <c:pt idx="262">
                  <c:v>-161.84763059857394</c:v>
                </c:pt>
                <c:pt idx="263">
                  <c:v>-162.24674456340625</c:v>
                </c:pt>
                <c:pt idx="264">
                  <c:v>-162.63383212778669</c:v>
                </c:pt>
                <c:pt idx="265">
                  <c:v>-163.00944997663279</c:v>
                </c:pt>
                <c:pt idx="266">
                  <c:v>-163.37412412548005</c:v>
                </c:pt>
                <c:pt idx="267">
                  <c:v>-163.72835168768469</c:v>
                </c:pt>
                <c:pt idx="268">
                  <c:v>-164.07260255877353</c:v>
                </c:pt>
                <c:pt idx="269">
                  <c:v>-164.40732101652108</c:v>
                </c:pt>
                <c:pt idx="270">
                  <c:v>-164.73292723679992</c:v>
                </c:pt>
                <c:pt idx="271">
                  <c:v>-165.0498187263627</c:v>
                </c:pt>
                <c:pt idx="272">
                  <c:v>-165.3583716745365</c:v>
                </c:pt>
                <c:pt idx="273">
                  <c:v>-165.65894222640983</c:v>
                </c:pt>
                <c:pt idx="274">
                  <c:v>-165.95186768051053</c:v>
                </c:pt>
                <c:pt idx="275">
                  <c:v>-166.23746761424317</c:v>
                </c:pt>
                <c:pt idx="276">
                  <c:v>-166.51604494052151</c:v>
                </c:pt>
                <c:pt idx="277">
                  <c:v>-166.78788689910323</c:v>
                </c:pt>
                <c:pt idx="278">
                  <c:v>-167.05326598614536</c:v>
                </c:pt>
                <c:pt idx="279">
                  <c:v>-167.31244082545615</c:v>
                </c:pt>
                <c:pt idx="280">
                  <c:v>-167.56565698483948</c:v>
                </c:pt>
                <c:pt idx="281">
                  <c:v>-167.81314774082264</c:v>
                </c:pt>
                <c:pt idx="282">
                  <c:v>-168.0551347949318</c:v>
                </c:pt>
                <c:pt idx="283">
                  <c:v>-168.29182894454087</c:v>
                </c:pt>
                <c:pt idx="284">
                  <c:v>-168.52343071117545</c:v>
                </c:pt>
                <c:pt idx="285">
                  <c:v>-168.75013092900235</c:v>
                </c:pt>
                <c:pt idx="286">
                  <c:v>-168.97211129608596</c:v>
                </c:pt>
                <c:pt idx="287">
                  <c:v>-169.18954489084447</c:v>
                </c:pt>
                <c:pt idx="288">
                  <c:v>-169.40259665599299</c:v>
                </c:pt>
                <c:pt idx="289">
                  <c:v>-169.61142385212136</c:v>
                </c:pt>
                <c:pt idx="290">
                  <c:v>-169.81617648291746</c:v>
                </c:pt>
                <c:pt idx="291">
                  <c:v>-170.01699769391976</c:v>
                </c:pt>
                <c:pt idx="292">
                  <c:v>-170.21402414655762</c:v>
                </c:pt>
                <c:pt idx="293">
                  <c:v>-170.40738636912332</c:v>
                </c:pt>
                <c:pt idx="294">
                  <c:v>-170.59720908620889</c:v>
                </c:pt>
                <c:pt idx="295">
                  <c:v>-170.78361152803748</c:v>
                </c:pt>
                <c:pt idx="296">
                  <c:v>-170.96670772102189</c:v>
                </c:pt>
                <c:pt idx="297">
                  <c:v>-171.14660676079177</c:v>
                </c:pt>
                <c:pt idx="298">
                  <c:v>-171.32341306884609</c:v>
                </c:pt>
                <c:pt idx="299">
                  <c:v>-171.49722663390702</c:v>
                </c:pt>
                <c:pt idx="300">
                  <c:v>-171.66814323897819</c:v>
                </c:pt>
                <c:pt idx="301">
                  <c:v>-171.83625467504001</c:v>
                </c:pt>
                <c:pt idx="302">
                  <c:v>-172.00164894225117</c:v>
                </c:pt>
                <c:pt idx="303">
                  <c:v>-172.16441043946446</c:v>
                </c:pt>
                <c:pt idx="304">
                  <c:v>-172.32462014281049</c:v>
                </c:pt>
                <c:pt idx="305">
                  <c:v>-172.48235577404887</c:v>
                </c:pt>
                <c:pt idx="306">
                  <c:v>-172.63769195934105</c:v>
                </c:pt>
                <c:pt idx="307">
                  <c:v>-172.79070037905186</c:v>
                </c:pt>
                <c:pt idx="308">
                  <c:v>-172.9414499091456</c:v>
                </c:pt>
                <c:pt idx="309">
                  <c:v>-173.09000675470523</c:v>
                </c:pt>
                <c:pt idx="310">
                  <c:v>-173.23643457606551</c:v>
                </c:pt>
                <c:pt idx="311">
                  <c:v>-173.38079460801876</c:v>
                </c:pt>
                <c:pt idx="312">
                  <c:v>-173.52314577252039</c:v>
                </c:pt>
                <c:pt idx="313">
                  <c:v>-173.6635447852928</c:v>
                </c:pt>
                <c:pt idx="314">
                  <c:v>-173.80204625670024</c:v>
                </c:pt>
                <c:pt idx="315">
                  <c:v>-173.93870278724015</c:v>
                </c:pt>
                <c:pt idx="316">
                  <c:v>-174.07356505797688</c:v>
                </c:pt>
                <c:pt idx="317">
                  <c:v>-174.20668191621917</c:v>
                </c:pt>
                <c:pt idx="318">
                  <c:v>-174.33810045672436</c:v>
                </c:pt>
                <c:pt idx="319">
                  <c:v>-174.46786609869397</c:v>
                </c:pt>
                <c:pt idx="320">
                  <c:v>-174.59602265880744</c:v>
                </c:pt>
                <c:pt idx="321">
                  <c:v>-174.72261242052494</c:v>
                </c:pt>
                <c:pt idx="322">
                  <c:v>-174.84767619987562</c:v>
                </c:pt>
                <c:pt idx="323">
                  <c:v>-174.97125340793372</c:v>
                </c:pt>
                <c:pt idx="324">
                  <c:v>-175.09338211017166</c:v>
                </c:pt>
                <c:pt idx="325">
                  <c:v>-175.2140990828679</c:v>
                </c:pt>
                <c:pt idx="326">
                  <c:v>-175.33343986673546</c:v>
                </c:pt>
                <c:pt idx="327">
                  <c:v>-175.45143881792754</c:v>
                </c:pt>
                <c:pt idx="328">
                  <c:v>-175.56812915656573</c:v>
                </c:pt>
                <c:pt idx="329">
                  <c:v>-175.68354301292823</c:v>
                </c:pt>
                <c:pt idx="330">
                  <c:v>-175.79771147142691</c:v>
                </c:pt>
                <c:pt idx="331">
                  <c:v>-175.91066461249383</c:v>
                </c:pt>
                <c:pt idx="332">
                  <c:v>-176.02243155249047</c:v>
                </c:pt>
                <c:pt idx="333">
                  <c:v>-176.13304048174649</c:v>
                </c:pt>
                <c:pt idx="334">
                  <c:v>-176.24251870082838</c:v>
                </c:pt>
                <c:pt idx="335">
                  <c:v>-176.3508926551319</c:v>
                </c:pt>
                <c:pt idx="336">
                  <c:v>-176.4581879678868</c:v>
                </c:pt>
                <c:pt idx="337">
                  <c:v>-176.56442947165746</c:v>
                </c:pt>
                <c:pt idx="338">
                  <c:v>-176.66964123841828</c:v>
                </c:pt>
                <c:pt idx="339">
                  <c:v>-176.77384660827639</c:v>
                </c:pt>
                <c:pt idx="340">
                  <c:v>-176.87706821691324</c:v>
                </c:pt>
                <c:pt idx="341">
                  <c:v>-176.97932802180884</c:v>
                </c:pt>
                <c:pt idx="342">
                  <c:v>-177.08064732731148</c:v>
                </c:pt>
                <c:pt idx="343">
                  <c:v>-177.1810468086114</c:v>
                </c:pt>
                <c:pt idx="344">
                  <c:v>-177.2805465346726</c:v>
                </c:pt>
                <c:pt idx="345">
                  <c:v>-177.37916599017541</c:v>
                </c:pt>
                <c:pt idx="346">
                  <c:v>-177.47692409651864</c:v>
                </c:pt>
                <c:pt idx="347">
                  <c:v>-177.57383923192776</c:v>
                </c:pt>
                <c:pt idx="348">
                  <c:v>-177.6699292507121</c:v>
                </c:pt>
                <c:pt idx="349">
                  <c:v>-177.76521150171374</c:v>
                </c:pt>
                <c:pt idx="350">
                  <c:v>-177.85970284598588</c:v>
                </c:pt>
                <c:pt idx="351">
                  <c:v>-177.95341967373844</c:v>
                </c:pt>
                <c:pt idx="352">
                  <c:v>-178.04637792058537</c:v>
                </c:pt>
                <c:pt idx="353">
                  <c:v>-178.1385930831272</c:v>
                </c:pt>
                <c:pt idx="354">
                  <c:v>-178.2300802339</c:v>
                </c:pt>
                <c:pt idx="355">
                  <c:v>-178.32085403571998</c:v>
                </c:pt>
                <c:pt idx="356">
                  <c:v>-178.41092875545243</c:v>
                </c:pt>
                <c:pt idx="357">
                  <c:v>-178.50031827723166</c:v>
                </c:pt>
                <c:pt idx="358">
                  <c:v>-178.5890361151564</c:v>
                </c:pt>
                <c:pt idx="359">
                  <c:v>-178.67709542548533</c:v>
                </c:pt>
                <c:pt idx="360">
                  <c:v>-178.76450901835565</c:v>
                </c:pt>
                <c:pt idx="361">
                  <c:v>-178.85128936904508</c:v>
                </c:pt>
                <c:pt idx="362">
                  <c:v>-178.93744862879879</c:v>
                </c:pt>
                <c:pt idx="363">
                  <c:v>-179.02299863524078</c:v>
                </c:pt>
                <c:pt idx="364">
                  <c:v>-179.10795092238692</c:v>
                </c:pt>
                <c:pt idx="365">
                  <c:v>-179.19231673027852</c:v>
                </c:pt>
                <c:pt idx="366">
                  <c:v>-179.27610701425249</c:v>
                </c:pt>
                <c:pt idx="367">
                  <c:v>-179.35933245386354</c:v>
                </c:pt>
                <c:pt idx="368">
                  <c:v>-179.44200346147434</c:v>
                </c:pt>
                <c:pt idx="369">
                  <c:v>-179.52413019052719</c:v>
                </c:pt>
                <c:pt idx="370">
                  <c:v>-179.60572254351101</c:v>
                </c:pt>
                <c:pt idx="371">
                  <c:v>-179.68679017963709</c:v>
                </c:pt>
                <c:pt idx="372">
                  <c:v>-179.76734252223497</c:v>
                </c:pt>
                <c:pt idx="373">
                  <c:v>-179.84738876588122</c:v>
                </c:pt>
                <c:pt idx="374">
                  <c:v>-179.92693788327171</c:v>
                </c:pt>
                <c:pt idx="375">
                  <c:v>-180.00599863184789</c:v>
                </c:pt>
                <c:pt idx="376">
                  <c:v>-180.08457956018776</c:v>
                </c:pt>
                <c:pt idx="377">
                  <c:v>-180.16268901417112</c:v>
                </c:pt>
                <c:pt idx="378">
                  <c:v>-180.24033514292762</c:v>
                </c:pt>
                <c:pt idx="379">
                  <c:v>-180.31752590457739</c:v>
                </c:pt>
                <c:pt idx="380">
                  <c:v>-180.39426907177216</c:v>
                </c:pt>
                <c:pt idx="381">
                  <c:v>-180.47057223704482</c:v>
                </c:pt>
                <c:pt idx="382">
                  <c:v>-180.54644281797522</c:v>
                </c:pt>
                <c:pt idx="383">
                  <c:v>-180.62188806217952</c:v>
                </c:pt>
                <c:pt idx="384">
                  <c:v>-180.69691505213007</c:v>
                </c:pt>
                <c:pt idx="385">
                  <c:v>-180.7715307098124</c:v>
                </c:pt>
                <c:pt idx="386">
                  <c:v>-180.84574180122564</c:v>
                </c:pt>
                <c:pt idx="387">
                  <c:v>-180.91955494073272</c:v>
                </c:pt>
                <c:pt idx="388">
                  <c:v>-180.99297659526604</c:v>
                </c:pt>
                <c:pt idx="389">
                  <c:v>-181.06601308839379</c:v>
                </c:pt>
                <c:pt idx="390">
                  <c:v>-181.13867060425287</c:v>
                </c:pt>
                <c:pt idx="391">
                  <c:v>-181.21095519135338</c:v>
                </c:pt>
                <c:pt idx="392">
                  <c:v>-181.28287276625881</c:v>
                </c:pt>
                <c:pt idx="393">
                  <c:v>-181.3544291171477</c:v>
                </c:pt>
                <c:pt idx="394">
                  <c:v>-181.4256299072604</c:v>
                </c:pt>
                <c:pt idx="395">
                  <c:v>-181.49648067823574</c:v>
                </c:pt>
                <c:pt idx="396">
                  <c:v>-181.56698685334106</c:v>
                </c:pt>
                <c:pt idx="397">
                  <c:v>-181.63715374060041</c:v>
                </c:pt>
                <c:pt idx="398">
                  <c:v>-181.70698653582363</c:v>
                </c:pt>
                <c:pt idx="399">
                  <c:v>-181.77649032554123</c:v>
                </c:pt>
                <c:pt idx="400">
                  <c:v>-181.84567008984672</c:v>
                </c:pt>
                <c:pt idx="401">
                  <c:v>-181.91453070515178</c:v>
                </c:pt>
                <c:pt idx="402">
                  <c:v>-181.98307694685556</c:v>
                </c:pt>
                <c:pt idx="403">
                  <c:v>-182.0513134919326</c:v>
                </c:pt>
                <c:pt idx="404">
                  <c:v>-182.11924492144124</c:v>
                </c:pt>
                <c:pt idx="405">
                  <c:v>-182.18687572295599</c:v>
                </c:pt>
                <c:pt idx="406">
                  <c:v>-182.2542102929263</c:v>
                </c:pt>
                <c:pt idx="407">
                  <c:v>-182.32125293896414</c:v>
                </c:pt>
                <c:pt idx="408">
                  <c:v>-182.38800788206333</c:v>
                </c:pt>
                <c:pt idx="409">
                  <c:v>-182.45447925875268</c:v>
                </c:pt>
                <c:pt idx="410">
                  <c:v>-182.52067112318477</c:v>
                </c:pt>
                <c:pt idx="411">
                  <c:v>-182.58658744916403</c:v>
                </c:pt>
                <c:pt idx="412">
                  <c:v>-182.65223213211445</c:v>
                </c:pt>
                <c:pt idx="413">
                  <c:v>-182.71760899098999</c:v>
                </c:pt>
                <c:pt idx="414">
                  <c:v>-182.7827217701296</c:v>
                </c:pt>
                <c:pt idx="415">
                  <c:v>-182.84757414105835</c:v>
                </c:pt>
                <c:pt idx="416">
                  <c:v>-182.91216970423685</c:v>
                </c:pt>
                <c:pt idx="417">
                  <c:v>-182.97651199076029</c:v>
                </c:pt>
                <c:pt idx="418">
                  <c:v>-183.04060446400914</c:v>
                </c:pt>
                <c:pt idx="419">
                  <c:v>-183.10445052125297</c:v>
                </c:pt>
                <c:pt idx="420">
                  <c:v>-183.16805349520888</c:v>
                </c:pt>
                <c:pt idx="421">
                  <c:v>-183.2314166555561</c:v>
                </c:pt>
                <c:pt idx="422">
                  <c:v>-183.29454321040814</c:v>
                </c:pt>
                <c:pt idx="423">
                  <c:v>-183.35743630774402</c:v>
                </c:pt>
                <c:pt idx="424">
                  <c:v>-183.42009903679951</c:v>
                </c:pt>
                <c:pt idx="425">
                  <c:v>-183.48253442942047</c:v>
                </c:pt>
                <c:pt idx="426">
                  <c:v>-183.54474546137837</c:v>
                </c:pt>
                <c:pt idx="427">
                  <c:v>-183.60673505365003</c:v>
                </c:pt>
                <c:pt idx="428">
                  <c:v>-183.66850607366291</c:v>
                </c:pt>
                <c:pt idx="429">
                  <c:v>-183.73006133650591</c:v>
                </c:pt>
                <c:pt idx="430">
                  <c:v>-183.79140360610805</c:v>
                </c:pt>
                <c:pt idx="431">
                  <c:v>-183.85253559638508</c:v>
                </c:pt>
                <c:pt idx="432">
                  <c:v>-183.91345997235567</c:v>
                </c:pt>
                <c:pt idx="433">
                  <c:v>-183.97417935122783</c:v>
                </c:pt>
                <c:pt idx="434">
                  <c:v>-184.03469630345637</c:v>
                </c:pt>
                <c:pt idx="435">
                  <c:v>-184.0950133537726</c:v>
                </c:pt>
                <c:pt idx="436">
                  <c:v>-184.15513298218676</c:v>
                </c:pt>
                <c:pt idx="437">
                  <c:v>-184.21505762496446</c:v>
                </c:pt>
                <c:pt idx="438">
                  <c:v>-184.27478967557747</c:v>
                </c:pt>
                <c:pt idx="439">
                  <c:v>-184.33433148563003</c:v>
                </c:pt>
                <c:pt idx="440">
                  <c:v>-184.39368536576086</c:v>
                </c:pt>
                <c:pt idx="441">
                  <c:v>-184.45285358652259</c:v>
                </c:pt>
                <c:pt idx="442">
                  <c:v>-184.5118383792379</c:v>
                </c:pt>
                <c:pt idx="443">
                  <c:v>-184.57064193683451</c:v>
                </c:pt>
                <c:pt idx="444">
                  <c:v>-184.62926641465842</c:v>
                </c:pt>
                <c:pt idx="445">
                  <c:v>-184.68771393126707</c:v>
                </c:pt>
                <c:pt idx="446">
                  <c:v>-184.74598656920193</c:v>
                </c:pt>
                <c:pt idx="447">
                  <c:v>-184.80408637574246</c:v>
                </c:pt>
                <c:pt idx="448">
                  <c:v>-184.86201536364058</c:v>
                </c:pt>
                <c:pt idx="449">
                  <c:v>-184.91977551183709</c:v>
                </c:pt>
                <c:pt idx="450">
                  <c:v>-184.97736876616059</c:v>
                </c:pt>
                <c:pt idx="451">
                  <c:v>-185.03479704000881</c:v>
                </c:pt>
                <c:pt idx="452">
                  <c:v>-185.0920622150133</c:v>
                </c:pt>
                <c:pt idx="453">
                  <c:v>-185.14916614168797</c:v>
                </c:pt>
                <c:pt idx="454">
                  <c:v>-185.20611064006181</c:v>
                </c:pt>
                <c:pt idx="455">
                  <c:v>-185.26289750029605</c:v>
                </c:pt>
                <c:pt idx="456">
                  <c:v>-185.3195284832868</c:v>
                </c:pt>
                <c:pt idx="457">
                  <c:v>-185.37600532125253</c:v>
                </c:pt>
                <c:pt idx="458">
                  <c:v>-185.4323297183083</c:v>
                </c:pt>
                <c:pt idx="459">
                  <c:v>-185.48850335102568</c:v>
                </c:pt>
                <c:pt idx="460">
                  <c:v>-185.54452786897937</c:v>
                </c:pt>
                <c:pt idx="461">
                  <c:v>-185.60040489528126</c:v>
                </c:pt>
                <c:pt idx="462">
                  <c:v>-185.65613602710147</c:v>
                </c:pt>
                <c:pt idx="463">
                  <c:v>-185.71172283617756</c:v>
                </c:pt>
                <c:pt idx="464">
                  <c:v>-185.76716686931107</c:v>
                </c:pt>
                <c:pt idx="465">
                  <c:v>-185.82246964885368</c:v>
                </c:pt>
                <c:pt idx="466">
                  <c:v>-185.87763267318078</c:v>
                </c:pt>
                <c:pt idx="467">
                  <c:v>-185.93265741715507</c:v>
                </c:pt>
                <c:pt idx="468">
                  <c:v>-185.98754533257886</c:v>
                </c:pt>
                <c:pt idx="469">
                  <c:v>-186.04229784863628</c:v>
                </c:pt>
                <c:pt idx="470">
                  <c:v>-186.09691637232541</c:v>
                </c:pt>
                <c:pt idx="471">
                  <c:v>-186.15140228888029</c:v>
                </c:pt>
                <c:pt idx="472">
                  <c:v>-186.20575696218353</c:v>
                </c:pt>
                <c:pt idx="473">
                  <c:v>-186.25998173516967</c:v>
                </c:pt>
                <c:pt idx="474">
                  <c:v>-186.31407793021938</c:v>
                </c:pt>
                <c:pt idx="475">
                  <c:v>-186.36804684954456</c:v>
                </c:pt>
                <c:pt idx="476">
                  <c:v>-186.42188977556532</c:v>
                </c:pt>
                <c:pt idx="477">
                  <c:v>-186.47560797127818</c:v>
                </c:pt>
                <c:pt idx="478">
                  <c:v>-186.52920268061621</c:v>
                </c:pt>
                <c:pt idx="479">
                  <c:v>-186.5826751288011</c:v>
                </c:pt>
                <c:pt idx="480">
                  <c:v>-186.63602652268779</c:v>
                </c:pt>
                <c:pt idx="481">
                  <c:v>-186.68925805110118</c:v>
                </c:pt>
                <c:pt idx="482">
                  <c:v>-186.7423708851658</c:v>
                </c:pt>
                <c:pt idx="483">
                  <c:v>-186.79536617862777</c:v>
                </c:pt>
                <c:pt idx="484">
                  <c:v>-186.84824506817051</c:v>
                </c:pt>
                <c:pt idx="485">
                  <c:v>-186.90100867372294</c:v>
                </c:pt>
                <c:pt idx="486">
                  <c:v>-186.95365809876145</c:v>
                </c:pt>
                <c:pt idx="487">
                  <c:v>-187.00619443060526</c:v>
                </c:pt>
                <c:pt idx="488">
                  <c:v>-187.05861874070538</c:v>
                </c:pt>
                <c:pt idx="489">
                  <c:v>-187.11093208492767</c:v>
                </c:pt>
                <c:pt idx="490">
                  <c:v>-187.16313550382935</c:v>
                </c:pt>
                <c:pt idx="491">
                  <c:v>-187.21523002293043</c:v>
                </c:pt>
                <c:pt idx="492">
                  <c:v>-187.26721665297862</c:v>
                </c:pt>
                <c:pt idx="493">
                  <c:v>-187.31909639020927</c:v>
                </c:pt>
                <c:pt idx="494">
                  <c:v>-187.37087021659951</c:v>
                </c:pt>
                <c:pt idx="495">
                  <c:v>-187.42253910011729</c:v>
                </c:pt>
                <c:pt idx="496">
                  <c:v>-187.47410399496511</c:v>
                </c:pt>
                <c:pt idx="497">
                  <c:v>-187.52556584181869</c:v>
                </c:pt>
                <c:pt idx="498">
                  <c:v>-187.57692556806091</c:v>
                </c:pt>
                <c:pt idx="499">
                  <c:v>-187.62818408801058</c:v>
                </c:pt>
                <c:pt idx="500">
                  <c:v>-187.67934230314697</c:v>
                </c:pt>
                <c:pt idx="501">
                  <c:v>-187.73040110232918</c:v>
                </c:pt>
                <c:pt idx="502">
                  <c:v>-187.78136136201169</c:v>
                </c:pt>
                <c:pt idx="503">
                  <c:v>-187.83222394645497</c:v>
                </c:pt>
                <c:pt idx="504">
                  <c:v>-187.88298970793213</c:v>
                </c:pt>
                <c:pt idx="505">
                  <c:v>-187.93365948693136</c:v>
                </c:pt>
                <c:pt idx="506">
                  <c:v>-187.98423411235422</c:v>
                </c:pt>
                <c:pt idx="507">
                  <c:v>-188.03471440171</c:v>
                </c:pt>
                <c:pt idx="508">
                  <c:v>-188.08510116130626</c:v>
                </c:pt>
                <c:pt idx="509">
                  <c:v>-188.13539518643549</c:v>
                </c:pt>
                <c:pt idx="510">
                  <c:v>-188.18559726155812</c:v>
                </c:pt>
                <c:pt idx="511">
                  <c:v>-188.23570816048178</c:v>
                </c:pt>
                <c:pt idx="512">
                  <c:v>-188.28572864653731</c:v>
                </c:pt>
                <c:pt idx="513">
                  <c:v>-188.33565947275113</c:v>
                </c:pt>
                <c:pt idx="514">
                  <c:v>-188.38550138201396</c:v>
                </c:pt>
                <c:pt idx="515">
                  <c:v>-188.43525510724683</c:v>
                </c:pt>
                <c:pt idx="516">
                  <c:v>-188.48492137156376</c:v>
                </c:pt>
                <c:pt idx="517">
                  <c:v>-188.53450088843033</c:v>
                </c:pt>
                <c:pt idx="518">
                  <c:v>-188.58399436182088</c:v>
                </c:pt>
                <c:pt idx="519">
                  <c:v>-188.63340248637101</c:v>
                </c:pt>
                <c:pt idx="520">
                  <c:v>-188.68272594752841</c:v>
                </c:pt>
                <c:pt idx="521">
                  <c:v>-188.73196542169987</c:v>
                </c:pt>
                <c:pt idx="522">
                  <c:v>-188.7811215763962</c:v>
                </c:pt>
                <c:pt idx="523">
                  <c:v>-188.83019507037395</c:v>
                </c:pt>
                <c:pt idx="524">
                  <c:v>-188.87918655377473</c:v>
                </c:pt>
                <c:pt idx="525">
                  <c:v>-188.92809666826153</c:v>
                </c:pt>
                <c:pt idx="526">
                  <c:v>-188.97692604715294</c:v>
                </c:pt>
                <c:pt idx="527">
                  <c:v>-189.02567531555439</c:v>
                </c:pt>
                <c:pt idx="528">
                  <c:v>-189.07434509048736</c:v>
                </c:pt>
                <c:pt idx="529">
                  <c:v>-189.12293598101584</c:v>
                </c:pt>
                <c:pt idx="530">
                  <c:v>-189.17144858837054</c:v>
                </c:pt>
                <c:pt idx="531">
                  <c:v>-189.219883506071</c:v>
                </c:pt>
                <c:pt idx="532">
                  <c:v>-189.26824132004509</c:v>
                </c:pt>
                <c:pt idx="533">
                  <c:v>-189.31652260874654</c:v>
                </c:pt>
                <c:pt idx="534">
                  <c:v>-189.3647279432704</c:v>
                </c:pt>
                <c:pt idx="535">
                  <c:v>-189.41285788746595</c:v>
                </c:pt>
                <c:pt idx="536">
                  <c:v>-189.46091299804812</c:v>
                </c:pt>
                <c:pt idx="537">
                  <c:v>-189.50889382470643</c:v>
                </c:pt>
                <c:pt idx="538">
                  <c:v>-189.55680091021227</c:v>
                </c:pt>
                <c:pt idx="539">
                  <c:v>-189.60463479052399</c:v>
                </c:pt>
                <c:pt idx="540">
                  <c:v>-189.65239599489018</c:v>
                </c:pt>
                <c:pt idx="541">
                  <c:v>-189.70008504595117</c:v>
                </c:pt>
                <c:pt idx="542">
                  <c:v>-189.74770245983865</c:v>
                </c:pt>
                <c:pt idx="543">
                  <c:v>-189.79524874627359</c:v>
                </c:pt>
                <c:pt idx="544">
                  <c:v>-189.84272440866209</c:v>
                </c:pt>
                <c:pt idx="545">
                  <c:v>-189.89012994419008</c:v>
                </c:pt>
                <c:pt idx="546">
                  <c:v>-189.93746584391582</c:v>
                </c:pt>
                <c:pt idx="547">
                  <c:v>-189.98473259286101</c:v>
                </c:pt>
                <c:pt idx="548">
                  <c:v>-190.03193067010039</c:v>
                </c:pt>
                <c:pt idx="549">
                  <c:v>-190.07906054884953</c:v>
                </c:pt>
                <c:pt idx="550">
                  <c:v>-190.12612269655119</c:v>
                </c:pt>
                <c:pt idx="551">
                  <c:v>-190.17311757496023</c:v>
                </c:pt>
                <c:pt idx="552">
                  <c:v>-190.22004564022706</c:v>
                </c:pt>
                <c:pt idx="553">
                  <c:v>-190.26690734297935</c:v>
                </c:pt>
                <c:pt idx="554">
                  <c:v>-190.31370312840284</c:v>
                </c:pt>
                <c:pt idx="555">
                  <c:v>-190.36043343632011</c:v>
                </c:pt>
                <c:pt idx="556">
                  <c:v>-190.40709870126872</c:v>
                </c:pt>
                <c:pt idx="557">
                  <c:v>-190.45369935257744</c:v>
                </c:pt>
                <c:pt idx="558">
                  <c:v>-190.50023581444128</c:v>
                </c:pt>
                <c:pt idx="559">
                  <c:v>-190.54670850599555</c:v>
                </c:pt>
                <c:pt idx="560">
                  <c:v>-190.59311784138836</c:v>
                </c:pt>
                <c:pt idx="561">
                  <c:v>-190.63946422985194</c:v>
                </c:pt>
                <c:pt idx="562">
                  <c:v>-190.68574807577272</c:v>
                </c:pt>
                <c:pt idx="563">
                  <c:v>-190.73196977876043</c:v>
                </c:pt>
                <c:pt idx="564">
                  <c:v>-190.77812973371596</c:v>
                </c:pt>
                <c:pt idx="565">
                  <c:v>-190.82422833089777</c:v>
                </c:pt>
                <c:pt idx="566">
                  <c:v>-190.87026595598766</c:v>
                </c:pt>
                <c:pt idx="567">
                  <c:v>-190.9162429901551</c:v>
                </c:pt>
                <c:pt idx="568">
                  <c:v>-190.96215981012071</c:v>
                </c:pt>
                <c:pt idx="569">
                  <c:v>-191.00801678821867</c:v>
                </c:pt>
                <c:pt idx="570">
                  <c:v>-191.05381429245773</c:v>
                </c:pt>
                <c:pt idx="571">
                  <c:v>-191.09955268658175</c:v>
                </c:pt>
                <c:pt idx="572">
                  <c:v>-191.14523233012903</c:v>
                </c:pt>
                <c:pt idx="573">
                  <c:v>-191.19085357849042</c:v>
                </c:pt>
                <c:pt idx="574">
                  <c:v>-191.23641678296684</c:v>
                </c:pt>
                <c:pt idx="575">
                  <c:v>-191.2819222908258</c:v>
                </c:pt>
                <c:pt idx="576">
                  <c:v>-191.32737044535662</c:v>
                </c:pt>
                <c:pt idx="577">
                  <c:v>-191.37276158592545</c:v>
                </c:pt>
                <c:pt idx="578">
                  <c:v>-191.4180960480287</c:v>
                </c:pt>
                <c:pt idx="579">
                  <c:v>-191.46337416334597</c:v>
                </c:pt>
                <c:pt idx="580">
                  <c:v>-191.50859625979223</c:v>
                </c:pt>
                <c:pt idx="581">
                  <c:v>-191.5537626615687</c:v>
                </c:pt>
                <c:pt idx="582">
                  <c:v>-191.59887368921352</c:v>
                </c:pt>
                <c:pt idx="583">
                  <c:v>-191.64392965965118</c:v>
                </c:pt>
                <c:pt idx="584">
                  <c:v>-191.68893088624117</c:v>
                </c:pt>
                <c:pt idx="585">
                  <c:v>-191.73387767882619</c:v>
                </c:pt>
                <c:pt idx="586">
                  <c:v>-191.77877034377923</c:v>
                </c:pt>
                <c:pt idx="587">
                  <c:v>-191.82360918405018</c:v>
                </c:pt>
                <c:pt idx="588">
                  <c:v>-191.86839449921135</c:v>
                </c:pt>
                <c:pt idx="589">
                  <c:v>-191.91312658550285</c:v>
                </c:pt>
                <c:pt idx="590">
                  <c:v>-191.95780573587669</c:v>
                </c:pt>
                <c:pt idx="591">
                  <c:v>-192.00243224004049</c:v>
                </c:pt>
                <c:pt idx="592">
                  <c:v>-192.04700638450026</c:v>
                </c:pt>
                <c:pt idx="593">
                  <c:v>-192.09152845260306</c:v>
                </c:pt>
                <c:pt idx="594">
                  <c:v>-192.13599872457826</c:v>
                </c:pt>
                <c:pt idx="595">
                  <c:v>-192.18041747757874</c:v>
                </c:pt>
                <c:pt idx="596">
                  <c:v>-192.22478498572127</c:v>
                </c:pt>
                <c:pt idx="597">
                  <c:v>-192.26910152012599</c:v>
                </c:pt>
                <c:pt idx="598">
                  <c:v>-192.31336734895592</c:v>
                </c:pt>
                <c:pt idx="599">
                  <c:v>-192.35758273745503</c:v>
                </c:pt>
                <c:pt idx="600">
                  <c:v>-192.40174794798671</c:v>
                </c:pt>
                <c:pt idx="601">
                  <c:v>-192.44586324007062</c:v>
                </c:pt>
                <c:pt idx="602">
                  <c:v>-192.48992887041976</c:v>
                </c:pt>
                <c:pt idx="603">
                  <c:v>-192.53394509297669</c:v>
                </c:pt>
                <c:pt idx="604">
                  <c:v>-192.57791215894915</c:v>
                </c:pt>
                <c:pt idx="605">
                  <c:v>-192.62183031684515</c:v>
                </c:pt>
                <c:pt idx="606">
                  <c:v>-194.76017941602348</c:v>
                </c:pt>
                <c:pt idx="607">
                  <c:v>-196.79994354120163</c:v>
                </c:pt>
                <c:pt idx="608">
                  <c:v>-198.75604675216115</c:v>
                </c:pt>
                <c:pt idx="609">
                  <c:v>-200.63801874974507</c:v>
                </c:pt>
                <c:pt idx="610">
                  <c:v>-202.4522128362465</c:v>
                </c:pt>
                <c:pt idx="611">
                  <c:v>-204.2030609622629</c:v>
                </c:pt>
                <c:pt idx="612">
                  <c:v>-205.89381466376369</c:v>
                </c:pt>
                <c:pt idx="613">
                  <c:v>-207.52699633623988</c:v>
                </c:pt>
                <c:pt idx="614">
                  <c:v>-209.10467996196624</c:v>
                </c:pt>
                <c:pt idx="615">
                  <c:v>-210.62866778539083</c:v>
                </c:pt>
                <c:pt idx="616">
                  <c:v>-212.10060170592487</c:v>
                </c:pt>
                <c:pt idx="617">
                  <c:v>-213.52203285308806</c:v>
                </c:pt>
                <c:pt idx="618">
                  <c:v>-214.11290792973645</c:v>
                </c:pt>
                <c:pt idx="619">
                  <c:v>-214.69484066122075</c:v>
                </c:pt>
                <c:pt idx="620">
                  <c:v>-215.26799147775205</c:v>
                </c:pt>
                <c:pt idx="621">
                  <c:v>-215.832515455335</c:v>
                </c:pt>
                <c:pt idx="622">
                  <c:v>-216.38856287722274</c:v>
                </c:pt>
                <c:pt idx="623">
                  <c:v>-216.93627971677398</c:v>
                </c:pt>
                <c:pt idx="624">
                  <c:v>-217.47580805254864</c:v>
                </c:pt>
                <c:pt idx="625">
                  <c:v>-218.00728642496117</c:v>
                </c:pt>
                <c:pt idx="626">
                  <c:v>-218.53085014251897</c:v>
                </c:pt>
                <c:pt idx="627">
                  <c:v>-219.04663154457103</c:v>
                </c:pt>
                <c:pt idx="628">
                  <c:v>-219.55476022654992</c:v>
                </c:pt>
                <c:pt idx="629">
                  <c:v>-220.05536323288217</c:v>
                </c:pt>
                <c:pt idx="630">
                  <c:v>-220.54856522204747</c:v>
                </c:pt>
                <c:pt idx="631">
                  <c:v>-221.03448860766898</c:v>
                </c:pt>
                <c:pt idx="632">
                  <c:v>-221.51325367900125</c:v>
                </c:pt>
                <c:pt idx="633">
                  <c:v>-221.98497870373487</c:v>
                </c:pt>
                <c:pt idx="634">
                  <c:v>-222.44978001565059</c:v>
                </c:pt>
                <c:pt idx="635">
                  <c:v>-222.90777208932195</c:v>
                </c:pt>
                <c:pt idx="636">
                  <c:v>-223.35906760377159</c:v>
                </c:pt>
                <c:pt idx="637">
                  <c:v>-223.80377749673474</c:v>
                </c:pt>
                <c:pt idx="638">
                  <c:v>-224.24201101096324</c:v>
                </c:pt>
                <c:pt idx="639">
                  <c:v>-224.67387573381103</c:v>
                </c:pt>
                <c:pt idx="640">
                  <c:v>-225.09947763117404</c:v>
                </c:pt>
                <c:pt idx="641">
                  <c:v>-225.51892107671247</c:v>
                </c:pt>
                <c:pt idx="642">
                  <c:v>-225.93230887715626</c:v>
                </c:pt>
                <c:pt idx="643">
                  <c:v>-226.33974229438232</c:v>
                </c:pt>
                <c:pt idx="644">
                  <c:v>-226.74132106485615</c:v>
                </c:pt>
                <c:pt idx="645">
                  <c:v>-227.13714341694583</c:v>
                </c:pt>
                <c:pt idx="646">
                  <c:v>-227.52730608654215</c:v>
                </c:pt>
                <c:pt idx="647">
                  <c:v>-227.91190433135441</c:v>
                </c:pt>
                <c:pt idx="648">
                  <c:v>-228.29103194419616</c:v>
                </c:pt>
                <c:pt idx="649">
                  <c:v>-228.66478126552505</c:v>
                </c:pt>
                <c:pt idx="650">
                  <c:v>-229.03324319546005</c:v>
                </c:pt>
                <c:pt idx="651">
                  <c:v>-229.39650720546072</c:v>
                </c:pt>
                <c:pt idx="652">
                  <c:v>-229.75466134982324</c:v>
                </c:pt>
                <c:pt idx="653">
                  <c:v>-230.10779227711853</c:v>
                </c:pt>
                <c:pt idx="654">
                  <c:v>-230.45598524167497</c:v>
                </c:pt>
                <c:pt idx="655">
                  <c:v>-230.79932411518649</c:v>
                </c:pt>
                <c:pt idx="656">
                  <c:v>-231.13789139851121</c:v>
                </c:pt>
                <c:pt idx="657">
                  <c:v>-231.47176823370754</c:v>
                </c:pt>
                <c:pt idx="658">
                  <c:v>-231.80103441634481</c:v>
                </c:pt>
                <c:pt idx="659">
                  <c:v>-232.12576840811207</c:v>
                </c:pt>
                <c:pt idx="660">
                  <c:v>-232.44604734974061</c:v>
                </c:pt>
                <c:pt idx="661">
                  <c:v>-232.76194707424784</c:v>
                </c:pt>
                <c:pt idx="662">
                  <c:v>-233.07354212050294</c:v>
                </c:pt>
                <c:pt idx="663">
                  <c:v>-233.38090574710969</c:v>
                </c:pt>
                <c:pt idx="664">
                  <c:v>-233.68410994659803</c:v>
                </c:pt>
                <c:pt idx="665">
                  <c:v>-233.98322545991039</c:v>
                </c:pt>
                <c:pt idx="666">
                  <c:v>-234.27832179116839</c:v>
                </c:pt>
                <c:pt idx="667">
                  <c:v>-234.56946722270135</c:v>
                </c:pt>
              </c:numCache>
            </c:numRef>
          </c:yVal>
          <c:smooth val="0"/>
          <c:extLst>
            <c:ext xmlns:c16="http://schemas.microsoft.com/office/drawing/2014/chart" uri="{C3380CC4-5D6E-409C-BE32-E72D297353CC}">
              <c16:uniqueId val="{0000000D-BED3-43CF-9D4A-81AF6A44D307}"/>
            </c:ext>
          </c:extLst>
        </c:ser>
        <c:ser>
          <c:idx val="1"/>
          <c:order val="8"/>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E-BED3-43CF-9D4A-81AF6A44D307}"/>
              </c:ext>
            </c:extLst>
          </c:dPt>
          <c:xVal>
            <c:numRef>
              <c:f>'Bode Plots Calculations'!$B$690:$B$691</c:f>
              <c:numCache>
                <c:formatCode>General</c:formatCode>
                <c:ptCount val="2"/>
                <c:pt idx="0">
                  <c:v>23.5</c:v>
                </c:pt>
                <c:pt idx="1">
                  <c:v>23.5</c:v>
                </c:pt>
              </c:numCache>
            </c:numRef>
          </c:xVal>
          <c:yVal>
            <c:numRef>
              <c:f>'Bode Plots Calculations'!$BG$690:$BG$691</c:f>
              <c:numCache>
                <c:formatCode>General</c:formatCode>
                <c:ptCount val="2"/>
                <c:pt idx="0">
                  <c:v>-117.5765782260551</c:v>
                </c:pt>
                <c:pt idx="1">
                  <c:v>-90</c:v>
                </c:pt>
              </c:numCache>
            </c:numRef>
          </c:yVal>
          <c:smooth val="0"/>
          <c:extLst>
            <c:ext xmlns:c16="http://schemas.microsoft.com/office/drawing/2014/chart" uri="{C3380CC4-5D6E-409C-BE32-E72D297353CC}">
              <c16:uniqueId val="{0000000F-BED3-43CF-9D4A-81AF6A44D307}"/>
            </c:ext>
          </c:extLst>
        </c:ser>
        <c:ser>
          <c:idx val="0"/>
          <c:order val="9"/>
          <c:tx>
            <c:v>Fc2</c:v>
          </c:tx>
          <c:spPr>
            <a:ln w="25400">
              <a:solidFill>
                <a:schemeClr val="tx1">
                  <a:lumMod val="50000"/>
                  <a:lumOff val="50000"/>
                </a:schemeClr>
              </a:solidFill>
              <a:prstDash val="sysDash"/>
            </a:ln>
          </c:spPr>
          <c:marker>
            <c:symbol val="none"/>
          </c:marker>
          <c:xVal>
            <c:numRef>
              <c:f>'Bode Plots Calculations'!$B$688:$B$689</c:f>
              <c:numCache>
                <c:formatCode>General</c:formatCode>
                <c:ptCount val="2"/>
                <c:pt idx="0">
                  <c:v>23.5</c:v>
                </c:pt>
                <c:pt idx="1">
                  <c:v>1000</c:v>
                </c:pt>
              </c:numCache>
            </c:numRef>
          </c:xVal>
          <c:yVal>
            <c:numRef>
              <c:f>'Bode Plots Calculations'!$BG$688:$BG$689</c:f>
              <c:numCache>
                <c:formatCode>General</c:formatCode>
                <c:ptCount val="2"/>
                <c:pt idx="0">
                  <c:v>-117.5765782260551</c:v>
                </c:pt>
                <c:pt idx="1">
                  <c:v>-117.5765782260551</c:v>
                </c:pt>
              </c:numCache>
            </c:numRef>
          </c:yVal>
          <c:smooth val="0"/>
          <c:extLst>
            <c:ext xmlns:c16="http://schemas.microsoft.com/office/drawing/2014/chart" uri="{C3380CC4-5D6E-409C-BE32-E72D297353CC}">
              <c16:uniqueId val="{00000010-BED3-43CF-9D4A-81AF6A44D307}"/>
            </c:ext>
          </c:extLst>
        </c:ser>
        <c:dLbls>
          <c:showLegendKey val="0"/>
          <c:showVal val="0"/>
          <c:showCatName val="0"/>
          <c:showSerName val="0"/>
          <c:showPercent val="0"/>
          <c:showBubbleSize val="0"/>
        </c:dLbls>
        <c:axId val="330383744"/>
        <c:axId val="330385280"/>
      </c:scatterChart>
      <c:valAx>
        <c:axId val="315151872"/>
        <c:scaling>
          <c:logBase val="10"/>
          <c:orientation val="minMax"/>
          <c:max val="1000"/>
          <c:min val="1"/>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(kHz)</a:t>
                </a:r>
              </a:p>
            </c:rich>
          </c:tx>
          <c:layout>
            <c:manualLayout>
              <c:xMode val="edge"/>
              <c:yMode val="edge"/>
              <c:x val="0.43129335085799175"/>
              <c:y val="0.92232197841820085"/>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315545856"/>
        <c:crossesAt val="-80"/>
        <c:crossBetween val="midCat"/>
      </c:valAx>
      <c:valAx>
        <c:axId val="315545856"/>
        <c:scaling>
          <c:orientation val="minMax"/>
          <c:max val="4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Gain (dB)</a:t>
                </a:r>
              </a:p>
            </c:rich>
          </c:tx>
          <c:layout>
            <c:manualLayout>
              <c:xMode val="edge"/>
              <c:yMode val="edge"/>
              <c:x val="2.0807805833455456E-2"/>
              <c:y val="0.3954268675117710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15151872"/>
        <c:crossesAt val="1"/>
        <c:crossBetween val="midCat"/>
        <c:majorUnit val="10"/>
      </c:valAx>
      <c:valAx>
        <c:axId val="330383744"/>
        <c:scaling>
          <c:logBase val="10"/>
          <c:orientation val="minMax"/>
        </c:scaling>
        <c:delete val="1"/>
        <c:axPos val="b"/>
        <c:numFmt formatCode="General" sourceLinked="1"/>
        <c:majorTickMark val="out"/>
        <c:minorTickMark val="none"/>
        <c:tickLblPos val="none"/>
        <c:crossAx val="330385280"/>
        <c:crosses val="autoZero"/>
        <c:crossBetween val="midCat"/>
      </c:valAx>
      <c:valAx>
        <c:axId val="330385280"/>
        <c:scaling>
          <c:orientation val="minMax"/>
          <c:max val="0"/>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Phase  (°)</a:t>
                </a:r>
              </a:p>
            </c:rich>
          </c:tx>
          <c:layout>
            <c:manualLayout>
              <c:xMode val="edge"/>
              <c:yMode val="edge"/>
              <c:x val="0.96352677492317973"/>
              <c:y val="0.39364244498015538"/>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330383744"/>
        <c:crosses val="max"/>
        <c:crossBetween val="midCat"/>
        <c:majorUnit val="45"/>
      </c:valAx>
      <c:spPr>
        <a:noFill/>
        <a:ln w="12700">
          <a:solidFill>
            <a:srgbClr val="808080"/>
          </a:solidFill>
          <a:prstDash val="solid"/>
        </a:ln>
      </c:spPr>
    </c:plotArea>
    <c:legend>
      <c:legendPos val="r"/>
      <c:legendEntry>
        <c:idx val="0"/>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Entry>
      <c:legendEntry>
        <c:idx val="8"/>
        <c:delete val="1"/>
      </c:legendEntry>
      <c:legendEntry>
        <c:idx val="9"/>
        <c:delete val="1"/>
      </c:legendEntry>
      <c:layout>
        <c:manualLayout>
          <c:xMode val="edge"/>
          <c:yMode val="edge"/>
          <c:x val="0.295216671637685"/>
          <c:y val="0"/>
          <c:w val="0.59720240253255119"/>
          <c:h val="9.9098873083628289E-2"/>
        </c:manualLayout>
      </c:layout>
      <c:overlay val="0"/>
      <c:spPr>
        <a:noFill/>
        <a:ln w="25400">
          <a:noFill/>
        </a:ln>
      </c:spPr>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22" r="0.75000000000000622" t="1" header="0.5" footer="0.5"/>
    <c:pageSetup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rgbClr val="000000"/>
                </a:solidFill>
                <a:latin typeface="Arial" pitchFamily="34" charset="0"/>
                <a:ea typeface="Calibri"/>
                <a:cs typeface="Arial" pitchFamily="34" charset="0"/>
              </a:defRPr>
            </a:pPr>
            <a:r>
              <a:rPr lang="en-US" sz="1800" b="1" i="0" baseline="0">
                <a:effectLst/>
                <a:sym typeface="Symbol"/>
              </a:rPr>
              <a:t></a:t>
            </a:r>
            <a:r>
              <a:rPr lang="en-US" sz="1800" b="1" i="0" baseline="0">
                <a:effectLst/>
              </a:rPr>
              <a:t>, V</a:t>
            </a:r>
            <a:r>
              <a:rPr lang="en-US" sz="1800" b="1" i="0" baseline="-25000">
                <a:effectLst/>
              </a:rPr>
              <a:t>IN</a:t>
            </a:r>
            <a:r>
              <a:rPr lang="en-US" sz="1800" b="1" i="0" baseline="0">
                <a:effectLst/>
              </a:rPr>
              <a:t> = V</a:t>
            </a:r>
            <a:r>
              <a:rPr lang="en-US" sz="1800" b="1" i="0" baseline="-25000">
                <a:effectLst/>
              </a:rPr>
              <a:t>IN(nom)</a:t>
            </a:r>
            <a:endParaRPr lang="en-US">
              <a:effectLst/>
            </a:endParaRPr>
          </a:p>
        </c:rich>
      </c:tx>
      <c:layout>
        <c:manualLayout>
          <c:xMode val="edge"/>
          <c:yMode val="edge"/>
          <c:x val="8.2586704916618195E-2"/>
          <c:y val="1.8363289746112718E-2"/>
        </c:manualLayout>
      </c:layout>
      <c:overlay val="0"/>
      <c:spPr>
        <a:noFill/>
        <a:ln w="25400">
          <a:noFill/>
        </a:ln>
      </c:spPr>
    </c:title>
    <c:autoTitleDeleted val="0"/>
    <c:plotArea>
      <c:layout>
        <c:manualLayout>
          <c:layoutTarget val="inner"/>
          <c:xMode val="edge"/>
          <c:yMode val="edge"/>
          <c:x val="7.6761884085804283E-2"/>
          <c:y val="0.12133523343001466"/>
          <c:w val="0.82579990228506128"/>
          <c:h val="0.7558980268938309"/>
        </c:manualLayout>
      </c:layout>
      <c:lineChart>
        <c:grouping val="standard"/>
        <c:varyColors val="0"/>
        <c:ser>
          <c:idx val="0"/>
          <c:order val="0"/>
          <c:tx>
            <c:v>Efficiency</c:v>
          </c:tx>
          <c:spPr>
            <a:ln w="38100">
              <a:solidFill>
                <a:srgbClr val="FF0000"/>
              </a:solidFill>
              <a:prstDash val="solid"/>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Calculations'!$AU$9:$AU$209</c:f>
              <c:numCache>
                <c:formatCode>General</c:formatCode>
                <c:ptCount val="201"/>
                <c:pt idx="0">
                  <c:v>0</c:v>
                </c:pt>
                <c:pt idx="1">
                  <c:v>21.013996022693718</c:v>
                </c:pt>
                <c:pt idx="2">
                  <c:v>34.47778955788376</c:v>
                </c:pt>
                <c:pt idx="3">
                  <c:v>43.83995035814516</c:v>
                </c:pt>
                <c:pt idx="4">
                  <c:v>50.726364660712328</c:v>
                </c:pt>
                <c:pt idx="5">
                  <c:v>56.00387838152416</c:v>
                </c:pt>
                <c:pt idx="6">
                  <c:v>60.176948019616283</c:v>
                </c:pt>
                <c:pt idx="7">
                  <c:v>63.55909479295336</c:v>
                </c:pt>
                <c:pt idx="8">
                  <c:v>66.355431167303664</c:v>
                </c:pt>
                <c:pt idx="9">
                  <c:v>68.705789340180104</c:v>
                </c:pt>
                <c:pt idx="10">
                  <c:v>70.708777738953216</c:v>
                </c:pt>
                <c:pt idx="11">
                  <c:v>72.435929649262292</c:v>
                </c:pt>
                <c:pt idx="12">
                  <c:v>73.940398918100371</c:v>
                </c:pt>
                <c:pt idx="13">
                  <c:v>75.262506583065786</c:v>
                </c:pt>
                <c:pt idx="14">
                  <c:v>76.433393173460303</c:v>
                </c:pt>
                <c:pt idx="15">
                  <c:v>77.477490826636185</c:v>
                </c:pt>
                <c:pt idx="16">
                  <c:v>78.414237400937154</c:v>
                </c:pt>
                <c:pt idx="17">
                  <c:v>79.259290558496957</c:v>
                </c:pt>
                <c:pt idx="18">
                  <c:v>80.025404104258698</c:v>
                </c:pt>
                <c:pt idx="19">
                  <c:v>80.723071339915705</c:v>
                </c:pt>
                <c:pt idx="20">
                  <c:v>81.361004632009397</c:v>
                </c:pt>
                <c:pt idx="21">
                  <c:v>81.94649786039669</c:v>
                </c:pt>
                <c:pt idx="22">
                  <c:v>82.485703811922491</c:v>
                </c:pt>
                <c:pt idx="23">
                  <c:v>83.031722029847359</c:v>
                </c:pt>
                <c:pt idx="24">
                  <c:v>83.562688347728837</c:v>
                </c:pt>
                <c:pt idx="25">
                  <c:v>84.056826186039643</c:v>
                </c:pt>
                <c:pt idx="26">
                  <c:v>84.517795187044754</c:v>
                </c:pt>
                <c:pt idx="27">
                  <c:v>84.948785646976603</c:v>
                </c:pt>
                <c:pt idx="28">
                  <c:v>85.352591419705774</c:v>
                </c:pt>
                <c:pt idx="29">
                  <c:v>85.73166964086731</c:v>
                </c:pt>
                <c:pt idx="30">
                  <c:v>86.088189970841412</c:v>
                </c:pt>
                <c:pt idx="31">
                  <c:v>86.424075441531329</c:v>
                </c:pt>
                <c:pt idx="32">
                  <c:v>86.741036530986065</c:v>
                </c:pt>
                <c:pt idx="33">
                  <c:v>87.040599740559458</c:v>
                </c:pt>
                <c:pt idx="34">
                  <c:v>87.324131682271741</c:v>
                </c:pt>
                <c:pt idx="35">
                  <c:v>87.592859478339051</c:v>
                </c:pt>
                <c:pt idx="36">
                  <c:v>87.847888115198856</c:v>
                </c:pt>
                <c:pt idx="37">
                  <c:v>88.090215269603618</c:v>
                </c:pt>
                <c:pt idx="38">
                  <c:v>88.320744026212694</c:v>
                </c:pt>
                <c:pt idx="39">
                  <c:v>88.540293828421071</c:v>
                </c:pt>
                <c:pt idx="40">
                  <c:v>88.749609942295919</c:v>
                </c:pt>
                <c:pt idx="41">
                  <c:v>88.949371663945385</c:v>
                </c:pt>
                <c:pt idx="42">
                  <c:v>89.140199460752285</c:v>
                </c:pt>
                <c:pt idx="43">
                  <c:v>89.3226612046209</c:v>
                </c:pt>
                <c:pt idx="44">
                  <c:v>89.497277629131716</c:v>
                </c:pt>
                <c:pt idx="45">
                  <c:v>89.664527121046461</c:v>
                </c:pt>
                <c:pt idx="46">
                  <c:v>89.824849939003343</c:v>
                </c:pt>
                <c:pt idx="47">
                  <c:v>89.978651937731982</c:v>
                </c:pt>
                <c:pt idx="48">
                  <c:v>90.126307864111439</c:v>
                </c:pt>
                <c:pt idx="49">
                  <c:v>90.268164281418507</c:v>
                </c:pt>
                <c:pt idx="50">
                  <c:v>90.404542169795548</c:v>
                </c:pt>
                <c:pt idx="51">
                  <c:v>90.535739244004901</c:v>
                </c:pt>
                <c:pt idx="52">
                  <c:v>90.662032023689747</c:v>
                </c:pt>
                <c:pt idx="53">
                  <c:v>90.783677686434558</c:v>
                </c:pt>
                <c:pt idx="54">
                  <c:v>90.900915729753976</c:v>
                </c:pt>
                <c:pt idx="55">
                  <c:v>91.013969464606774</c:v>
                </c:pt>
                <c:pt idx="56">
                  <c:v>91.123047360028451</c:v>
                </c:pt>
                <c:pt idx="57">
                  <c:v>91.228344255914578</c:v>
                </c:pt>
                <c:pt idx="58">
                  <c:v>91.330042458795276</c:v>
                </c:pt>
                <c:pt idx="59">
                  <c:v>91.428312733563359</c:v>
                </c:pt>
                <c:pt idx="60">
                  <c:v>91.52331520250226</c:v>
                </c:pt>
                <c:pt idx="61">
                  <c:v>91.615200161567785</c:v>
                </c:pt>
                <c:pt idx="62">
                  <c:v>91.70410882267511</c:v>
                </c:pt>
                <c:pt idx="63">
                  <c:v>91.790173989699582</c:v>
                </c:pt>
                <c:pt idx="64">
                  <c:v>91.873520674995987</c:v>
                </c:pt>
                <c:pt idx="65">
                  <c:v>91.954266662454515</c:v>
                </c:pt>
                <c:pt idx="66">
                  <c:v>92.032523022424698</c:v>
                </c:pt>
                <c:pt idx="67">
                  <c:v>92.108394583240695</c:v>
                </c:pt>
                <c:pt idx="68">
                  <c:v>92.181980363555809</c:v>
                </c:pt>
                <c:pt idx="69">
                  <c:v>92.253373969234616</c:v>
                </c:pt>
                <c:pt idx="70">
                  <c:v>92.322663958146833</c:v>
                </c:pt>
                <c:pt idx="71">
                  <c:v>92.389934175851153</c:v>
                </c:pt>
                <c:pt idx="72">
                  <c:v>92.455264064843661</c:v>
                </c:pt>
                <c:pt idx="73">
                  <c:v>92.518728949768089</c:v>
                </c:pt>
                <c:pt idx="74">
                  <c:v>92.580400300739925</c:v>
                </c:pt>
                <c:pt idx="75">
                  <c:v>92.640345976719004</c:v>
                </c:pt>
                <c:pt idx="76">
                  <c:v>92.698630450672425</c:v>
                </c:pt>
                <c:pt idx="77">
                  <c:v>92.755315018097463</c:v>
                </c:pt>
                <c:pt idx="78">
                  <c:v>92.810457990321979</c:v>
                </c:pt>
                <c:pt idx="79">
                  <c:v>92.864114873862931</c:v>
                </c:pt>
                <c:pt idx="80">
                  <c:v>92.916338537002716</c:v>
                </c:pt>
                <c:pt idx="81">
                  <c:v>92.967179364632841</c:v>
                </c:pt>
                <c:pt idx="82">
                  <c:v>93.016685402318757</c:v>
                </c:pt>
                <c:pt idx="83">
                  <c:v>93.064902490450351</c:v>
                </c:pt>
                <c:pt idx="84">
                  <c:v>93.111874389265751</c:v>
                </c:pt>
                <c:pt idx="85">
                  <c:v>93.157642895464221</c:v>
                </c:pt>
                <c:pt idx="86">
                  <c:v>93.202247951061338</c:v>
                </c:pt>
                <c:pt idx="87">
                  <c:v>93.24572774508168</c:v>
                </c:pt>
                <c:pt idx="88">
                  <c:v>93.288118808633058</c:v>
                </c:pt>
                <c:pt idx="89">
                  <c:v>93.329456103859371</c:v>
                </c:pt>
                <c:pt idx="90">
                  <c:v>93.369773107227033</c:v>
                </c:pt>
                <c:pt idx="91">
                  <c:v>93.409101887561533</c:v>
                </c:pt>
                <c:pt idx="92">
                  <c:v>93.447473179216516</c:v>
                </c:pt>
                <c:pt idx="93">
                  <c:v>93.484916450725592</c:v>
                </c:pt>
                <c:pt idx="94">
                  <c:v>93.52145996925907</c:v>
                </c:pt>
                <c:pt idx="95">
                  <c:v>93.557130861181719</c:v>
                </c:pt>
                <c:pt idx="96">
                  <c:v>93.591955168983887</c:v>
                </c:pt>
                <c:pt idx="97">
                  <c:v>93.625957904836952</c:v>
                </c:pt>
                <c:pt idx="98">
                  <c:v>93.659163101004125</c:v>
                </c:pt>
                <c:pt idx="99">
                  <c:v>93.691593857320228</c:v>
                </c:pt>
                <c:pt idx="100">
                  <c:v>93.72327238593715</c:v>
                </c:pt>
                <c:pt idx="101">
                  <c:v>93.754220053517045</c:v>
                </c:pt>
                <c:pt idx="102">
                  <c:v>93.784457421041395</c:v>
                </c:pt>
                <c:pt idx="103">
                  <c:v>93.814004281391774</c:v>
                </c:pt>
                <c:pt idx="104">
                  <c:v>93.842879694846516</c:v>
                </c:pt>
                <c:pt idx="105">
                  <c:v>93.871102022626602</c:v>
                </c:pt>
                <c:pt idx="106">
                  <c:v>93.898688958615153</c:v>
                </c:pt>
                <c:pt idx="107">
                  <c:v>93.925657559365007</c:v>
                </c:pt>
                <c:pt idx="108">
                  <c:v>93.95202427250166</c:v>
                </c:pt>
                <c:pt idx="109">
                  <c:v>93.977804963620486</c:v>
                </c:pt>
                <c:pt idx="110">
                  <c:v>94.003014941770573</c:v>
                </c:pt>
                <c:pt idx="111">
                  <c:v>94.027668983611434</c:v>
                </c:pt>
                <c:pt idx="112">
                  <c:v>94.051781356321811</c:v>
                </c:pt>
                <c:pt idx="113">
                  <c:v>94.07536583933593</c:v>
                </c:pt>
                <c:pt idx="114">
                  <c:v>94.098435744976101</c:v>
                </c:pt>
                <c:pt idx="115">
                  <c:v>94.121003938046726</c:v>
                </c:pt>
                <c:pt idx="116">
                  <c:v>94.143082854450014</c:v>
                </c:pt>
                <c:pt idx="117">
                  <c:v>94.164684518880193</c:v>
                </c:pt>
                <c:pt idx="118">
                  <c:v>94.185820561648782</c:v>
                </c:pt>
                <c:pt idx="119">
                  <c:v>94.206502234690248</c:v>
                </c:pt>
                <c:pt idx="120">
                  <c:v>94.22674042679462</c:v>
                </c:pt>
                <c:pt idx="121">
                  <c:v>94.246545678109754</c:v>
                </c:pt>
                <c:pt idx="122">
                  <c:v>94.265928193954167</c:v>
                </c:pt>
                <c:pt idx="123">
                  <c:v>94.284897857978365</c:v>
                </c:pt>
                <c:pt idx="124">
                  <c:v>94.303464244709829</c:v>
                </c:pt>
                <c:pt idx="125">
                  <c:v>94.321636631515673</c:v>
                </c:pt>
                <c:pt idx="126">
                  <c:v>94.339424010013701</c:v>
                </c:pt>
                <c:pt idx="127">
                  <c:v>94.356835096961831</c:v>
                </c:pt>
                <c:pt idx="128">
                  <c:v>94.373878344652994</c:v>
                </c:pt>
                <c:pt idx="129">
                  <c:v>94.390561950841828</c:v>
                </c:pt>
                <c:pt idx="130">
                  <c:v>94.406893868227556</c:v>
                </c:pt>
                <c:pt idx="131">
                  <c:v>94.422881813516</c:v>
                </c:pt>
                <c:pt idx="132">
                  <c:v>94.438533276082126</c:v>
                </c:pt>
                <c:pt idx="133">
                  <c:v>94.453855526254031</c:v>
                </c:pt>
                <c:pt idx="134">
                  <c:v>94.468855623236962</c:v>
                </c:pt>
                <c:pt idx="135">
                  <c:v>94.483540422695896</c:v>
                </c:pt>
                <c:pt idx="136">
                  <c:v>94.497916584013609</c:v>
                </c:pt>
                <c:pt idx="137">
                  <c:v>94.51199057724007</c:v>
                </c:pt>
                <c:pt idx="138">
                  <c:v>94.52576868974883</c:v>
                </c:pt>
                <c:pt idx="139">
                  <c:v>94.539257032614344</c:v>
                </c:pt>
                <c:pt idx="140">
                  <c:v>94.552461546723919</c:v>
                </c:pt>
                <c:pt idx="141">
                  <c:v>94.5653880086371</c:v>
                </c:pt>
                <c:pt idx="142">
                  <c:v>94.578042036204508</c:v>
                </c:pt>
                <c:pt idx="143">
                  <c:v>94.590429093957667</c:v>
                </c:pt>
                <c:pt idx="144">
                  <c:v>94.602554498280568</c:v>
                </c:pt>
                <c:pt idx="145">
                  <c:v>94.614423422373235</c:v>
                </c:pt>
                <c:pt idx="146">
                  <c:v>94.626040901017006</c:v>
                </c:pt>
                <c:pt idx="147">
                  <c:v>94.637411835150587</c:v>
                </c:pt>
                <c:pt idx="148">
                  <c:v>94.648540996265851</c:v>
                </c:pt>
                <c:pt idx="149">
                  <c:v>94.659433030631291</c:v>
                </c:pt>
                <c:pt idx="150">
                  <c:v>94.670092463351239</c:v>
                </c:pt>
                <c:pt idx="151">
                  <c:v>94.680523702268033</c:v>
                </c:pt>
                <c:pt idx="152">
                  <c:v>94.690731041714301</c:v>
                </c:pt>
                <c:pt idx="153">
                  <c:v>94.700718666122043</c:v>
                </c:pt>
                <c:pt idx="154">
                  <c:v>94.710490653494787</c:v>
                </c:pt>
                <c:pt idx="155">
                  <c:v>94.720050978748773</c:v>
                </c:pt>
                <c:pt idx="156">
                  <c:v>94.729403516929125</c:v>
                </c:pt>
                <c:pt idx="157">
                  <c:v>94.738552046306225</c:v>
                </c:pt>
                <c:pt idx="158">
                  <c:v>94.747500251357494</c:v>
                </c:pt>
                <c:pt idx="159">
                  <c:v>94.756251725639544</c:v>
                </c:pt>
                <c:pt idx="160">
                  <c:v>94.764809974555433</c:v>
                </c:pt>
                <c:pt idx="161">
                  <c:v>94.773178418021246</c:v>
                </c:pt>
                <c:pt idx="162">
                  <c:v>94.781360393036522</c:v>
                </c:pt>
                <c:pt idx="163">
                  <c:v>94.789359156162433</c:v>
                </c:pt>
                <c:pt idx="164">
                  <c:v>94.797177885911339</c:v>
                </c:pt>
                <c:pt idx="165">
                  <c:v>94.804819685051839</c:v>
                </c:pt>
                <c:pt idx="166">
                  <c:v>94.81228758283244</c:v>
                </c:pt>
                <c:pt idx="167">
                  <c:v>94.819584537127184</c:v>
                </c:pt>
                <c:pt idx="168">
                  <c:v>94.826713436506694</c:v>
                </c:pt>
                <c:pt idx="169">
                  <c:v>94.833677102237232</c:v>
                </c:pt>
                <c:pt idx="170">
                  <c:v>94.840478290211109</c:v>
                </c:pt>
                <c:pt idx="171">
                  <c:v>94.847119692810722</c:v>
                </c:pt>
                <c:pt idx="172">
                  <c:v>94.853603940709363</c:v>
                </c:pt>
                <c:pt idx="173">
                  <c:v>94.859933604610845</c:v>
                </c:pt>
                <c:pt idx="174">
                  <c:v>94.866111196930589</c:v>
                </c:pt>
                <c:pt idx="175">
                  <c:v>94.872139173420436</c:v>
                </c:pt>
                <c:pt idx="176">
                  <c:v>94.878019934739228</c:v>
                </c:pt>
                <c:pt idx="177">
                  <c:v>94.883755827971655</c:v>
                </c:pt>
                <c:pt idx="178">
                  <c:v>94.88934914809667</c:v>
                </c:pt>
                <c:pt idx="179">
                  <c:v>94.894802139408071</c:v>
                </c:pt>
                <c:pt idx="180">
                  <c:v>94.900116996888755</c:v>
                </c:pt>
                <c:pt idx="181">
                  <c:v>94.90529586754036</c:v>
                </c:pt>
                <c:pt idx="182">
                  <c:v>94.910340851670028</c:v>
                </c:pt>
                <c:pt idx="183">
                  <c:v>94.91525400413606</c:v>
                </c:pt>
                <c:pt idx="184">
                  <c:v>94.920037335553687</c:v>
                </c:pt>
                <c:pt idx="185">
                  <c:v>94.924692813462642</c:v>
                </c:pt>
                <c:pt idx="186">
                  <c:v>94.929222363457882</c:v>
                </c:pt>
                <c:pt idx="187">
                  <c:v>94.93362787028488</c:v>
                </c:pt>
                <c:pt idx="188">
                  <c:v>94.937911178900492</c:v>
                </c:pt>
                <c:pt idx="189">
                  <c:v>94.942074095501212</c:v>
                </c:pt>
                <c:pt idx="190">
                  <c:v>94.946118388519267</c:v>
                </c:pt>
                <c:pt idx="191">
                  <c:v>94.950045789588373</c:v>
                </c:pt>
                <c:pt idx="192">
                  <c:v>94.953857994479691</c:v>
                </c:pt>
                <c:pt idx="193">
                  <c:v>94.957556664009644</c:v>
                </c:pt>
                <c:pt idx="194">
                  <c:v>94.961143424919726</c:v>
                </c:pt>
                <c:pt idx="195">
                  <c:v>94.964619870730331</c:v>
                </c:pt>
                <c:pt idx="196">
                  <c:v>94.967987562568609</c:v>
                </c:pt>
                <c:pt idx="197">
                  <c:v>94.971248029971719</c:v>
                </c:pt>
                <c:pt idx="198">
                  <c:v>94.974402771666362</c:v>
                </c:pt>
                <c:pt idx="199">
                  <c:v>94.977453256325035</c:v>
                </c:pt>
                <c:pt idx="200">
                  <c:v>94.98040092330028</c:v>
                </c:pt>
              </c:numCache>
            </c:numRef>
          </c:val>
          <c:smooth val="0"/>
          <c:extLst>
            <c:ext xmlns:c16="http://schemas.microsoft.com/office/drawing/2014/chart" uri="{C3380CC4-5D6E-409C-BE32-E72D297353CC}">
              <c16:uniqueId val="{00000000-7890-472B-AAE1-D1CB0E55BFDF}"/>
            </c:ext>
          </c:extLst>
        </c:ser>
        <c:dLbls>
          <c:showLegendKey val="0"/>
          <c:showVal val="0"/>
          <c:showCatName val="0"/>
          <c:showSerName val="0"/>
          <c:showPercent val="0"/>
          <c:showBubbleSize val="0"/>
        </c:dLbls>
        <c:marker val="1"/>
        <c:smooth val="0"/>
        <c:axId val="308580352"/>
        <c:axId val="308582272"/>
      </c:lineChart>
      <c:lineChart>
        <c:grouping val="standard"/>
        <c:varyColors val="0"/>
        <c:ser>
          <c:idx val="3"/>
          <c:order val="1"/>
          <c:tx>
            <c:v> Inductor Copper &amp; Core Loss</c:v>
          </c:tx>
          <c:spPr>
            <a:ln w="38100">
              <a:solidFill>
                <a:srgbClr val="800080"/>
              </a:solidFill>
              <a:prstDash val="dash"/>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Calculations'!$Q$9:$Q$209</c:f>
              <c:numCache>
                <c:formatCode>0.0000</c:formatCode>
                <c:ptCount val="201"/>
                <c:pt idx="0">
                  <c:v>0.20074681610045245</c:v>
                </c:pt>
                <c:pt idx="1">
                  <c:v>0.20075141329555737</c:v>
                </c:pt>
                <c:pt idx="2">
                  <c:v>0.20076501159546684</c:v>
                </c:pt>
                <c:pt idx="3">
                  <c:v>0.20078761105892917</c:v>
                </c:pt>
                <c:pt idx="4">
                  <c:v>0.20081921178358081</c:v>
                </c:pt>
                <c:pt idx="5">
                  <c:v>0.20085981390594707</c:v>
                </c:pt>
                <c:pt idx="6">
                  <c:v>0.20090941760144376</c:v>
                </c:pt>
                <c:pt idx="7">
                  <c:v>0.20096802308437917</c:v>
                </c:pt>
                <c:pt idx="8">
                  <c:v>0.20103563060795607</c:v>
                </c:pt>
                <c:pt idx="9">
                  <c:v>0.20111224046427481</c:v>
                </c:pt>
                <c:pt idx="10">
                  <c:v>0.20119785298433623</c:v>
                </c:pt>
                <c:pt idx="11">
                  <c:v>0.20129246853804539</c:v>
                </c:pt>
                <c:pt idx="12">
                  <c:v>0.20139608753421537</c:v>
                </c:pt>
                <c:pt idx="13">
                  <c:v>0.20150871042057192</c:v>
                </c:pt>
                <c:pt idx="14">
                  <c:v>0.20163033768375815</c:v>
                </c:pt>
                <c:pt idx="15">
                  <c:v>0.20176096984933981</c:v>
                </c:pt>
                <c:pt idx="16">
                  <c:v>0.20190060748181096</c:v>
                </c:pt>
                <c:pt idx="17">
                  <c:v>0.20204925118460015</c:v>
                </c:pt>
                <c:pt idx="18">
                  <c:v>0.20220690160007687</c:v>
                </c:pt>
                <c:pt idx="19">
                  <c:v>0.20237355940955842</c:v>
                </c:pt>
                <c:pt idx="20">
                  <c:v>0.20254922533331746</c:v>
                </c:pt>
                <c:pt idx="21">
                  <c:v>0.20273390013058959</c:v>
                </c:pt>
                <c:pt idx="22">
                  <c:v>0.20292758459958174</c:v>
                </c:pt>
                <c:pt idx="23">
                  <c:v>0.20313027957748064</c:v>
                </c:pt>
                <c:pt idx="24">
                  <c:v>0.20334198594046199</c:v>
                </c:pt>
                <c:pt idx="25">
                  <c:v>0.20356270460369982</c:v>
                </c:pt>
                <c:pt idx="26">
                  <c:v>0.20379243652137649</c:v>
                </c:pt>
                <c:pt idx="27">
                  <c:v>0.2040311826866929</c:v>
                </c:pt>
                <c:pt idx="28">
                  <c:v>0.20427894413187939</c:v>
                </c:pt>
                <c:pt idx="29">
                  <c:v>0.20453572192820665</c:v>
                </c:pt>
                <c:pt idx="30">
                  <c:v>0.20480151718599759</c:v>
                </c:pt>
                <c:pt idx="31">
                  <c:v>0.20507633105463913</c:v>
                </c:pt>
                <c:pt idx="32">
                  <c:v>0.20536016472259469</c:v>
                </c:pt>
                <c:pt idx="33">
                  <c:v>0.20565301941741712</c:v>
                </c:pt>
                <c:pt idx="34">
                  <c:v>0.20595489640576187</c:v>
                </c:pt>
                <c:pt idx="35">
                  <c:v>0.20626579699340078</c:v>
                </c:pt>
                <c:pt idx="36">
                  <c:v>0.20658572252523622</c:v>
                </c:pt>
                <c:pt idx="37">
                  <c:v>0.20691467438531544</c:v>
                </c:pt>
                <c:pt idx="38">
                  <c:v>0.20725265399684586</c:v>
                </c:pt>
                <c:pt idx="39">
                  <c:v>0.20759966282221029</c:v>
                </c:pt>
                <c:pt idx="40">
                  <c:v>0.20795570236298269</c:v>
                </c:pt>
                <c:pt idx="41">
                  <c:v>0.20832077415994465</c:v>
                </c:pt>
                <c:pt idx="42">
                  <c:v>0.20869487979310183</c:v>
                </c:pt>
                <c:pt idx="43">
                  <c:v>0.2090780208817013</c:v>
                </c:pt>
                <c:pt idx="44">
                  <c:v>0.20947019908424885</c:v>
                </c:pt>
                <c:pt idx="45">
                  <c:v>0.20987141609852714</c:v>
                </c:pt>
                <c:pt idx="46">
                  <c:v>0.21028167366161396</c:v>
                </c:pt>
                <c:pt idx="47">
                  <c:v>0.21070097354990114</c:v>
                </c:pt>
                <c:pt idx="48">
                  <c:v>0.2111293175791138</c:v>
                </c:pt>
                <c:pt idx="49">
                  <c:v>0.21156670760432986</c:v>
                </c:pt>
                <c:pt idx="50">
                  <c:v>0.21201314552000039</c:v>
                </c:pt>
                <c:pt idx="51">
                  <c:v>0.21246863325997004</c:v>
                </c:pt>
                <c:pt idx="52">
                  <c:v>0.21293317279749793</c:v>
                </c:pt>
                <c:pt idx="53">
                  <c:v>0.21340676614527915</c:v>
                </c:pt>
                <c:pt idx="54">
                  <c:v>0.21388941535546657</c:v>
                </c:pt>
                <c:pt idx="55">
                  <c:v>0.21438112251969305</c:v>
                </c:pt>
                <c:pt idx="56">
                  <c:v>0.2148818897690942</c:v>
                </c:pt>
                <c:pt idx="57">
                  <c:v>0.21539171927433148</c:v>
                </c:pt>
                <c:pt idx="58">
                  <c:v>0.21591061324561572</c:v>
                </c:pt>
                <c:pt idx="59">
                  <c:v>0.21643857393273114</c:v>
                </c:pt>
                <c:pt idx="60">
                  <c:v>0.21697560362505983</c:v>
                </c:pt>
                <c:pt idx="61">
                  <c:v>0.2175217046516065</c:v>
                </c:pt>
                <c:pt idx="62">
                  <c:v>0.21807687938102382</c:v>
                </c:pt>
                <c:pt idx="63">
                  <c:v>0.21864113022163822</c:v>
                </c:pt>
                <c:pt idx="64">
                  <c:v>0.21921445962147595</c:v>
                </c:pt>
                <c:pt idx="65">
                  <c:v>0.21979687006828974</c:v>
                </c:pt>
                <c:pt idx="66">
                  <c:v>0.22038836408958581</c:v>
                </c:pt>
                <c:pt idx="67">
                  <c:v>0.22098894425265139</c:v>
                </c:pt>
                <c:pt idx="68">
                  <c:v>0.22159861316458257</c:v>
                </c:pt>
                <c:pt idx="69">
                  <c:v>0.22221737347231271</c:v>
                </c:pt>
                <c:pt idx="70">
                  <c:v>0.22284522786264122</c:v>
                </c:pt>
                <c:pt idx="71">
                  <c:v>0.22348217906226275</c:v>
                </c:pt>
                <c:pt idx="72">
                  <c:v>0.22412822983779698</c:v>
                </c:pt>
                <c:pt idx="73">
                  <c:v>0.22478338299581854</c:v>
                </c:pt>
                <c:pt idx="74">
                  <c:v>0.22544764138288775</c:v>
                </c:pt>
                <c:pt idx="75">
                  <c:v>0.22612100788558154</c:v>
                </c:pt>
                <c:pt idx="76">
                  <c:v>0.22680348543052481</c:v>
                </c:pt>
                <c:pt idx="77">
                  <c:v>0.22749507698442251</c:v>
                </c:pt>
                <c:pt idx="78">
                  <c:v>0.22819578555409178</c:v>
                </c:pt>
                <c:pt idx="79">
                  <c:v>0.22890561418649488</c:v>
                </c:pt>
                <c:pt idx="80">
                  <c:v>0.22962456596877229</c:v>
                </c:pt>
                <c:pt idx="81">
                  <c:v>0.23035264402827632</c:v>
                </c:pt>
                <c:pt idx="82">
                  <c:v>0.23108985153260544</c:v>
                </c:pt>
                <c:pt idx="83">
                  <c:v>0.2318361916896387</c:v>
                </c:pt>
                <c:pt idx="84">
                  <c:v>0.2325916677475707</c:v>
                </c:pt>
                <c:pt idx="85">
                  <c:v>0.2333562829949471</c:v>
                </c:pt>
                <c:pt idx="86">
                  <c:v>0.23413004076070063</c:v>
                </c:pt>
                <c:pt idx="87">
                  <c:v>0.23491294441418714</c:v>
                </c:pt>
                <c:pt idx="88">
                  <c:v>0.23570499736522288</c:v>
                </c:pt>
                <c:pt idx="89">
                  <c:v>0.23650620306412121</c:v>
                </c:pt>
                <c:pt idx="90">
                  <c:v>0.23731656500173082</c:v>
                </c:pt>
                <c:pt idx="91">
                  <c:v>0.2381360867094735</c:v>
                </c:pt>
                <c:pt idx="92">
                  <c:v>0.23896477175938305</c:v>
                </c:pt>
                <c:pt idx="93">
                  <c:v>0.23980262376414421</c:v>
                </c:pt>
                <c:pt idx="94">
                  <c:v>0.24064964637713213</c:v>
                </c:pt>
                <c:pt idx="95">
                  <c:v>0.24150584329245259</c:v>
                </c:pt>
                <c:pt idx="96">
                  <c:v>0.2423712182449822</c:v>
                </c:pt>
                <c:pt idx="97">
                  <c:v>0.24324577501040939</c:v>
                </c:pt>
                <c:pt idx="98">
                  <c:v>0.24412951740527591</c:v>
                </c:pt>
                <c:pt idx="99">
                  <c:v>0.24502244928701836</c:v>
                </c:pt>
                <c:pt idx="100">
                  <c:v>0.24592457455401082</c:v>
                </c:pt>
                <c:pt idx="101">
                  <c:v>0.24683589714560727</c:v>
                </c:pt>
                <c:pt idx="102">
                  <c:v>0.24775642104218507</c:v>
                </c:pt>
                <c:pt idx="103">
                  <c:v>0.24868615026518842</c:v>
                </c:pt>
                <c:pt idx="104">
                  <c:v>0.24962508887717264</c:v>
                </c:pt>
                <c:pt idx="105">
                  <c:v>0.25057324098184869</c:v>
                </c:pt>
                <c:pt idx="106">
                  <c:v>0.25153061072412836</c:v>
                </c:pt>
                <c:pt idx="107">
                  <c:v>0.25249720229016953</c:v>
                </c:pt>
                <c:pt idx="108">
                  <c:v>0.25347301990742255</c:v>
                </c:pt>
                <c:pt idx="109">
                  <c:v>0.25445806784467639</c:v>
                </c:pt>
                <c:pt idx="110">
                  <c:v>0.25545235041210573</c:v>
                </c:pt>
                <c:pt idx="111">
                  <c:v>0.25645587196131847</c:v>
                </c:pt>
                <c:pt idx="112">
                  <c:v>0.25746863688540328</c:v>
                </c:pt>
                <c:pt idx="113">
                  <c:v>0.25849064961897844</c:v>
                </c:pt>
                <c:pt idx="114">
                  <c:v>0.2595219146382402</c:v>
                </c:pt>
                <c:pt idx="115">
                  <c:v>0.2605624364610124</c:v>
                </c:pt>
                <c:pt idx="116">
                  <c:v>0.2616122196467961</c:v>
                </c:pt>
                <c:pt idx="117">
                  <c:v>0.26267126879681996</c:v>
                </c:pt>
                <c:pt idx="118">
                  <c:v>0.26373958855409085</c:v>
                </c:pt>
                <c:pt idx="119">
                  <c:v>0.26481718360344508</c:v>
                </c:pt>
                <c:pt idx="120">
                  <c:v>0.26590405867160022</c:v>
                </c:pt>
                <c:pt idx="121">
                  <c:v>0.26700021852720723</c:v>
                </c:pt>
                <c:pt idx="122">
                  <c:v>0.26810566798090307</c:v>
                </c:pt>
                <c:pt idx="123">
                  <c:v>0.26922041188536378</c:v>
                </c:pt>
                <c:pt idx="124">
                  <c:v>0.27034445513535832</c:v>
                </c:pt>
                <c:pt idx="125">
                  <c:v>0.27147780266780241</c:v>
                </c:pt>
                <c:pt idx="126">
                  <c:v>0.27262045946181346</c:v>
                </c:pt>
                <c:pt idx="127">
                  <c:v>0.27377243053876543</c:v>
                </c:pt>
                <c:pt idx="128">
                  <c:v>0.27493372096234431</c:v>
                </c:pt>
                <c:pt idx="129">
                  <c:v>0.27610433583860461</c:v>
                </c:pt>
                <c:pt idx="130">
                  <c:v>0.27728428031602531</c:v>
                </c:pt>
                <c:pt idx="131">
                  <c:v>0.27847355958556758</c:v>
                </c:pt>
                <c:pt idx="132">
                  <c:v>0.27967217888073181</c:v>
                </c:pt>
                <c:pt idx="133">
                  <c:v>0.28088014347761592</c:v>
                </c:pt>
                <c:pt idx="134">
                  <c:v>0.28209745869497371</c:v>
                </c:pt>
                <c:pt idx="135">
                  <c:v>0.28332412989427413</c:v>
                </c:pt>
                <c:pt idx="136">
                  <c:v>0.28456016247976057</c:v>
                </c:pt>
                <c:pt idx="137">
                  <c:v>0.28580556189851114</c:v>
                </c:pt>
                <c:pt idx="138">
                  <c:v>0.28706033364049877</c:v>
                </c:pt>
                <c:pt idx="139">
                  <c:v>0.28832448323865306</c:v>
                </c:pt>
                <c:pt idx="140">
                  <c:v>0.28959801626892079</c:v>
                </c:pt>
                <c:pt idx="141">
                  <c:v>0.29088093835032885</c:v>
                </c:pt>
                <c:pt idx="142">
                  <c:v>0.29217325514504616</c:v>
                </c:pt>
                <c:pt idx="143">
                  <c:v>0.29347497235844716</c:v>
                </c:pt>
                <c:pt idx="144">
                  <c:v>0.29478609573917514</c:v>
                </c:pt>
                <c:pt idx="145">
                  <c:v>0.29610663107920637</c:v>
                </c:pt>
                <c:pt idx="146">
                  <c:v>0.29743658421391483</c:v>
                </c:pt>
                <c:pt idx="147">
                  <c:v>0.29877596102213694</c:v>
                </c:pt>
                <c:pt idx="148">
                  <c:v>0.30012476742623773</c:v>
                </c:pt>
                <c:pt idx="149">
                  <c:v>0.30148300939217643</c:v>
                </c:pt>
                <c:pt idx="150">
                  <c:v>0.30285069292957351</c:v>
                </c:pt>
                <c:pt idx="151">
                  <c:v>0.30422782409177757</c:v>
                </c:pt>
                <c:pt idx="152">
                  <c:v>0.30561440897593323</c:v>
                </c:pt>
                <c:pt idx="153">
                  <c:v>0.30701045372304919</c:v>
                </c:pt>
                <c:pt idx="154">
                  <c:v>0.30841596451806719</c:v>
                </c:pt>
                <c:pt idx="155">
                  <c:v>0.30983094758993091</c:v>
                </c:pt>
                <c:pt idx="156">
                  <c:v>0.31125540921165595</c:v>
                </c:pt>
                <c:pt idx="157">
                  <c:v>0.31268935570040052</c:v>
                </c:pt>
                <c:pt idx="158">
                  <c:v>0.31413279341753531</c:v>
                </c:pt>
                <c:pt idx="159">
                  <c:v>0.31558572876871588</c:v>
                </c:pt>
                <c:pt idx="160">
                  <c:v>0.31704816820395393</c:v>
                </c:pt>
                <c:pt idx="161">
                  <c:v>0.31852011821768988</c:v>
                </c:pt>
                <c:pt idx="162">
                  <c:v>0.32000158534886608</c:v>
                </c:pt>
                <c:pt idx="163">
                  <c:v>0.32149257618099991</c:v>
                </c:pt>
                <c:pt idx="164">
                  <c:v>0.32299309734225823</c:v>
                </c:pt>
                <c:pt idx="165">
                  <c:v>0.32450315550553144</c:v>
                </c:pt>
                <c:pt idx="166">
                  <c:v>0.32602275738850928</c:v>
                </c:pt>
                <c:pt idx="167">
                  <c:v>0.32755190975375581</c:v>
                </c:pt>
                <c:pt idx="168">
                  <c:v>0.32909061940878609</c:v>
                </c:pt>
                <c:pt idx="169">
                  <c:v>0.33063889320614281</c:v>
                </c:pt>
                <c:pt idx="170">
                  <c:v>0.33219673804347349</c:v>
                </c:pt>
                <c:pt idx="171">
                  <c:v>0.33376416086360838</c:v>
                </c:pt>
                <c:pt idx="172">
                  <c:v>0.33534116865463892</c:v>
                </c:pt>
                <c:pt idx="173">
                  <c:v>0.33692776844999667</c:v>
                </c:pt>
                <c:pt idx="174">
                  <c:v>0.33852396732853274</c:v>
                </c:pt>
                <c:pt idx="175">
                  <c:v>0.34012977241459791</c:v>
                </c:pt>
                <c:pt idx="176">
                  <c:v>0.34174519087812327</c:v>
                </c:pt>
                <c:pt idx="177">
                  <c:v>0.34337022993470151</c:v>
                </c:pt>
                <c:pt idx="178">
                  <c:v>0.34500489684566826</c:v>
                </c:pt>
                <c:pt idx="179">
                  <c:v>0.3466491989181848</c:v>
                </c:pt>
                <c:pt idx="180">
                  <c:v>0.34830314350532099</c:v>
                </c:pt>
                <c:pt idx="181">
                  <c:v>0.34996673800613809</c:v>
                </c:pt>
                <c:pt idx="182">
                  <c:v>0.35163998986577349</c:v>
                </c:pt>
                <c:pt idx="183">
                  <c:v>0.35332290657552501</c:v>
                </c:pt>
                <c:pt idx="184">
                  <c:v>0.35501549567293572</c:v>
                </c:pt>
                <c:pt idx="185">
                  <c:v>0.35671776474188011</c:v>
                </c:pt>
                <c:pt idx="186">
                  <c:v>0.35842972141265017</c:v>
                </c:pt>
                <c:pt idx="187">
                  <c:v>0.36015137336204239</c:v>
                </c:pt>
                <c:pt idx="188">
                  <c:v>0.36188272831344492</c:v>
                </c:pt>
                <c:pt idx="189">
                  <c:v>0.36362379403692613</c:v>
                </c:pt>
                <c:pt idx="190">
                  <c:v>0.36537457834932252</c:v>
                </c:pt>
                <c:pt idx="191">
                  <c:v>0.36713508911432857</c:v>
                </c:pt>
                <c:pt idx="192">
                  <c:v>0.36890533424258609</c:v>
                </c:pt>
                <c:pt idx="193">
                  <c:v>0.37068532169177459</c:v>
                </c:pt>
                <c:pt idx="194">
                  <c:v>0.37247505946670301</c:v>
                </c:pt>
                <c:pt idx="195">
                  <c:v>0.37427455561939971</c:v>
                </c:pt>
                <c:pt idx="196">
                  <c:v>0.37608381824920656</c:v>
                </c:pt>
                <c:pt idx="197">
                  <c:v>0.37790285550286995</c:v>
                </c:pt>
                <c:pt idx="198">
                  <c:v>0.37973167557463516</c:v>
                </c:pt>
                <c:pt idx="199">
                  <c:v>0.3815702867063403</c:v>
                </c:pt>
                <c:pt idx="200">
                  <c:v>0.38341869718751015</c:v>
                </c:pt>
              </c:numCache>
            </c:numRef>
          </c:val>
          <c:smooth val="0"/>
          <c:extLst>
            <c:ext xmlns:c16="http://schemas.microsoft.com/office/drawing/2014/chart" uri="{C3380CC4-5D6E-409C-BE32-E72D297353CC}">
              <c16:uniqueId val="{00000001-7890-472B-AAE1-D1CB0E55BFDF}"/>
            </c:ext>
          </c:extLst>
        </c:ser>
        <c:ser>
          <c:idx val="2"/>
          <c:order val="2"/>
          <c:tx>
            <c:v> High-Side MOSFET Loss</c:v>
          </c:tx>
          <c:spPr>
            <a:ln w="38100">
              <a:solidFill>
                <a:srgbClr val="808000"/>
              </a:solidFill>
              <a:prstDash val="sysDash"/>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Calculations'!$AC$9:$AC$209</c:f>
              <c:numCache>
                <c:formatCode>0.0000</c:formatCode>
                <c:ptCount val="201"/>
                <c:pt idx="0">
                  <c:v>5.4535254251392155E-2</c:v>
                </c:pt>
                <c:pt idx="1">
                  <c:v>6.0731523313468254E-2</c:v>
                </c:pt>
                <c:pt idx="2">
                  <c:v>6.6930121578489737E-2</c:v>
                </c:pt>
                <c:pt idx="3">
                  <c:v>7.3131058040842203E-2</c:v>
                </c:pt>
                <c:pt idx="4">
                  <c:v>7.933434170359617E-2</c:v>
                </c:pt>
                <c:pt idx="5">
                  <c:v>8.5539981578551069E-2</c:v>
                </c:pt>
                <c:pt idx="6">
                  <c:v>9.1747986686278329E-2</c:v>
                </c:pt>
                <c:pt idx="7">
                  <c:v>9.7958366056165314E-2</c:v>
                </c:pt>
                <c:pt idx="8">
                  <c:v>0.10417112872645912</c:v>
                </c:pt>
                <c:pt idx="9">
                  <c:v>0.11038628374430987</c:v>
                </c:pt>
                <c:pt idx="10">
                  <c:v>0.1166038401658152</c:v>
                </c:pt>
                <c:pt idx="11">
                  <c:v>0.12282380705606384</c:v>
                </c:pt>
                <c:pt idx="12">
                  <c:v>0.12904619348917962</c:v>
                </c:pt>
                <c:pt idx="13">
                  <c:v>0.13527100854836591</c:v>
                </c:pt>
                <c:pt idx="14">
                  <c:v>0.14149826132594945</c:v>
                </c:pt>
                <c:pt idx="15">
                  <c:v>0.14772796092342466</c:v>
                </c:pt>
                <c:pt idx="16">
                  <c:v>0.15396011645149826</c:v>
                </c:pt>
                <c:pt idx="17">
                  <c:v>0.16019473703013359</c:v>
                </c:pt>
                <c:pt idx="18">
                  <c:v>0.16643183178859483</c:v>
                </c:pt>
                <c:pt idx="19">
                  <c:v>0.17267140986549195</c:v>
                </c:pt>
                <c:pt idx="20">
                  <c:v>0.17891348040882527</c:v>
                </c:pt>
                <c:pt idx="21">
                  <c:v>0.18515805257603016</c:v>
                </c:pt>
                <c:pt idx="22">
                  <c:v>0.19140513553402216</c:v>
                </c:pt>
                <c:pt idx="23">
                  <c:v>0.1950683592511718</c:v>
                </c:pt>
                <c:pt idx="24">
                  <c:v>0.1973731949065039</c:v>
                </c:pt>
                <c:pt idx="25">
                  <c:v>0.19968047865326222</c:v>
                </c:pt>
                <c:pt idx="26">
                  <c:v>0.20199021423044752</c:v>
                </c:pt>
                <c:pt idx="27">
                  <c:v>0.20430240538484226</c:v>
                </c:pt>
                <c:pt idx="28">
                  <c:v>0.20661705587103041</c:v>
                </c:pt>
                <c:pt idx="29">
                  <c:v>0.20893416945141749</c:v>
                </c:pt>
                <c:pt idx="30">
                  <c:v>0.21125374989625056</c:v>
                </c:pt>
                <c:pt idx="31">
                  <c:v>0.21357580098363857</c:v>
                </c:pt>
                <c:pt idx="32">
                  <c:v>0.21590032649957222</c:v>
                </c:pt>
                <c:pt idx="33">
                  <c:v>0.21822733023794447</c:v>
                </c:pt>
                <c:pt idx="34">
                  <c:v>0.22055681600057059</c:v>
                </c:pt>
                <c:pt idx="35">
                  <c:v>0.22288878759720882</c:v>
                </c:pt>
                <c:pt idx="36">
                  <c:v>0.22522324884558056</c:v>
                </c:pt>
                <c:pt idx="37">
                  <c:v>0.22756020357139098</c:v>
                </c:pt>
                <c:pt idx="38">
                  <c:v>0.22989965560834963</c:v>
                </c:pt>
                <c:pt idx="39">
                  <c:v>0.23224160879819092</c:v>
                </c:pt>
                <c:pt idx="40">
                  <c:v>0.23458606699069492</c:v>
                </c:pt>
                <c:pt idx="41">
                  <c:v>0.23693303404370805</c:v>
                </c:pt>
                <c:pt idx="42">
                  <c:v>0.23928251382316401</c:v>
                </c:pt>
                <c:pt idx="43">
                  <c:v>0.24163451020310464</c:v>
                </c:pt>
                <c:pt idx="44">
                  <c:v>0.24398902706570061</c:v>
                </c:pt>
                <c:pt idx="45">
                  <c:v>0.24634606830127279</c:v>
                </c:pt>
                <c:pt idx="46">
                  <c:v>0.24870563780831334</c:v>
                </c:pt>
                <c:pt idx="47">
                  <c:v>0.25106773949350641</c:v>
                </c:pt>
                <c:pt idx="48">
                  <c:v>0.25343237727174989</c:v>
                </c:pt>
                <c:pt idx="49">
                  <c:v>0.25579955506617646</c:v>
                </c:pt>
                <c:pt idx="50">
                  <c:v>0.2581692768081747</c:v>
                </c:pt>
                <c:pt idx="51">
                  <c:v>0.26054154643741101</c:v>
                </c:pt>
                <c:pt idx="52">
                  <c:v>0.2629163679018508</c:v>
                </c:pt>
                <c:pt idx="53">
                  <c:v>0.26529374515778004</c:v>
                </c:pt>
                <c:pt idx="54">
                  <c:v>0.26767368216982684</c:v>
                </c:pt>
                <c:pt idx="55">
                  <c:v>0.27005618291098332</c:v>
                </c:pt>
                <c:pt idx="56">
                  <c:v>0.27244125136262726</c:v>
                </c:pt>
                <c:pt idx="57">
                  <c:v>0.27482889151454382</c:v>
                </c:pt>
                <c:pt idx="58">
                  <c:v>0.2772191073649477</c:v>
                </c:pt>
                <c:pt idx="59">
                  <c:v>0.27961190292050486</c:v>
                </c:pt>
                <c:pt idx="60">
                  <c:v>0.28200728219635474</c:v>
                </c:pt>
                <c:pt idx="61">
                  <c:v>0.28440524921613197</c:v>
                </c:pt>
                <c:pt idx="62">
                  <c:v>0.28680580801198929</c:v>
                </c:pt>
                <c:pt idx="63">
                  <c:v>0.28920896262461904</c:v>
                </c:pt>
                <c:pt idx="64">
                  <c:v>0.29161471710327574</c:v>
                </c:pt>
                <c:pt idx="65">
                  <c:v>0.29402307550579876</c:v>
                </c:pt>
                <c:pt idx="66">
                  <c:v>0.29643404189863443</c:v>
                </c:pt>
                <c:pt idx="67">
                  <c:v>0.29884762035685847</c:v>
                </c:pt>
                <c:pt idx="68">
                  <c:v>0.30126381496419891</c:v>
                </c:pt>
                <c:pt idx="69">
                  <c:v>0.30368262981305877</c:v>
                </c:pt>
                <c:pt idx="70">
                  <c:v>0.30610406900453846</c:v>
                </c:pt>
                <c:pt idx="71">
                  <c:v>0.30852813664845907</c:v>
                </c:pt>
                <c:pt idx="72">
                  <c:v>0.31095483686338476</c:v>
                </c:pt>
                <c:pt idx="73">
                  <c:v>0.31338417377664585</c:v>
                </c:pt>
                <c:pt idx="74">
                  <c:v>0.31581615152436221</c:v>
                </c:pt>
                <c:pt idx="75">
                  <c:v>0.31825077425146614</c:v>
                </c:pt>
                <c:pt idx="76">
                  <c:v>0.3206880461117253</c:v>
                </c:pt>
                <c:pt idx="77">
                  <c:v>0.32312797126776621</c:v>
                </c:pt>
                <c:pt idx="78">
                  <c:v>0.32557055389109768</c:v>
                </c:pt>
                <c:pt idx="79">
                  <c:v>0.32801579816213411</c:v>
                </c:pt>
                <c:pt idx="80">
                  <c:v>0.33046370827021881</c:v>
                </c:pt>
                <c:pt idx="81">
                  <c:v>0.33291428841364767</c:v>
                </c:pt>
                <c:pt idx="82">
                  <c:v>0.335367542799693</c:v>
                </c:pt>
                <c:pt idx="83">
                  <c:v>0.337823475644627</c:v>
                </c:pt>
                <c:pt idx="84">
                  <c:v>0.34028209117374536</c:v>
                </c:pt>
                <c:pt idx="85">
                  <c:v>0.34274339362139161</c:v>
                </c:pt>
                <c:pt idx="86">
                  <c:v>0.34520738723098066</c:v>
                </c:pt>
                <c:pt idx="87">
                  <c:v>0.34767407625502289</c:v>
                </c:pt>
                <c:pt idx="88">
                  <c:v>0.35014346495514848</c:v>
                </c:pt>
                <c:pt idx="89">
                  <c:v>0.35261555760213109</c:v>
                </c:pt>
                <c:pt idx="90">
                  <c:v>0.35509035847591242</c:v>
                </c:pt>
                <c:pt idx="91">
                  <c:v>0.35756787186562689</c:v>
                </c:pt>
                <c:pt idx="92">
                  <c:v>0.36004810206962523</c:v>
                </c:pt>
                <c:pt idx="93">
                  <c:v>0.36253105339549935</c:v>
                </c:pt>
                <c:pt idx="94">
                  <c:v>0.36501673016010705</c:v>
                </c:pt>
                <c:pt idx="95">
                  <c:v>0.36750513668959678</c:v>
                </c:pt>
                <c:pt idx="96">
                  <c:v>0.36999627731943163</c:v>
                </c:pt>
                <c:pt idx="97">
                  <c:v>0.3724901563944148</c:v>
                </c:pt>
                <c:pt idx="98">
                  <c:v>0.37498677826871424</c:v>
                </c:pt>
                <c:pt idx="99">
                  <c:v>0.3774861473058877</c:v>
                </c:pt>
                <c:pt idx="100">
                  <c:v>0.37998826787890738</c:v>
                </c:pt>
                <c:pt idx="101">
                  <c:v>0.38249314437018583</c:v>
                </c:pt>
                <c:pt idx="102">
                  <c:v>0.38500078117160019</c:v>
                </c:pt>
                <c:pt idx="103">
                  <c:v>0.38751118268451823</c:v>
                </c:pt>
                <c:pt idx="104">
                  <c:v>0.39002435331982338</c:v>
                </c:pt>
                <c:pt idx="105">
                  <c:v>0.39254029749794017</c:v>
                </c:pt>
                <c:pt idx="106">
                  <c:v>0.3950590196488597</c:v>
                </c:pt>
                <c:pt idx="107">
                  <c:v>0.39758052421216539</c:v>
                </c:pt>
                <c:pt idx="108">
                  <c:v>0.40010481563705885</c:v>
                </c:pt>
                <c:pt idx="109">
                  <c:v>0.40263189838238511</c:v>
                </c:pt>
                <c:pt idx="110">
                  <c:v>0.40516177691665889</c:v>
                </c:pt>
                <c:pt idx="111">
                  <c:v>0.40769445571809043</c:v>
                </c:pt>
                <c:pt idx="112">
                  <c:v>0.41022993927461165</c:v>
                </c:pt>
                <c:pt idx="113">
                  <c:v>0.41276823208390206</c:v>
                </c:pt>
                <c:pt idx="114">
                  <c:v>0.41530933865341491</c:v>
                </c:pt>
                <c:pt idx="115">
                  <c:v>0.41785326350040353</c:v>
                </c:pt>
                <c:pt idx="116">
                  <c:v>0.42040001115194814</c:v>
                </c:pt>
                <c:pt idx="117">
                  <c:v>0.42294958614498146</c:v>
                </c:pt>
                <c:pt idx="118">
                  <c:v>0.42550199302631603</c:v>
                </c:pt>
                <c:pt idx="119">
                  <c:v>0.42805723635267018</c:v>
                </c:pt>
                <c:pt idx="120">
                  <c:v>0.43061532069069547</c:v>
                </c:pt>
                <c:pt idx="121">
                  <c:v>0.43317625061700271</c:v>
                </c:pt>
                <c:pt idx="122">
                  <c:v>0.43574003071818918</c:v>
                </c:pt>
                <c:pt idx="123">
                  <c:v>0.4383066655908659</c:v>
                </c:pt>
                <c:pt idx="124">
                  <c:v>0.44087615984168443</c:v>
                </c:pt>
                <c:pt idx="125">
                  <c:v>0.44344851808736357</c:v>
                </c:pt>
                <c:pt idx="126">
                  <c:v>0.44602374495471775</c:v>
                </c:pt>
                <c:pt idx="127">
                  <c:v>0.44860184508068301</c:v>
                </c:pt>
                <c:pt idx="128">
                  <c:v>0.45118282311234525</c:v>
                </c:pt>
                <c:pt idx="129">
                  <c:v>0.45376668370696766</c:v>
                </c:pt>
                <c:pt idx="130">
                  <c:v>0.45635343153201818</c:v>
                </c:pt>
                <c:pt idx="131">
                  <c:v>0.45894307126519696</c:v>
                </c:pt>
                <c:pt idx="132">
                  <c:v>0.46153560759446471</c:v>
                </c:pt>
                <c:pt idx="133">
                  <c:v>0.46413104521807003</c:v>
                </c:pt>
                <c:pt idx="134">
                  <c:v>0.46672938884457749</c:v>
                </c:pt>
                <c:pt idx="135">
                  <c:v>0.46933064319289614</c:v>
                </c:pt>
                <c:pt idx="136">
                  <c:v>0.47193481299230683</c:v>
                </c:pt>
                <c:pt idx="137">
                  <c:v>0.47454190298249127</c:v>
                </c:pt>
                <c:pt idx="138">
                  <c:v>0.47715191791355965</c:v>
                </c:pt>
                <c:pt idx="139">
                  <c:v>0.47976486254608008</c:v>
                </c:pt>
                <c:pt idx="140">
                  <c:v>0.48238074165110545</c:v>
                </c:pt>
                <c:pt idx="141">
                  <c:v>0.48499956001020383</c:v>
                </c:pt>
                <c:pt idx="142">
                  <c:v>0.487621322415486</c:v>
                </c:pt>
                <c:pt idx="143">
                  <c:v>0.49024603366963465</c:v>
                </c:pt>
                <c:pt idx="144">
                  <c:v>0.4928736985859335</c:v>
                </c:pt>
                <c:pt idx="145">
                  <c:v>0.49550432198829558</c:v>
                </c:pt>
                <c:pt idx="146">
                  <c:v>0.49813790871129332</c:v>
                </c:pt>
                <c:pt idx="147">
                  <c:v>0.50077446360018651</c:v>
                </c:pt>
                <c:pt idx="148">
                  <c:v>0.50341399151095312</c:v>
                </c:pt>
                <c:pt idx="149">
                  <c:v>0.50605649731031699</c:v>
                </c:pt>
                <c:pt idx="150">
                  <c:v>0.50870198587577897</c:v>
                </c:pt>
                <c:pt idx="151">
                  <c:v>0.51135046209564472</c:v>
                </c:pt>
                <c:pt idx="152">
                  <c:v>0.5140019308690561</c:v>
                </c:pt>
                <c:pt idx="153">
                  <c:v>0.51665639710601952</c:v>
                </c:pt>
                <c:pt idx="154">
                  <c:v>0.51931386572743699</c:v>
                </c:pt>
                <c:pt idx="155">
                  <c:v>0.52197434166513512</c:v>
                </c:pt>
                <c:pt idx="156">
                  <c:v>0.52463782986189611</c:v>
                </c:pt>
                <c:pt idx="157">
                  <c:v>0.52730433527148668</c:v>
                </c:pt>
                <c:pt idx="158">
                  <c:v>0.52997386285868975</c:v>
                </c:pt>
                <c:pt idx="159">
                  <c:v>0.53264641759933384</c:v>
                </c:pt>
                <c:pt idx="160">
                  <c:v>0.53532200448032352</c:v>
                </c:pt>
                <c:pt idx="161">
                  <c:v>0.5380006284996709</c:v>
                </c:pt>
                <c:pt idx="162">
                  <c:v>0.5406822946665254</c:v>
                </c:pt>
                <c:pt idx="163">
                  <c:v>0.54336700800120441</c:v>
                </c:pt>
                <c:pt idx="164">
                  <c:v>0.54605477353522525</c:v>
                </c:pt>
                <c:pt idx="165">
                  <c:v>0.54874559631133502</c:v>
                </c:pt>
                <c:pt idx="166">
                  <c:v>0.55143948138354226</c:v>
                </c:pt>
                <c:pt idx="167">
                  <c:v>0.55413643381714806</c:v>
                </c:pt>
                <c:pt idx="168">
                  <c:v>0.55683645868877718</c:v>
                </c:pt>
                <c:pt idx="169">
                  <c:v>0.55953956108640968</c:v>
                </c:pt>
                <c:pt idx="170">
                  <c:v>0.56224574610941191</c:v>
                </c:pt>
                <c:pt idx="171">
                  <c:v>0.56495501886856958</c:v>
                </c:pt>
                <c:pt idx="172">
                  <c:v>0.56766738448611709</c:v>
                </c:pt>
                <c:pt idx="173">
                  <c:v>0.57038284809577144</c:v>
                </c:pt>
                <c:pt idx="174">
                  <c:v>0.57310141484276311</c:v>
                </c:pt>
                <c:pt idx="175">
                  <c:v>0.57582308988386866</c:v>
                </c:pt>
                <c:pt idx="176">
                  <c:v>0.57854787838744226</c:v>
                </c:pt>
                <c:pt idx="177">
                  <c:v>0.58127578553344861</c:v>
                </c:pt>
                <c:pt idx="178">
                  <c:v>0.58400681651349418</c:v>
                </c:pt>
                <c:pt idx="179">
                  <c:v>0.58674097653086155</c:v>
                </c:pt>
                <c:pt idx="180">
                  <c:v>0.58947827080054027</c:v>
                </c:pt>
                <c:pt idx="181">
                  <c:v>0.59221870454925973</c:v>
                </c:pt>
                <c:pt idx="182">
                  <c:v>0.59496228301552334</c:v>
                </c:pt>
                <c:pt idx="183">
                  <c:v>0.59770901144963995</c:v>
                </c:pt>
                <c:pt idx="184">
                  <c:v>0.6004588951137575</c:v>
                </c:pt>
                <c:pt idx="185">
                  <c:v>0.60321193928189587</c:v>
                </c:pt>
                <c:pt idx="186">
                  <c:v>0.60596814923998044</c:v>
                </c:pt>
                <c:pt idx="187">
                  <c:v>0.60872753028587512</c:v>
                </c:pt>
                <c:pt idx="188">
                  <c:v>0.6114900877294166</c:v>
                </c:pt>
                <c:pt idx="189">
                  <c:v>0.61425582689244673</c:v>
                </c:pt>
                <c:pt idx="190">
                  <c:v>0.61702475310884675</c:v>
                </c:pt>
                <c:pt idx="191">
                  <c:v>0.61979687172457176</c:v>
                </c:pt>
                <c:pt idx="192">
                  <c:v>0.62257218809768378</c:v>
                </c:pt>
                <c:pt idx="193">
                  <c:v>0.62535070759838551</c:v>
                </c:pt>
                <c:pt idx="194">
                  <c:v>0.62813243560905585</c:v>
                </c:pt>
                <c:pt idx="195">
                  <c:v>0.63091737752428267</c:v>
                </c:pt>
                <c:pt idx="196">
                  <c:v>0.63370553875089841</c:v>
                </c:pt>
                <c:pt idx="197">
                  <c:v>0.63649692470801389</c:v>
                </c:pt>
                <c:pt idx="198">
                  <c:v>0.63929154082705264</c:v>
                </c:pt>
                <c:pt idx="199">
                  <c:v>0.64208939255178654</c:v>
                </c:pt>
                <c:pt idx="200">
                  <c:v>0.64489048533837046</c:v>
                </c:pt>
              </c:numCache>
            </c:numRef>
          </c:val>
          <c:smooth val="0"/>
          <c:extLst>
            <c:ext xmlns:c16="http://schemas.microsoft.com/office/drawing/2014/chart" uri="{C3380CC4-5D6E-409C-BE32-E72D297353CC}">
              <c16:uniqueId val="{00000002-7890-472B-AAE1-D1CB0E55BFDF}"/>
            </c:ext>
          </c:extLst>
        </c:ser>
        <c:ser>
          <c:idx val="1"/>
          <c:order val="3"/>
          <c:tx>
            <c:v> Low-Side MOSFET Loss</c:v>
          </c:tx>
          <c:spPr>
            <a:ln w="38100">
              <a:solidFill>
                <a:srgbClr val="002060"/>
              </a:solidFill>
              <a:prstDash val="sysDot"/>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Calculations'!$AG$9:$AG$209</c:f>
              <c:numCache>
                <c:formatCode>0.0000</c:formatCode>
                <c:ptCount val="201"/>
                <c:pt idx="0">
                  <c:v>5.5259789883618767E-3</c:v>
                </c:pt>
                <c:pt idx="1">
                  <c:v>5.746658394402763E-3</c:v>
                </c:pt>
                <c:pt idx="2">
                  <c:v>5.9758541211522558E-3</c:v>
                </c:pt>
                <c:pt idx="3">
                  <c:v>6.213566957788021E-3</c:v>
                </c:pt>
                <c:pt idx="4">
                  <c:v>6.4597977803452994E-3</c:v>
                </c:pt>
                <c:pt idx="5">
                  <c:v>6.7145475517260654E-3</c:v>
                </c:pt>
                <c:pt idx="6">
                  <c:v>6.9778173217104273E-3</c:v>
                </c:pt>
                <c:pt idx="7">
                  <c:v>7.2496082269702059E-3</c:v>
                </c:pt>
                <c:pt idx="8">
                  <c:v>7.529921491084746E-3</c:v>
                </c:pt>
                <c:pt idx="9">
                  <c:v>7.8187584245589629E-3</c:v>
                </c:pt>
                <c:pt idx="10">
                  <c:v>8.1161204248435537E-3</c:v>
                </c:pt>
                <c:pt idx="11">
                  <c:v>8.4220089763574896E-3</c:v>
                </c:pt>
                <c:pt idx="12">
                  <c:v>8.7364256505126844E-3</c:v>
                </c:pt>
                <c:pt idx="13">
                  <c:v>9.0593721057408774E-3</c:v>
                </c:pt>
                <c:pt idx="14">
                  <c:v>9.3908500875227782E-3</c:v>
                </c:pt>
                <c:pt idx="15">
                  <c:v>9.7308614284193889E-3</c:v>
                </c:pt>
                <c:pt idx="16">
                  <c:v>1.0079408048105566E-2</c:v>
                </c:pt>
                <c:pt idx="17">
                  <c:v>1.0436491953405813E-2</c:v>
                </c:pt>
                <c:pt idx="18">
                  <c:v>1.0802115238332279E-2</c:v>
                </c:pt>
                <c:pt idx="19">
                  <c:v>1.1176280084125004E-2</c:v>
                </c:pt>
                <c:pt idx="20">
                  <c:v>1.1558988759294375E-2</c:v>
                </c:pt>
                <c:pt idx="21">
                  <c:v>1.1950243619665827E-2</c:v>
                </c:pt>
                <c:pt idx="22">
                  <c:v>1.2350047108426755E-2</c:v>
                </c:pt>
                <c:pt idx="23">
                  <c:v>1.2899812813652363E-2</c:v>
                </c:pt>
                <c:pt idx="24">
                  <c:v>1.3532551272229241E-2</c:v>
                </c:pt>
                <c:pt idx="25">
                  <c:v>1.4173864450440438E-2</c:v>
                </c:pt>
                <c:pt idx="26">
                  <c:v>1.4823756244523744E-2</c:v>
                </c:pt>
                <c:pt idx="27">
                  <c:v>1.5482230638655111E-2</c:v>
                </c:pt>
                <c:pt idx="28">
                  <c:v>1.6149291705027789E-2</c:v>
                </c:pt>
                <c:pt idx="29">
                  <c:v>1.682494360393377E-2</c:v>
                </c:pt>
                <c:pt idx="30">
                  <c:v>1.7509190583847461E-2</c:v>
                </c:pt>
                <c:pt idx="31">
                  <c:v>1.820203698151163E-2</c:v>
                </c:pt>
                <c:pt idx="32">
                  <c:v>1.8903487222025634E-2</c:v>
                </c:pt>
                <c:pt idx="33">
                  <c:v>1.9613545818935905E-2</c:v>
                </c:pt>
                <c:pt idx="34">
                  <c:v>2.0332217374328734E-2</c:v>
                </c:pt>
                <c:pt idx="35">
                  <c:v>2.1059506578925288E-2</c:v>
                </c:pt>
                <c:pt idx="36">
                  <c:v>2.1795418212178994E-2</c:v>
                </c:pt>
                <c:pt idx="37">
                  <c:v>2.2539957142375076E-2</c:v>
                </c:pt>
                <c:pt idx="38">
                  <c:v>2.3293128326732578E-2</c:v>
                </c:pt>
                <c:pt idx="39">
                  <c:v>2.4054936811508464E-2</c:v>
                </c:pt>
                <c:pt idx="40">
                  <c:v>2.4825387732104222E-2</c:v>
                </c:pt>
                <c:pt idx="41">
                  <c:v>2.5604486313174583E-2</c:v>
                </c:pt>
                <c:pt idx="42">
                  <c:v>2.6392237868738785E-2</c:v>
                </c:pt>
                <c:pt idx="43">
                  <c:v>2.718864780229386E-2</c:v>
                </c:pt>
                <c:pt idx="44">
                  <c:v>2.7993721606930526E-2</c:v>
                </c:pt>
                <c:pt idx="45">
                  <c:v>2.8807464865451181E-2</c:v>
                </c:pt>
                <c:pt idx="46">
                  <c:v>2.9629883250490395E-2</c:v>
                </c:pt>
                <c:pt idx="47">
                  <c:v>3.0460982524637616E-2</c:v>
                </c:pt>
                <c:pt idx="48">
                  <c:v>3.1300768540562282E-2</c:v>
                </c:pt>
                <c:pt idx="49">
                  <c:v>3.2149247241141266E-2</c:v>
                </c:pt>
                <c:pt idx="50">
                  <c:v>3.3006424659588647E-2</c:v>
                </c:pt>
                <c:pt idx="51">
                  <c:v>3.387230691958789E-2</c:v>
                </c:pt>
                <c:pt idx="52">
                  <c:v>3.4746900235426349E-2</c:v>
                </c:pt>
                <c:pt idx="53">
                  <c:v>3.5630210912132115E-2</c:v>
                </c:pt>
                <c:pt idx="54">
                  <c:v>3.6522245345613373E-2</c:v>
                </c:pt>
                <c:pt idx="55">
                  <c:v>3.7423010022799894E-2</c:v>
                </c:pt>
                <c:pt idx="56">
                  <c:v>3.8332511521787217E-2</c:v>
                </c:pt>
                <c:pt idx="57">
                  <c:v>3.9250756511982954E-2</c:v>
                </c:pt>
                <c:pt idx="58">
                  <c:v>4.0177751754255649E-2</c:v>
                </c:pt>
                <c:pt idx="59">
                  <c:v>4.1113504101086079E-2</c:v>
                </c:pt>
                <c:pt idx="60">
                  <c:v>4.2058020496720729E-2</c:v>
                </c:pt>
                <c:pt idx="61">
                  <c:v>4.3011307977328064E-2</c:v>
                </c:pt>
                <c:pt idx="62">
                  <c:v>4.3973373671156842E-2</c:v>
                </c:pt>
                <c:pt idx="63">
                  <c:v>4.4944224798697148E-2</c:v>
                </c:pt>
                <c:pt idx="64">
                  <c:v>4.5923868672843732E-2</c:v>
                </c:pt>
                <c:pt idx="65">
                  <c:v>4.691231269906182E-2</c:v>
                </c:pt>
                <c:pt idx="66">
                  <c:v>4.7909564375555394E-2</c:v>
                </c:pt>
                <c:pt idx="67">
                  <c:v>4.8915631293437956E-2</c:v>
                </c:pt>
                <c:pt idx="68">
                  <c:v>4.9930521136905652E-2</c:v>
                </c:pt>
                <c:pt idx="69">
                  <c:v>5.0954241683413115E-2</c:v>
                </c:pt>
                <c:pt idx="70">
                  <c:v>5.1986800803851513E-2</c:v>
                </c:pt>
                <c:pt idx="71">
                  <c:v>5.3028206462729301E-2</c:v>
                </c:pt>
                <c:pt idx="72">
                  <c:v>5.4078466718355346E-2</c:v>
                </c:pt>
                <c:pt idx="73">
                  <c:v>5.5137589723024634E-2</c:v>
                </c:pt>
                <c:pt idx="74">
                  <c:v>5.620558372320654E-2</c:v>
                </c:pt>
                <c:pt idx="75">
                  <c:v>5.7282457059735538E-2</c:v>
                </c:pt>
                <c:pt idx="76">
                  <c:v>5.8368218168004415E-2</c:v>
                </c:pt>
                <c:pt idx="77">
                  <c:v>5.9462875578160178E-2</c:v>
                </c:pt>
                <c:pt idx="78">
                  <c:v>6.0566437915302487E-2</c:v>
                </c:pt>
                <c:pt idx="79">
                  <c:v>6.1678913899684502E-2</c:v>
                </c:pt>
                <c:pt idx="80">
                  <c:v>6.2800312346916437E-2</c:v>
                </c:pt>
                <c:pt idx="81">
                  <c:v>6.3930642168171667E-2</c:v>
                </c:pt>
                <c:pt idx="82">
                  <c:v>6.5069912370395486E-2</c:v>
                </c:pt>
                <c:pt idx="83">
                  <c:v>6.621813205651636E-2</c:v>
                </c:pt>
                <c:pt idx="84">
                  <c:v>6.7375310425659918E-2</c:v>
                </c:pt>
                <c:pt idx="85">
                  <c:v>6.8541456773365303E-2</c:v>
                </c:pt>
                <c:pt idx="86">
                  <c:v>6.9716580491804625E-2</c:v>
                </c:pt>
                <c:pt idx="87">
                  <c:v>7.0900691070004518E-2</c:v>
                </c:pt>
                <c:pt idx="88">
                  <c:v>7.2093798094070821E-2</c:v>
                </c:pt>
                <c:pt idx="89">
                  <c:v>7.3295911247415538E-2</c:v>
                </c:pt>
                <c:pt idx="90">
                  <c:v>7.4507040310986816E-2</c:v>
                </c:pt>
                <c:pt idx="91">
                  <c:v>7.5727195163501251E-2</c:v>
                </c:pt>
                <c:pt idx="92">
                  <c:v>7.6956385781679279E-2</c:v>
                </c:pt>
                <c:pt idx="93">
                  <c:v>7.8194622240482889E-2</c:v>
                </c:pt>
                <c:pt idx="94">
                  <c:v>7.9441914713356404E-2</c:v>
                </c:pt>
                <c:pt idx="95">
                  <c:v>8.0698273472469634E-2</c:v>
                </c:pt>
                <c:pt idx="96">
                  <c:v>8.1963708888964176E-2</c:v>
                </c:pt>
                <c:pt idx="97">
                  <c:v>8.3238231433202095E-2</c:v>
                </c:pt>
                <c:pt idx="98">
                  <c:v>8.4521851675017551E-2</c:v>
                </c:pt>
                <c:pt idx="99">
                  <c:v>8.5814580283971251E-2</c:v>
                </c:pt>
                <c:pt idx="100">
                  <c:v>8.711642802960759E-2</c:v>
                </c:pt>
                <c:pt idx="101">
                  <c:v>8.8427405781714444E-2</c:v>
                </c:pt>
                <c:pt idx="102">
                  <c:v>8.9747524510586221E-2</c:v>
                </c:pt>
                <c:pt idx="103">
                  <c:v>9.1076795287289375E-2</c:v>
                </c:pt>
                <c:pt idx="104">
                  <c:v>9.2415229283930686E-2</c:v>
                </c:pt>
                <c:pt idx="105">
                  <c:v>9.3762837773928742E-2</c:v>
                </c:pt>
                <c:pt idx="106">
                  <c:v>9.5119632132287982E-2</c:v>
                </c:pt>
                <c:pt idx="107">
                  <c:v>9.6485623835875847E-2</c:v>
                </c:pt>
                <c:pt idx="108">
                  <c:v>9.786082446370252E-2</c:v>
                </c:pt>
                <c:pt idx="109">
                  <c:v>9.9245245697203929E-2</c:v>
                </c:pt>
                <c:pt idx="110">
                  <c:v>0.10063889932052734</c:v>
                </c:pt>
                <c:pt idx="111">
                  <c:v>0.10204179722082014</c:v>
                </c:pt>
                <c:pt idx="112">
                  <c:v>0.10345395138852138</c:v>
                </c:pt>
                <c:pt idx="113">
                  <c:v>0.10487537391765635</c:v>
                </c:pt>
                <c:pt idx="114">
                  <c:v>0.10630607700613419</c:v>
                </c:pt>
                <c:pt idx="115">
                  <c:v>0.10774607295604829</c:v>
                </c:pt>
                <c:pt idx="116">
                  <c:v>0.10919537417397997</c:v>
                </c:pt>
                <c:pt idx="117">
                  <c:v>0.11065399317130496</c:v>
                </c:pt>
                <c:pt idx="118">
                  <c:v>0.11212194256450286</c:v>
                </c:pt>
                <c:pt idx="119">
                  <c:v>0.11359923507546998</c:v>
                </c:pt>
                <c:pt idx="120">
                  <c:v>0.11508588353183485</c:v>
                </c:pt>
                <c:pt idx="121">
                  <c:v>0.11658190086727714</c:v>
                </c:pt>
                <c:pt idx="122">
                  <c:v>0.11808730012184929</c:v>
                </c:pt>
                <c:pt idx="123">
                  <c:v>0.11960209444230169</c:v>
                </c:pt>
                <c:pt idx="124">
                  <c:v>0.12112629708241059</c:v>
                </c:pt>
                <c:pt idx="125">
                  <c:v>0.1226599214033094</c:v>
                </c:pt>
                <c:pt idx="126">
                  <c:v>0.12420298087382316</c:v>
                </c:pt>
                <c:pt idx="127">
                  <c:v>0.12575548907080583</c:v>
                </c:pt>
                <c:pt idx="128">
                  <c:v>0.12731745967948135</c:v>
                </c:pt>
                <c:pt idx="129">
                  <c:v>0.12888890649378723</c:v>
                </c:pt>
                <c:pt idx="130">
                  <c:v>0.13046984341672196</c:v>
                </c:pt>
                <c:pt idx="131">
                  <c:v>0.1320602844606954</c:v>
                </c:pt>
                <c:pt idx="132">
                  <c:v>0.1336602437478823</c:v>
                </c:pt>
                <c:pt idx="133">
                  <c:v>0.13526973551057936</c:v>
                </c:pt>
                <c:pt idx="134">
                  <c:v>0.13688877409156539</c:v>
                </c:pt>
                <c:pt idx="135">
                  <c:v>0.13851737394446484</c:v>
                </c:pt>
                <c:pt idx="136">
                  <c:v>0.14015554963411458</c:v>
                </c:pt>
                <c:pt idx="137">
                  <c:v>0.14180331583693448</c:v>
                </c:pt>
                <c:pt idx="138">
                  <c:v>0.1434606873413003</c:v>
                </c:pt>
                <c:pt idx="139">
                  <c:v>0.14512767904792143</c:v>
                </c:pt>
                <c:pt idx="140">
                  <c:v>0.14680430597022048</c:v>
                </c:pt>
                <c:pt idx="141">
                  <c:v>0.14849058323471781</c:v>
                </c:pt>
                <c:pt idx="142">
                  <c:v>0.150186526081418</c:v>
                </c:pt>
                <c:pt idx="143">
                  <c:v>0.15189214986420105</c:v>
                </c:pt>
                <c:pt idx="144">
                  <c:v>0.15360747005121639</c:v>
                </c:pt>
                <c:pt idx="145">
                  <c:v>0.15533250222528033</c:v>
                </c:pt>
                <c:pt idx="146">
                  <c:v>0.15706726208427765</c:v>
                </c:pt>
                <c:pt idx="147">
                  <c:v>0.15881176544156578</c:v>
                </c:pt>
                <c:pt idx="148">
                  <c:v>0.16056602822638341</c:v>
                </c:pt>
                <c:pt idx="149">
                  <c:v>0.16233006648426246</c:v>
                </c:pt>
                <c:pt idx="150">
                  <c:v>0.16410389637744305</c:v>
                </c:pt>
                <c:pt idx="151">
                  <c:v>0.16588753418529298</c:v>
                </c:pt>
                <c:pt idx="152">
                  <c:v>0.16768099630473035</c:v>
                </c:pt>
                <c:pt idx="153">
                  <c:v>0.16948429925064964</c:v>
                </c:pt>
                <c:pt idx="154">
                  <c:v>0.17129745965635232</c:v>
                </c:pt>
                <c:pt idx="155">
                  <c:v>0.17312049427398024</c:v>
                </c:pt>
                <c:pt idx="156">
                  <c:v>0.17495341997495301</c:v>
                </c:pt>
                <c:pt idx="157">
                  <c:v>0.1767962537504098</c:v>
                </c:pt>
                <c:pt idx="158">
                  <c:v>0.17864901271165362</c:v>
                </c:pt>
                <c:pt idx="159">
                  <c:v>0.18051171409060088</c:v>
                </c:pt>
                <c:pt idx="160">
                  <c:v>0.18238437524023351</c:v>
                </c:pt>
                <c:pt idx="161">
                  <c:v>0.18426701363505565</c:v>
                </c:pt>
                <c:pt idx="162">
                  <c:v>0.18615964687155409</c:v>
                </c:pt>
                <c:pt idx="163">
                  <c:v>0.1880622926686624</c:v>
                </c:pt>
                <c:pt idx="164">
                  <c:v>0.1899749688682292</c:v>
                </c:pt>
                <c:pt idx="165">
                  <c:v>0.19189769343549001</c:v>
                </c:pt>
                <c:pt idx="166">
                  <c:v>0.19383048445954379</c:v>
                </c:pt>
                <c:pt idx="167">
                  <c:v>0.19577336015383245</c:v>
                </c:pt>
                <c:pt idx="168">
                  <c:v>0.19772633885662541</c:v>
                </c:pt>
                <c:pt idx="169">
                  <c:v>0.19968943903150735</c:v>
                </c:pt>
                <c:pt idx="170">
                  <c:v>0.20166267926787071</c:v>
                </c:pt>
                <c:pt idx="171">
                  <c:v>0.20364607828141182</c:v>
                </c:pt>
                <c:pt idx="172">
                  <c:v>0.20563965491463101</c:v>
                </c:pt>
                <c:pt idx="173">
                  <c:v>0.20764342813733774</c:v>
                </c:pt>
                <c:pt idx="174">
                  <c:v>0.20965741704715884</c:v>
                </c:pt>
                <c:pt idx="175">
                  <c:v>0.21168164087005134</c:v>
                </c:pt>
                <c:pt idx="176">
                  <c:v>0.21371611896082027</c:v>
                </c:pt>
                <c:pt idx="177">
                  <c:v>0.21576087080363909</c:v>
                </c:pt>
                <c:pt idx="178">
                  <c:v>0.21781591601257602</c:v>
                </c:pt>
                <c:pt idx="179">
                  <c:v>0.21988127433212395</c:v>
                </c:pt>
                <c:pt idx="180">
                  <c:v>0.22195696563773423</c:v>
                </c:pt>
                <c:pt idx="181">
                  <c:v>0.22404300993635587</c:v>
                </c:pt>
                <c:pt idx="182">
                  <c:v>0.22613942736697845</c:v>
                </c:pt>
                <c:pt idx="183">
                  <c:v>0.22824623820117945</c:v>
                </c:pt>
                <c:pt idx="184">
                  <c:v>0.23036346284367612</c:v>
                </c:pt>
                <c:pt idx="185">
                  <c:v>0.23249112183288234</c:v>
                </c:pt>
                <c:pt idx="186">
                  <c:v>0.23462923584146872</c:v>
                </c:pt>
                <c:pt idx="187">
                  <c:v>0.23677782567692907</c:v>
                </c:pt>
                <c:pt idx="188">
                  <c:v>0.23893691228214944</c:v>
                </c:pt>
                <c:pt idx="189">
                  <c:v>0.2411065167359833</c:v>
                </c:pt>
                <c:pt idx="190">
                  <c:v>0.24328666025383067</c:v>
                </c:pt>
                <c:pt idx="191">
                  <c:v>0.24547736418822208</c:v>
                </c:pt>
                <c:pt idx="192">
                  <c:v>0.24767865002940698</c:v>
                </c:pt>
                <c:pt idx="193">
                  <c:v>0.24989053940594708</c:v>
                </c:pt>
                <c:pt idx="194">
                  <c:v>0.2521130540853152</c:v>
                </c:pt>
                <c:pt idx="195">
                  <c:v>0.25434621597449641</c:v>
                </c:pt>
                <c:pt idx="196">
                  <c:v>0.25659004712059802</c:v>
                </c:pt>
                <c:pt idx="197">
                  <c:v>0.25884456971146025</c:v>
                </c:pt>
                <c:pt idx="198">
                  <c:v>0.26110980607627438</c:v>
                </c:pt>
                <c:pt idx="199">
                  <c:v>0.26338577868620561</c:v>
                </c:pt>
                <c:pt idx="200">
                  <c:v>0.26567251015501964</c:v>
                </c:pt>
              </c:numCache>
            </c:numRef>
          </c:val>
          <c:smooth val="0"/>
          <c:extLst>
            <c:ext xmlns:c16="http://schemas.microsoft.com/office/drawing/2014/chart" uri="{C3380CC4-5D6E-409C-BE32-E72D297353CC}">
              <c16:uniqueId val="{00000003-7890-472B-AAE1-D1CB0E55BFDF}"/>
            </c:ext>
          </c:extLst>
        </c:ser>
        <c:dLbls>
          <c:showLegendKey val="0"/>
          <c:showVal val="0"/>
          <c:showCatName val="0"/>
          <c:showSerName val="0"/>
          <c:showPercent val="0"/>
          <c:showBubbleSize val="0"/>
        </c:dLbls>
        <c:marker val="1"/>
        <c:smooth val="0"/>
        <c:axId val="308586368"/>
        <c:axId val="308584448"/>
      </c:lineChart>
      <c:catAx>
        <c:axId val="308580352"/>
        <c:scaling>
          <c:orientation val="minMax"/>
        </c:scaling>
        <c:delete val="0"/>
        <c:axPos val="b"/>
        <c:majorGridlines>
          <c:spPr>
            <a:ln w="15875">
              <a:solidFill>
                <a:srgbClr val="969696"/>
              </a:solidFill>
              <a:prstDash val="sysDash"/>
            </a:ln>
          </c:spPr>
        </c:majorGridlines>
        <c:minorGridlines/>
        <c:title>
          <c:tx>
            <c:rich>
              <a:bodyPr/>
              <a:lstStyle/>
              <a:p>
                <a:pPr>
                  <a:defRPr sz="1200" b="1" i="0" u="none" strike="noStrike" baseline="0">
                    <a:solidFill>
                      <a:srgbClr val="0000FF"/>
                    </a:solidFill>
                    <a:latin typeface="Arial" pitchFamily="34" charset="0"/>
                    <a:ea typeface="Calibri"/>
                    <a:cs typeface="Arial" pitchFamily="34" charset="0"/>
                  </a:defRPr>
                </a:pPr>
                <a:r>
                  <a:rPr lang="en-US" sz="1200">
                    <a:solidFill>
                      <a:srgbClr val="0000FF"/>
                    </a:solidFill>
                    <a:latin typeface="Arial" pitchFamily="34" charset="0"/>
                    <a:cs typeface="Arial" pitchFamily="34" charset="0"/>
                  </a:rPr>
                  <a:t>Load Current (A)</a:t>
                </a:r>
              </a:p>
            </c:rich>
          </c:tx>
          <c:layout>
            <c:manualLayout>
              <c:xMode val="edge"/>
              <c:yMode val="edge"/>
              <c:x val="0.42471011396394504"/>
              <c:y val="0.93853771636955563"/>
            </c:manualLayout>
          </c:layout>
          <c:overlay val="0"/>
          <c:spPr>
            <a:noFill/>
            <a:ln w="25400">
              <a:noFill/>
            </a:ln>
          </c:spPr>
        </c:title>
        <c:numFmt formatCode="General" sourceLinked="1"/>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308582272"/>
        <c:crosses val="autoZero"/>
        <c:auto val="1"/>
        <c:lblAlgn val="ctr"/>
        <c:lblOffset val="100"/>
        <c:tickLblSkip val="40"/>
        <c:tickMarkSkip val="40"/>
        <c:noMultiLvlLbl val="0"/>
      </c:catAx>
      <c:valAx>
        <c:axId val="308582272"/>
        <c:scaling>
          <c:orientation val="minMax"/>
          <c:max val="100"/>
          <c:min val="65"/>
        </c:scaling>
        <c:delete val="0"/>
        <c:axPos val="l"/>
        <c:majorGridlines>
          <c:spPr>
            <a:ln w="15875">
              <a:solidFill>
                <a:srgbClr val="808080"/>
              </a:solidFill>
              <a:prstDash val="solid"/>
            </a:ln>
          </c:spPr>
        </c:majorGridlines>
        <c:minorGridlines/>
        <c:title>
          <c:tx>
            <c:rich>
              <a:bodyPr/>
              <a:lstStyle/>
              <a:p>
                <a:pPr>
                  <a:defRPr sz="1400" b="1" i="0" u="none" strike="noStrike" baseline="0">
                    <a:solidFill>
                      <a:srgbClr val="FF0000"/>
                    </a:solidFill>
                    <a:latin typeface="Arial" pitchFamily="34" charset="0"/>
                    <a:ea typeface="Calibri"/>
                    <a:cs typeface="Arial" pitchFamily="34" charset="0"/>
                  </a:defRPr>
                </a:pPr>
                <a:r>
                  <a:rPr lang="en-US" sz="1200" b="1">
                    <a:solidFill>
                      <a:srgbClr val="FF0000"/>
                    </a:solidFill>
                    <a:latin typeface="Arial" pitchFamily="34" charset="0"/>
                    <a:cs typeface="Arial" pitchFamily="34" charset="0"/>
                  </a:rPr>
                  <a:t>Efficiency  (%)</a:t>
                </a:r>
              </a:p>
            </c:rich>
          </c:tx>
          <c:layout>
            <c:manualLayout>
              <c:xMode val="edge"/>
              <c:yMode val="edge"/>
              <c:x val="1.2871858674081443E-2"/>
              <c:y val="0.3763817791568830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08580352"/>
        <c:crossesAt val="0"/>
        <c:crossBetween val="between"/>
        <c:majorUnit val="5"/>
        <c:minorUnit val="2.5"/>
      </c:valAx>
      <c:valAx>
        <c:axId val="308584448"/>
        <c:scaling>
          <c:orientation val="minMax"/>
        </c:scaling>
        <c:delete val="0"/>
        <c:axPos val="r"/>
        <c:title>
          <c:tx>
            <c:rich>
              <a:bodyPr rot="-5400000" vert="horz"/>
              <a:lstStyle/>
              <a:p>
                <a:pPr>
                  <a:defRPr sz="1200" b="1"/>
                </a:pPr>
                <a:r>
                  <a:rPr lang="en-US" sz="1200" b="1"/>
                  <a:t>Power Loss (W)</a:t>
                </a:r>
              </a:p>
            </c:rich>
          </c:tx>
          <c:layout>
            <c:manualLayout>
              <c:xMode val="edge"/>
              <c:yMode val="edge"/>
              <c:x val="0.95168474305601269"/>
              <c:y val="0.38117714045368295"/>
            </c:manualLayout>
          </c:layout>
          <c:overlay val="0"/>
        </c:title>
        <c:numFmt formatCode="General" sourceLinked="0"/>
        <c:majorTickMark val="out"/>
        <c:minorTickMark val="none"/>
        <c:tickLblPos val="nextTo"/>
        <c:txPr>
          <a:bodyPr/>
          <a:lstStyle/>
          <a:p>
            <a:pPr>
              <a:defRPr sz="1100" b="1">
                <a:solidFill>
                  <a:sysClr val="windowText" lastClr="000000"/>
                </a:solidFill>
              </a:defRPr>
            </a:pPr>
            <a:endParaRPr lang="en-US"/>
          </a:p>
        </c:txPr>
        <c:crossAx val="308586368"/>
        <c:crosses val="max"/>
        <c:crossBetween val="between"/>
      </c:valAx>
      <c:catAx>
        <c:axId val="308586368"/>
        <c:scaling>
          <c:orientation val="minMax"/>
        </c:scaling>
        <c:delete val="1"/>
        <c:axPos val="b"/>
        <c:numFmt formatCode="General" sourceLinked="1"/>
        <c:majorTickMark val="out"/>
        <c:minorTickMark val="none"/>
        <c:tickLblPos val="nextTo"/>
        <c:crossAx val="308584448"/>
        <c:crosses val="autoZero"/>
        <c:auto val="1"/>
        <c:lblAlgn val="ctr"/>
        <c:lblOffset val="100"/>
        <c:noMultiLvlLbl val="0"/>
      </c:catAx>
      <c:spPr>
        <a:noFill/>
        <a:ln w="25400">
          <a:noFill/>
        </a:ln>
      </c:spPr>
    </c:plotArea>
    <c:legend>
      <c:legendPos val="t"/>
      <c:layout>
        <c:manualLayout>
          <c:xMode val="edge"/>
          <c:yMode val="edge"/>
          <c:x val="0.40102557566231317"/>
          <c:y val="1.1892633038167682E-2"/>
          <c:w val="0.59897442433768688"/>
          <c:h val="8.9795049320617604E-2"/>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paperSize="5"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US"/>
              <a:t>Open Loop Response</a:t>
            </a:r>
          </a:p>
        </c:rich>
      </c:tx>
      <c:layout>
        <c:manualLayout>
          <c:xMode val="edge"/>
          <c:yMode val="edge"/>
          <c:x val="0.39590479517706217"/>
          <c:y val="3.1496062992125991E-2"/>
        </c:manualLayout>
      </c:layout>
      <c:overlay val="0"/>
      <c:spPr>
        <a:noFill/>
        <a:ln w="25400">
          <a:noFill/>
        </a:ln>
      </c:spPr>
    </c:title>
    <c:autoTitleDeleted val="0"/>
    <c:plotArea>
      <c:layout>
        <c:manualLayout>
          <c:layoutTarget val="inner"/>
          <c:xMode val="edge"/>
          <c:yMode val="edge"/>
          <c:x val="0.11262808019484494"/>
          <c:y val="0.20997429147774274"/>
          <c:w val="0.8003419638088306"/>
          <c:h val="0.60105140935503165"/>
        </c:manualLayout>
      </c:layout>
      <c:scatterChart>
        <c:scatterStyle val="smoothMarker"/>
        <c:varyColors val="0"/>
        <c:ser>
          <c:idx val="0"/>
          <c:order val="0"/>
          <c:tx>
            <c:v>Gain</c:v>
          </c:tx>
          <c:spPr>
            <a:ln w="12700">
              <a:solidFill>
                <a:srgbClr val="000000"/>
              </a:solidFill>
              <a:prstDash val="lgDash"/>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Calculations'!$X$9:$X$676</c:f>
              <c:numCache>
                <c:formatCode>General</c:formatCode>
                <c:ptCount val="668"/>
                <c:pt idx="0">
                  <c:v>88.686997976085053</c:v>
                </c:pt>
                <c:pt idx="1">
                  <c:v>82.666400549739535</c:v>
                </c:pt>
                <c:pt idx="2">
                  <c:v>79.144579513515964</c:v>
                </c:pt>
                <c:pt idx="3">
                  <c:v>76.645810584195843</c:v>
                </c:pt>
                <c:pt idx="4">
                  <c:v>74.707617784836216</c:v>
                </c:pt>
                <c:pt idx="5">
                  <c:v>73.124001982640564</c:v>
                </c:pt>
                <c:pt idx="6">
                  <c:v>71.785076966740192</c:v>
                </c:pt>
                <c:pt idx="7">
                  <c:v>70.625250461853</c:v>
                </c:pt>
                <c:pt idx="8">
                  <c:v>69.602214105526144</c:v>
                </c:pt>
                <c:pt idx="9">
                  <c:v>68.687080044887139</c:v>
                </c:pt>
                <c:pt idx="10">
                  <c:v>62.666728824657213</c:v>
                </c:pt>
                <c:pt idx="11">
                  <c:v>59.145318130991043</c:v>
                </c:pt>
                <c:pt idx="12">
                  <c:v>56.647123679217998</c:v>
                </c:pt>
                <c:pt idx="13">
                  <c:v>54.709669490363673</c:v>
                </c:pt>
                <c:pt idx="14">
                  <c:v>53.126956429022478</c:v>
                </c:pt>
                <c:pt idx="15">
                  <c:v>51.789098281140902</c:v>
                </c:pt>
                <c:pt idx="16">
                  <c:v>50.630502767678855</c:v>
                </c:pt>
                <c:pt idx="17">
                  <c:v>49.608861521855189</c:v>
                </c:pt>
                <c:pt idx="18">
                  <c:v>48.695286685902204</c:v>
                </c:pt>
                <c:pt idx="19">
                  <c:v>42.699552519268174</c:v>
                </c:pt>
                <c:pt idx="20">
                  <c:v>39.219160907330853</c:v>
                </c:pt>
                <c:pt idx="21">
                  <c:v>36.778374333625422</c:v>
                </c:pt>
                <c:pt idx="22">
                  <c:v>34.914699839453334</c:v>
                </c:pt>
                <c:pt idx="23">
                  <c:v>33.422119073451071</c:v>
                </c:pt>
                <c:pt idx="24">
                  <c:v>32.190726267050991</c:v>
                </c:pt>
                <c:pt idx="25">
                  <c:v>31.15491149951405</c:v>
                </c:pt>
                <c:pt idx="26">
                  <c:v>30.272353242815768</c:v>
                </c:pt>
                <c:pt idx="27">
                  <c:v>29.514157800474521</c:v>
                </c:pt>
                <c:pt idx="28">
                  <c:v>27.024745001136438</c:v>
                </c:pt>
                <c:pt idx="29">
                  <c:v>25.978936891009617</c:v>
                </c:pt>
                <c:pt idx="30">
                  <c:v>25.940253545923721</c:v>
                </c:pt>
                <c:pt idx="31">
                  <c:v>26.742520311997882</c:v>
                </c:pt>
                <c:pt idx="32">
                  <c:v>28.240900227194444</c:v>
                </c:pt>
                <c:pt idx="33">
                  <c:v>29.767088320989316</c:v>
                </c:pt>
                <c:pt idx="34">
                  <c:v>29.370887262633293</c:v>
                </c:pt>
                <c:pt idx="35">
                  <c:v>26.719387496821962</c:v>
                </c:pt>
                <c:pt idx="36">
                  <c:v>23.735685105850017</c:v>
                </c:pt>
                <c:pt idx="37">
                  <c:v>21.163441408468117</c:v>
                </c:pt>
                <c:pt idx="38">
                  <c:v>19.027769029454699</c:v>
                </c:pt>
                <c:pt idx="39">
                  <c:v>17.239734943175804</c:v>
                </c:pt>
                <c:pt idx="40">
                  <c:v>15.718508665175612</c:v>
                </c:pt>
                <c:pt idx="41">
                  <c:v>14.40376343369344</c:v>
                </c:pt>
                <c:pt idx="42">
                  <c:v>13.251638699791922</c:v>
                </c:pt>
                <c:pt idx="43">
                  <c:v>12.229935310601615</c:v>
                </c:pt>
                <c:pt idx="44">
                  <c:v>11.314581361539201</c:v>
                </c:pt>
                <c:pt idx="45">
                  <c:v>10.48723274104832</c:v>
                </c:pt>
                <c:pt idx="46">
                  <c:v>9.7336572776624806</c:v>
                </c:pt>
                <c:pt idx="47">
                  <c:v>9.0426330356666931</c:v>
                </c:pt>
                <c:pt idx="48">
                  <c:v>8.4051831683972651</c:v>
                </c:pt>
                <c:pt idx="49">
                  <c:v>7.8140340160238555</c:v>
                </c:pt>
                <c:pt idx="50">
                  <c:v>7.2632240151207581</c:v>
                </c:pt>
                <c:pt idx="51">
                  <c:v>6.7478164751800884</c:v>
                </c:pt>
                <c:pt idx="52">
                  <c:v>6.2636852452200396</c:v>
                </c:pt>
                <c:pt idx="53">
                  <c:v>5.8073524401114875</c:v>
                </c:pt>
                <c:pt idx="54">
                  <c:v>5.3758639577889236</c:v>
                </c:pt>
                <c:pt idx="55">
                  <c:v>4.9666928405922697</c:v>
                </c:pt>
                <c:pt idx="56">
                  <c:v>4.5776634329307093</c:v>
                </c:pt>
                <c:pt idx="57">
                  <c:v>4.2068912657155959</c:v>
                </c:pt>
                <c:pt idx="58">
                  <c:v>3.8527349700360292</c:v>
                </c:pt>
                <c:pt idx="59">
                  <c:v>3.5137574885930922</c:v>
                </c:pt>
                <c:pt idx="60">
                  <c:v>3.1886945431852616</c:v>
                </c:pt>
                <c:pt idx="61">
                  <c:v>2.8764288154799376</c:v>
                </c:pt>
                <c:pt idx="62">
                  <c:v>2.5759686635681387</c:v>
                </c:pt>
                <c:pt idx="63">
                  <c:v>2.2864304671898745</c:v>
                </c:pt>
                <c:pt idx="64">
                  <c:v>2.0070238967557827</c:v>
                </c:pt>
                <c:pt idx="65">
                  <c:v>1.737039554014022</c:v>
                </c:pt>
                <c:pt idx="66">
                  <c:v>1.475838548580408</c:v>
                </c:pt>
                <c:pt idx="67">
                  <c:v>1.2228436639623048</c:v>
                </c:pt>
                <c:pt idx="68">
                  <c:v>0.97753183594755444</c:v>
                </c:pt>
                <c:pt idx="69">
                  <c:v>0.73942772024467351</c:v>
                </c:pt>
                <c:pt idx="70">
                  <c:v>0.50809816868976465</c:v>
                </c:pt>
                <c:pt idx="71">
                  <c:v>0.28314746688198028</c:v>
                </c:pt>
                <c:pt idx="72">
                  <c:v>6.4213212796170649E-2</c:v>
                </c:pt>
                <c:pt idx="73">
                  <c:v>-0.14903726272532214</c:v>
                </c:pt>
                <c:pt idx="74">
                  <c:v>-0.35691001551891727</c:v>
                </c:pt>
                <c:pt idx="75">
                  <c:v>-0.55968721570558555</c:v>
                </c:pt>
                <c:pt idx="76">
                  <c:v>-0.75762954008269712</c:v>
                </c:pt>
                <c:pt idx="77">
                  <c:v>-0.95097827680333269</c:v>
                </c:pt>
                <c:pt idx="78">
                  <c:v>-1.1399571822767609</c:v>
                </c:pt>
                <c:pt idx="79">
                  <c:v>-1.3247741239875648</c:v>
                </c:pt>
                <c:pt idx="80">
                  <c:v>-1.5056225377715393</c:v>
                </c:pt>
                <c:pt idx="81">
                  <c:v>-1.6826827238006521</c:v>
                </c:pt>
                <c:pt idx="82">
                  <c:v>-1.8561230019556847</c:v>
                </c:pt>
                <c:pt idx="83">
                  <c:v>-2.0261007442745358</c:v>
                </c:pt>
                <c:pt idx="84">
                  <c:v>-2.1927632996524169</c:v>
                </c:pt>
                <c:pt idx="85">
                  <c:v>-2.3562488238538362</c:v>
                </c:pt>
                <c:pt idx="86">
                  <c:v>-2.5166870261069683</c:v>
                </c:pt>
                <c:pt idx="87">
                  <c:v>-2.6741998420338229</c:v>
                </c:pt>
                <c:pt idx="88">
                  <c:v>-2.8289020413788108</c:v>
                </c:pt>
                <c:pt idx="89">
                  <c:v>-2.9809017778974218</c:v>
                </c:pt>
                <c:pt idx="90">
                  <c:v>-3.1303010878248982</c:v>
                </c:pt>
                <c:pt idx="91">
                  <c:v>-3.2771963425366089</c:v>
                </c:pt>
                <c:pt idx="92">
                  <c:v>-3.4216786603172449</c:v>
                </c:pt>
                <c:pt idx="93">
                  <c:v>-3.5638342815564776</c:v>
                </c:pt>
                <c:pt idx="94">
                  <c:v>-3.7037449111711114</c:v>
                </c:pt>
                <c:pt idx="95">
                  <c:v>-3.8414880316047468</c:v>
                </c:pt>
                <c:pt idx="96">
                  <c:v>-3.9771371893665366</c:v>
                </c:pt>
                <c:pt idx="97">
                  <c:v>-4.1107622577311993</c:v>
                </c:pt>
                <c:pt idx="98">
                  <c:v>-4.242429677926796</c:v>
                </c:pt>
                <c:pt idx="99">
                  <c:v>-4.3722026808778862</c:v>
                </c:pt>
                <c:pt idx="100">
                  <c:v>-4.500141491345464</c:v>
                </c:pt>
                <c:pt idx="101">
                  <c:v>-4.6263035161059509</c:v>
                </c:pt>
                <c:pt idx="102">
                  <c:v>-4.750743517636832</c:v>
                </c:pt>
                <c:pt idx="103">
                  <c:v>-4.8735137746224888</c:v>
                </c:pt>
                <c:pt idx="104">
                  <c:v>-4.9946642304577029</c:v>
                </c:pt>
                <c:pt idx="105">
                  <c:v>-5.1142426308062667</c:v>
                </c:pt>
                <c:pt idx="106">
                  <c:v>-5.2322946511653647</c:v>
                </c:pt>
                <c:pt idx="107">
                  <c:v>-5.3488640152923033</c:v>
                </c:pt>
                <c:pt idx="108">
                  <c:v>-5.4639926052657302</c:v>
                </c:pt>
                <c:pt idx="109">
                  <c:v>-5.577720563879196</c:v>
                </c:pt>
                <c:pt idx="110">
                  <c:v>-5.6900863899978447</c:v>
                </c:pt>
                <c:pt idx="111">
                  <c:v>-5.8011270274499847</c:v>
                </c:pt>
                <c:pt idx="112">
                  <c:v>-5.9108779479715334</c:v>
                </c:pt>
                <c:pt idx="113">
                  <c:v>-6.0193732286742252</c:v>
                </c:pt>
                <c:pt idx="114">
                  <c:v>-6.12664562446533</c:v>
                </c:pt>
                <c:pt idx="115">
                  <c:v>-6.2327266358084534</c:v>
                </c:pt>
                <c:pt idx="116">
                  <c:v>-6.3376465721804678</c:v>
                </c:pt>
                <c:pt idx="117">
                  <c:v>-6.4414346115484324</c:v>
                </c:pt>
                <c:pt idx="118">
                  <c:v>-6.5441188561625507</c:v>
                </c:pt>
                <c:pt idx="119">
                  <c:v>-6.6457263849355943</c:v>
                </c:pt>
                <c:pt idx="120">
                  <c:v>-6.7462833026568099</c:v>
                </c:pt>
                <c:pt idx="121">
                  <c:v>-6.845814786267149</c:v>
                </c:pt>
                <c:pt idx="122">
                  <c:v>-6.9443451284043309</c:v>
                </c:pt>
                <c:pt idx="123">
                  <c:v>-7.0418977784089467</c:v>
                </c:pt>
                <c:pt idx="124">
                  <c:v>-7.1384953809675515</c:v>
                </c:pt>
                <c:pt idx="125">
                  <c:v>-7.2341598125546334</c:v>
                </c:pt>
                <c:pt idx="126">
                  <c:v>-7.3289122158224282</c:v>
                </c:pt>
                <c:pt idx="127">
                  <c:v>-7.4227730320761118</c:v>
                </c:pt>
                <c:pt idx="128">
                  <c:v>-7.5157620319611933</c:v>
                </c:pt>
                <c:pt idx="129">
                  <c:v>-7.607898344480172</c:v>
                </c:pt>
                <c:pt idx="130">
                  <c:v>-7.6992004844468536</c:v>
                </c:pt>
                <c:pt idx="131">
                  <c:v>-7.7896863784783807</c:v>
                </c:pt>
                <c:pt idx="132">
                  <c:v>-7.8793733896178955</c:v>
                </c:pt>
                <c:pt idx="133">
                  <c:v>-7.9682783406736499</c:v>
                </c:pt>
                <c:pt idx="134">
                  <c:v>-8.0564175363544202</c:v>
                </c:pt>
                <c:pt idx="135">
                  <c:v>-8.1438067842752062</c:v>
                </c:pt>
                <c:pt idx="136">
                  <c:v>-8.2304614149019439</c:v>
                </c:pt>
                <c:pt idx="137">
                  <c:v>-8.3163963004991928</c:v>
                </c:pt>
                <c:pt idx="138">
                  <c:v>-8.4016258731402615</c:v>
                </c:pt>
                <c:pt idx="139">
                  <c:v>-8.4861641418350793</c:v>
                </c:pt>
                <c:pt idx="140">
                  <c:v>-8.5700247088275194</c:v>
                </c:pt>
                <c:pt idx="141">
                  <c:v>-8.6532207851101202</c:v>
                </c:pt>
                <c:pt idx="142">
                  <c:v>-8.7357652052012185</c:v>
                </c:pt>
                <c:pt idx="143">
                  <c:v>-8.8176704412262552</c:v>
                </c:pt>
                <c:pt idx="144">
                  <c:v>-8.8989486163425475</c:v>
                </c:pt>
                <c:pt idx="145">
                  <c:v>-8.979611517543951</c:v>
                </c:pt>
                <c:pt idx="146">
                  <c:v>-9.059670607879756</c:v>
                </c:pt>
                <c:pt idx="147">
                  <c:v>-9.1391370381198698</c:v>
                </c:pt>
                <c:pt idx="148">
                  <c:v>-9.2180216578961502</c:v>
                </c:pt>
                <c:pt idx="149">
                  <c:v>-9.2963350263482152</c:v>
                </c:pt>
                <c:pt idx="150">
                  <c:v>-9.3740874222999366</c:v>
                </c:pt>
                <c:pt idx="151">
                  <c:v>-9.4512888539914623</c:v>
                </c:pt>
                <c:pt idx="152">
                  <c:v>-9.5279490683899777</c:v>
                </c:pt>
                <c:pt idx="153">
                  <c:v>-9.6040775601009827</c:v>
                </c:pt>
                <c:pt idx="154">
                  <c:v>-9.6796835799007095</c:v>
                </c:pt>
                <c:pt idx="155">
                  <c:v>-9.7547761429088329</c:v>
                </c:pt>
                <c:pt idx="156">
                  <c:v>-9.8293640364197508</c:v>
                </c:pt>
                <c:pt idx="157">
                  <c:v>-9.9034558274094593</c:v>
                </c:pt>
                <c:pt idx="158">
                  <c:v>-9.9770598697341022</c:v>
                </c:pt>
                <c:pt idx="159">
                  <c:v>-10.050184311035444</c:v>
                </c:pt>
                <c:pt idx="160">
                  <c:v>-10.122837099367468</c:v>
                </c:pt>
                <c:pt idx="161">
                  <c:v>-10.195025989557671</c:v>
                </c:pt>
                <c:pt idx="162">
                  <c:v>-10.266758549315757</c:v>
                </c:pt>
                <c:pt idx="163">
                  <c:v>-10.338042165101736</c:v>
                </c:pt>
                <c:pt idx="164">
                  <c:v>-10.408884047764857</c:v>
                </c:pt>
                <c:pt idx="165">
                  <c:v>-10.479291237963992</c:v>
                </c:pt>
                <c:pt idx="166">
                  <c:v>-10.54927061137974</c:v>
                </c:pt>
                <c:pt idx="167">
                  <c:v>-10.618828883727819</c:v>
                </c:pt>
                <c:pt idx="168">
                  <c:v>-10.687972615582769</c:v>
                </c:pt>
                <c:pt idx="169">
                  <c:v>-10.75670821702068</c:v>
                </c:pt>
                <c:pt idx="170">
                  <c:v>-10.825041952089009</c:v>
                </c:pt>
                <c:pt idx="171">
                  <c:v>-10.892979943111229</c:v>
                </c:pt>
                <c:pt idx="172">
                  <c:v>-10.960528174833716</c:v>
                </c:pt>
                <c:pt idx="173">
                  <c:v>-11.027692498421684</c:v>
                </c:pt>
                <c:pt idx="174">
                  <c:v>-11.094478635310811</c:v>
                </c:pt>
                <c:pt idx="175">
                  <c:v>-11.160892180920932</c:v>
                </c:pt>
                <c:pt idx="176">
                  <c:v>-11.226938608237479</c:v>
                </c:pt>
                <c:pt idx="177">
                  <c:v>-11.292623271266603</c:v>
                </c:pt>
                <c:pt idx="178">
                  <c:v>-11.35795140836909</c:v>
                </c:pt>
                <c:pt idx="179">
                  <c:v>-11.422928145478352</c:v>
                </c:pt>
                <c:pt idx="180">
                  <c:v>-11.487558499207211</c:v>
                </c:pt>
                <c:pt idx="181">
                  <c:v>-11.551847379848173</c:v>
                </c:pt>
                <c:pt idx="182">
                  <c:v>-11.615799594271541</c:v>
                </c:pt>
                <c:pt idx="183">
                  <c:v>-11.679419848725523</c:v>
                </c:pt>
                <c:pt idx="184">
                  <c:v>-11.742712751542401</c:v>
                </c:pt>
                <c:pt idx="185">
                  <c:v>-11.805682815754427</c:v>
                </c:pt>
                <c:pt idx="186">
                  <c:v>-11.868334461623158</c:v>
                </c:pt>
                <c:pt idx="187">
                  <c:v>-11.930672019085664</c:v>
                </c:pt>
                <c:pt idx="188">
                  <c:v>-11.992699730120808</c:v>
                </c:pt>
                <c:pt idx="189">
                  <c:v>-12.054421751038831</c:v>
                </c:pt>
                <c:pt idx="190">
                  <c:v>-12.115842154697207</c:v>
                </c:pt>
                <c:pt idx="191">
                  <c:v>-12.176964932645562</c:v>
                </c:pt>
                <c:pt idx="192">
                  <c:v>-12.237793997202484</c:v>
                </c:pt>
                <c:pt idx="193">
                  <c:v>-12.298333183466696</c:v>
                </c:pt>
                <c:pt idx="194">
                  <c:v>-12.358586251265244</c:v>
                </c:pt>
                <c:pt idx="195">
                  <c:v>-12.418556887040907</c:v>
                </c:pt>
                <c:pt idx="196">
                  <c:v>-12.478248705681237</c:v>
                </c:pt>
                <c:pt idx="197">
                  <c:v>-12.537665252291287</c:v>
                </c:pt>
                <c:pt idx="198">
                  <c:v>-12.596810003912255</c:v>
                </c:pt>
                <c:pt idx="199">
                  <c:v>-12.655686371187835</c:v>
                </c:pt>
                <c:pt idx="200">
                  <c:v>-12.714297699980385</c:v>
                </c:pt>
                <c:pt idx="201">
                  <c:v>-12.77264727293856</c:v>
                </c:pt>
                <c:pt idx="202">
                  <c:v>-12.830738311018273</c:v>
                </c:pt>
                <c:pt idx="203">
                  <c:v>-12.888573974958639</c:v>
                </c:pt>
                <c:pt idx="204">
                  <c:v>-12.946157366714379</c:v>
                </c:pt>
                <c:pt idx="205">
                  <c:v>-13.003491530846475</c:v>
                </c:pt>
                <c:pt idx="206">
                  <c:v>-13.060579455872256</c:v>
                </c:pt>
                <c:pt idx="207">
                  <c:v>-13.117424075576533</c:v>
                </c:pt>
                <c:pt idx="208">
                  <c:v>-13.174028270285092</c:v>
                </c:pt>
                <c:pt idx="209">
                  <c:v>-13.230394868101733</c:v>
                </c:pt>
                <c:pt idx="210">
                  <c:v>-13.286526646110294</c:v>
                </c:pt>
                <c:pt idx="211">
                  <c:v>-13.342426331542702</c:v>
                </c:pt>
                <c:pt idx="212">
                  <c:v>-13.398096602914231</c:v>
                </c:pt>
                <c:pt idx="213">
                  <c:v>-13.453540091127152</c:v>
                </c:pt>
                <c:pt idx="214">
                  <c:v>-13.508759380543744</c:v>
                </c:pt>
                <c:pt idx="215">
                  <c:v>-13.56375701002969</c:v>
                </c:pt>
                <c:pt idx="216">
                  <c:v>-13.618535473968922</c:v>
                </c:pt>
                <c:pt idx="217">
                  <c:v>-13.673097223250748</c:v>
                </c:pt>
                <c:pt idx="218">
                  <c:v>-13.727444666230241</c:v>
                </c:pt>
                <c:pt idx="219">
                  <c:v>-13.781580169662732</c:v>
                </c:pt>
                <c:pt idx="220">
                  <c:v>-13.835506059613259</c:v>
                </c:pt>
                <c:pt idx="221">
                  <c:v>-13.889224622341711</c:v>
                </c:pt>
                <c:pt idx="222">
                  <c:v>-13.942738105164587</c:v>
                </c:pt>
                <c:pt idx="223">
                  <c:v>-13.996048717293938</c:v>
                </c:pt>
                <c:pt idx="224">
                  <c:v>-14.049158630654404</c:v>
                </c:pt>
                <c:pt idx="225">
                  <c:v>-14.102069980678779</c:v>
                </c:pt>
                <c:pt idx="226">
                  <c:v>-14.620707694553939</c:v>
                </c:pt>
                <c:pt idx="227">
                  <c:v>-15.121594558743144</c:v>
                </c:pt>
                <c:pt idx="228">
                  <c:v>-15.606368737444864</c:v>
                </c:pt>
                <c:pt idx="229">
                  <c:v>-16.076434083533247</c:v>
                </c:pt>
                <c:pt idx="230">
                  <c:v>-16.533001111756803</c:v>
                </c:pt>
                <c:pt idx="231">
                  <c:v>-16.977119666834785</c:v>
                </c:pt>
                <c:pt idx="232">
                  <c:v>-17.409705214480034</c:v>
                </c:pt>
                <c:pt idx="233">
                  <c:v>-17.831560177566949</c:v>
                </c:pt>
                <c:pt idx="234">
                  <c:v>-18.243391381075782</c:v>
                </c:pt>
                <c:pt idx="235">
                  <c:v>-18.645824411378214</c:v>
                </c:pt>
                <c:pt idx="236">
                  <c:v>-19.039415507105197</c:v>
                </c:pt>
                <c:pt idx="237">
                  <c:v>-19.424661459624332</c:v>
                </c:pt>
                <c:pt idx="238">
                  <c:v>-19.802007897000831</c:v>
                </c:pt>
                <c:pt idx="239">
                  <c:v>-20.171856246514793</c:v>
                </c:pt>
                <c:pt idx="240">
                  <c:v>-20.534569610560766</c:v>
                </c:pt>
                <c:pt idx="241">
                  <c:v>-20.890477744241558</c:v>
                </c:pt>
                <c:pt idx="242">
                  <c:v>-21.239881286727375</c:v>
                </c:pt>
                <c:pt idx="243">
                  <c:v>-21.583055369973486</c:v>
                </c:pt>
                <c:pt idx="244">
                  <c:v>-21.920252705833537</c:v>
                </c:pt>
                <c:pt idx="245">
                  <c:v>-22.251706234608143</c:v>
                </c:pt>
                <c:pt idx="246">
                  <c:v>-22.577631403609544</c:v>
                </c:pt>
                <c:pt idx="247">
                  <c:v>-22.898228132634092</c:v>
                </c:pt>
                <c:pt idx="248">
                  <c:v>-23.213682513728848</c:v>
                </c:pt>
                <c:pt idx="249">
                  <c:v>-23.524168284867656</c:v>
                </c:pt>
                <c:pt idx="250">
                  <c:v>-23.829848110767507</c:v>
                </c:pt>
                <c:pt idx="251">
                  <c:v>-24.130874698807059</c:v>
                </c:pt>
                <c:pt idx="252">
                  <c:v>-24.427391773642437</c:v>
                </c:pt>
                <c:pt idx="253">
                  <c:v>-24.719534930483285</c:v>
                </c:pt>
                <c:pt idx="254">
                  <c:v>-25.007432383959618</c:v>
                </c:pt>
                <c:pt idx="255">
                  <c:v>-25.291205626971035</c:v>
                </c:pt>
                <c:pt idx="256">
                  <c:v>-25.570970011777096</c:v>
                </c:pt>
                <c:pt idx="257">
                  <c:v>-25.846835263791903</c:v>
                </c:pt>
                <c:pt idx="258">
                  <c:v>-26.118905937029528</c:v>
                </c:pt>
                <c:pt idx="259">
                  <c:v>-26.387281818864487</c:v>
                </c:pt>
                <c:pt idx="260">
                  <c:v>-26.652058290683094</c:v>
                </c:pt>
                <c:pt idx="261">
                  <c:v>-26.91332665007781</c:v>
                </c:pt>
                <c:pt idx="262">
                  <c:v>-27.171174399449786</c:v>
                </c:pt>
                <c:pt idx="263">
                  <c:v>-27.425685505214101</c:v>
                </c:pt>
                <c:pt idx="264">
                  <c:v>-27.676940631229389</c:v>
                </c:pt>
                <c:pt idx="265">
                  <c:v>-27.925017349583467</c:v>
                </c:pt>
                <c:pt idx="266">
                  <c:v>-28.169990331447</c:v>
                </c:pt>
                <c:pt idx="267">
                  <c:v>-28.411931520347025</c:v>
                </c:pt>
                <c:pt idx="268">
                  <c:v>-28.650910289903013</c:v>
                </c:pt>
                <c:pt idx="269">
                  <c:v>-28.886993587801911</c:v>
                </c:pt>
                <c:pt idx="270">
                  <c:v>-29.120246067559915</c:v>
                </c:pt>
                <c:pt idx="271">
                  <c:v>-29.350730209420597</c:v>
                </c:pt>
                <c:pt idx="272">
                  <c:v>-29.578506431569114</c:v>
                </c:pt>
                <c:pt idx="273">
                  <c:v>-29.803633192694097</c:v>
                </c:pt>
                <c:pt idx="274">
                  <c:v>-30.026167086801937</c:v>
                </c:pt>
                <c:pt idx="275">
                  <c:v>-30.246162931077048</c:v>
                </c:pt>
                <c:pt idx="276">
                  <c:v>-30.463673847486092</c:v>
                </c:pt>
                <c:pt idx="277">
                  <c:v>-30.678751338740831</c:v>
                </c:pt>
                <c:pt idx="278">
                  <c:v>-30.891445359161736</c:v>
                </c:pt>
                <c:pt idx="279">
                  <c:v>-31.101804380921454</c:v>
                </c:pt>
                <c:pt idx="280">
                  <c:v>-31.309875456092303</c:v>
                </c:pt>
                <c:pt idx="281">
                  <c:v>-31.515704274873958</c:v>
                </c:pt>
                <c:pt idx="282">
                  <c:v>-31.719335220335466</c:v>
                </c:pt>
                <c:pt idx="283">
                  <c:v>-31.920811419969244</c:v>
                </c:pt>
                <c:pt idx="284">
                  <c:v>-32.120174794322239</c:v>
                </c:pt>
                <c:pt idx="285">
                  <c:v>-32.31746610294158</c:v>
                </c:pt>
                <c:pt idx="286">
                  <c:v>-32.512724987847015</c:v>
                </c:pt>
                <c:pt idx="287">
                  <c:v>-32.705990014720598</c:v>
                </c:pt>
                <c:pt idx="288">
                  <c:v>-32.897298711985165</c:v>
                </c:pt>
                <c:pt idx="289">
                  <c:v>-33.086687607925789</c:v>
                </c:pt>
                <c:pt idx="290">
                  <c:v>-33.274192265993698</c:v>
                </c:pt>
                <c:pt idx="291">
                  <c:v>-33.459847318418824</c:v>
                </c:pt>
                <c:pt idx="292">
                  <c:v>-33.643686498245259</c:v>
                </c:pt>
                <c:pt idx="293">
                  <c:v>-33.8257426698936</c:v>
                </c:pt>
                <c:pt idx="294">
                  <c:v>-34.0060478583449</c:v>
                </c:pt>
                <c:pt idx="295">
                  <c:v>-34.184633277032376</c:v>
                </c:pt>
                <c:pt idx="296">
                  <c:v>-34.361529354520194</c:v>
                </c:pt>
                <c:pt idx="297">
                  <c:v>-34.536765760041298</c:v>
                </c:pt>
                <c:pt idx="298">
                  <c:v>-34.710371427961199</c:v>
                </c:pt>
                <c:pt idx="299">
                  <c:v>-34.882374581228468</c:v>
                </c:pt>
                <c:pt idx="300">
                  <c:v>-35.052802753868598</c:v>
                </c:pt>
                <c:pt idx="301">
                  <c:v>-35.221682812573299</c:v>
                </c:pt>
                <c:pt idx="302">
                  <c:v>-35.389040977433204</c:v>
                </c:pt>
                <c:pt idx="303">
                  <c:v>-35.554902841859139</c:v>
                </c:pt>
                <c:pt idx="304">
                  <c:v>-35.719293391732961</c:v>
                </c:pt>
                <c:pt idx="305">
                  <c:v>-35.882237023827145</c:v>
                </c:pt>
                <c:pt idx="306">
                  <c:v>-36.043757563528708</c:v>
                </c:pt>
                <c:pt idx="307">
                  <c:v>-36.20387828190146</c:v>
                </c:pt>
                <c:pt idx="308">
                  <c:v>-36.362621912117795</c:v>
                </c:pt>
                <c:pt idx="309">
                  <c:v>-36.520010665289732</c:v>
                </c:pt>
                <c:pt idx="310">
                  <c:v>-36.676066245726588</c:v>
                </c:pt>
                <c:pt idx="311">
                  <c:v>-36.830809865645612</c:v>
                </c:pt>
                <c:pt idx="312">
                  <c:v>-36.984262259359596</c:v>
                </c:pt>
                <c:pt idx="313">
                  <c:v>-37.136443696964804</c:v>
                </c:pt>
                <c:pt idx="314">
                  <c:v>-37.287373997550851</c:v>
                </c:pt>
                <c:pt idx="315">
                  <c:v>-37.437072541952865</c:v>
                </c:pt>
                <c:pt idx="316">
                  <c:v>-37.585558285065474</c:v>
                </c:pt>
                <c:pt idx="317">
                  <c:v>-37.732849767736866</c:v>
                </c:pt>
                <c:pt idx="318">
                  <c:v>-37.87896512826034</c:v>
                </c:pt>
                <c:pt idx="319">
                  <c:v>-38.023922113479649</c:v>
                </c:pt>
                <c:pt idx="320">
                  <c:v>-38.167738089523965</c:v>
                </c:pt>
                <c:pt idx="321">
                  <c:v>-38.310430052187101</c:v>
                </c:pt>
                <c:pt idx="322">
                  <c:v>-38.452014636965245</c:v>
                </c:pt>
                <c:pt idx="323">
                  <c:v>-38.592508128766482</c:v>
                </c:pt>
                <c:pt idx="324">
                  <c:v>-38.731926471304952</c:v>
                </c:pt>
                <c:pt idx="325">
                  <c:v>-38.870285276191794</c:v>
                </c:pt>
                <c:pt idx="326">
                  <c:v>-39.007599831734446</c:v>
                </c:pt>
                <c:pt idx="327">
                  <c:v>-39.143885111455397</c:v>
                </c:pt>
                <c:pt idx="328">
                  <c:v>-39.279155782340858</c:v>
                </c:pt>
                <c:pt idx="329">
                  <c:v>-39.413426212829592</c:v>
                </c:pt>
                <c:pt idx="330">
                  <c:v>-39.546710480551354</c:v>
                </c:pt>
                <c:pt idx="331">
                  <c:v>-39.679022379824275</c:v>
                </c:pt>
                <c:pt idx="332">
                  <c:v>-39.810375428920004</c:v>
                </c:pt>
                <c:pt idx="333">
                  <c:v>-39.940782877104866</c:v>
                </c:pt>
                <c:pt idx="334">
                  <c:v>-40.070257711465374</c:v>
                </c:pt>
                <c:pt idx="335">
                  <c:v>-40.198812663525587</c:v>
                </c:pt>
                <c:pt idx="336">
                  <c:v>-40.326460215663829</c:v>
                </c:pt>
                <c:pt idx="337">
                  <c:v>-40.453212607335907</c:v>
                </c:pt>
                <c:pt idx="338">
                  <c:v>-40.579081841111474</c:v>
                </c:pt>
                <c:pt idx="339">
                  <c:v>-40.704079688530243</c:v>
                </c:pt>
                <c:pt idx="340">
                  <c:v>-40.828217695784275</c:v>
                </c:pt>
                <c:pt idx="341">
                  <c:v>-40.951507189232181</c:v>
                </c:pt>
                <c:pt idx="342">
                  <c:v>-41.073959280751296</c:v>
                </c:pt>
                <c:pt idx="343">
                  <c:v>-41.195584872933154</c:v>
                </c:pt>
                <c:pt idx="344">
                  <c:v>-41.316394664127642</c:v>
                </c:pt>
                <c:pt idx="345">
                  <c:v>-41.436399153341014</c:v>
                </c:pt>
                <c:pt idx="346">
                  <c:v>-41.555608644992603</c:v>
                </c:pt>
                <c:pt idx="347">
                  <c:v>-41.674033253535029</c:v>
                </c:pt>
                <c:pt idx="348">
                  <c:v>-41.791682907942381</c:v>
                </c:pt>
                <c:pt idx="349">
                  <c:v>-41.908567356070847</c:v>
                </c:pt>
                <c:pt idx="350">
                  <c:v>-42.024696168895858</c:v>
                </c:pt>
                <c:pt idx="351">
                  <c:v>-42.14007874462996</c:v>
                </c:pt>
                <c:pt idx="352">
                  <c:v>-42.254724312725216</c:v>
                </c:pt>
                <c:pt idx="353">
                  <c:v>-42.368641937763904</c:v>
                </c:pt>
                <c:pt idx="354">
                  <c:v>-42.481840523241132</c:v>
                </c:pt>
                <c:pt idx="355">
                  <c:v>-42.594328815242868</c:v>
                </c:pt>
                <c:pt idx="356">
                  <c:v>-42.706115406022782</c:v>
                </c:pt>
                <c:pt idx="357">
                  <c:v>-42.817208737480954</c:v>
                </c:pt>
                <c:pt idx="358">
                  <c:v>-42.927617104547849</c:v>
                </c:pt>
                <c:pt idx="359">
                  <c:v>-43.037348658476304</c:v>
                </c:pt>
                <c:pt idx="360">
                  <c:v>-43.146411410044522</c:v>
                </c:pt>
                <c:pt idx="361">
                  <c:v>-43.254813232672959</c:v>
                </c:pt>
                <c:pt idx="362">
                  <c:v>-43.362561865457572</c:v>
                </c:pt>
                <c:pt idx="363">
                  <c:v>-43.469664916122298</c:v>
                </c:pt>
                <c:pt idx="364">
                  <c:v>-43.57612986389303</c:v>
                </c:pt>
                <c:pt idx="365">
                  <c:v>-43.681964062295663</c:v>
                </c:pt>
                <c:pt idx="366">
                  <c:v>-43.787174741880406</c:v>
                </c:pt>
                <c:pt idx="367">
                  <c:v>-43.891769012874853</c:v>
                </c:pt>
                <c:pt idx="368">
                  <c:v>-43.995753867767661</c:v>
                </c:pt>
                <c:pt idx="369">
                  <c:v>-44.099136183825188</c:v>
                </c:pt>
                <c:pt idx="370">
                  <c:v>-44.201922725543042</c:v>
                </c:pt>
                <c:pt idx="371">
                  <c:v>-44.304120147034453</c:v>
                </c:pt>
                <c:pt idx="372">
                  <c:v>-44.405734994357374</c:v>
                </c:pt>
                <c:pt idx="373">
                  <c:v>-44.506773707782258</c:v>
                </c:pt>
                <c:pt idx="374">
                  <c:v>-44.607242624002048</c:v>
                </c:pt>
                <c:pt idx="375">
                  <c:v>-44.707147978286301</c:v>
                </c:pt>
                <c:pt idx="376">
                  <c:v>-44.806495906580977</c:v>
                </c:pt>
                <c:pt idx="377">
                  <c:v>-44.905292447555553</c:v>
                </c:pt>
                <c:pt idx="378">
                  <c:v>-45.003543544598863</c:v>
                </c:pt>
                <c:pt idx="379">
                  <c:v>-45.10125504776542</c:v>
                </c:pt>
                <c:pt idx="380">
                  <c:v>-45.198432715673327</c:v>
                </c:pt>
                <c:pt idx="381">
                  <c:v>-45.295082217355514</c:v>
                </c:pt>
                <c:pt idx="382">
                  <c:v>-45.391209134065271</c:v>
                </c:pt>
                <c:pt idx="383">
                  <c:v>-45.486818961037791</c:v>
                </c:pt>
                <c:pt idx="384">
                  <c:v>-45.581917109208625</c:v>
                </c:pt>
                <c:pt idx="385">
                  <c:v>-45.676508906890518</c:v>
                </c:pt>
                <c:pt idx="386">
                  <c:v>-45.770599601409643</c:v>
                </c:pt>
                <c:pt idx="387">
                  <c:v>-45.864194360702484</c:v>
                </c:pt>
                <c:pt idx="388">
                  <c:v>-45.957298274874425</c:v>
                </c:pt>
                <c:pt idx="389">
                  <c:v>-46.049916357721145</c:v>
                </c:pt>
                <c:pt idx="390">
                  <c:v>-46.142053548213731</c:v>
                </c:pt>
                <c:pt idx="391">
                  <c:v>-46.233714711948849</c:v>
                </c:pt>
                <c:pt idx="392">
                  <c:v>-46.324904642564412</c:v>
                </c:pt>
                <c:pt idx="393">
                  <c:v>-46.415628063122284</c:v>
                </c:pt>
                <c:pt idx="394">
                  <c:v>-46.505889627458387</c:v>
                </c:pt>
                <c:pt idx="395">
                  <c:v>-46.595693921501578</c:v>
                </c:pt>
                <c:pt idx="396">
                  <c:v>-46.685045464561725</c:v>
                </c:pt>
                <c:pt idx="397">
                  <c:v>-46.77394871058813</c:v>
                </c:pt>
                <c:pt idx="398">
                  <c:v>-46.862408049398958</c:v>
                </c:pt>
                <c:pt idx="399">
                  <c:v>-46.950427807882427</c:v>
                </c:pt>
                <c:pt idx="400">
                  <c:v>-47.038012251170684</c:v>
                </c:pt>
                <c:pt idx="401">
                  <c:v>-47.125165583786803</c:v>
                </c:pt>
                <c:pt idx="402">
                  <c:v>-47.211891950765967</c:v>
                </c:pt>
                <c:pt idx="403">
                  <c:v>-47.298195438751279</c:v>
                </c:pt>
                <c:pt idx="404">
                  <c:v>-47.384080077064901</c:v>
                </c:pt>
                <c:pt idx="405">
                  <c:v>-47.469549838755292</c:v>
                </c:pt>
                <c:pt idx="406">
                  <c:v>-47.554608641621002</c:v>
                </c:pt>
                <c:pt idx="407">
                  <c:v>-47.639260349211838</c:v>
                </c:pt>
                <c:pt idx="408">
                  <c:v>-47.723508771807758</c:v>
                </c:pt>
                <c:pt idx="409">
                  <c:v>-47.807357667376252</c:v>
                </c:pt>
                <c:pt idx="410">
                  <c:v>-47.890810742508719</c:v>
                </c:pt>
                <c:pt idx="411">
                  <c:v>-47.973871653336303</c:v>
                </c:pt>
                <c:pt idx="412">
                  <c:v>-48.056544006425838</c:v>
                </c:pt>
                <c:pt idx="413">
                  <c:v>-48.138831359656308</c:v>
                </c:pt>
                <c:pt idx="414">
                  <c:v>-48.220737223076355</c:v>
                </c:pt>
                <c:pt idx="415">
                  <c:v>-48.302265059743405</c:v>
                </c:pt>
                <c:pt idx="416">
                  <c:v>-48.383418286544639</c:v>
                </c:pt>
                <c:pt idx="417">
                  <c:v>-48.46420027500055</c:v>
                </c:pt>
                <c:pt idx="418">
                  <c:v>-48.544614352051298</c:v>
                </c:pt>
                <c:pt idx="419">
                  <c:v>-48.624663800826504</c:v>
                </c:pt>
                <c:pt idx="420">
                  <c:v>-48.704351861398635</c:v>
                </c:pt>
                <c:pt idx="421">
                  <c:v>-48.783681731520623</c:v>
                </c:pt>
                <c:pt idx="422">
                  <c:v>-48.862656567347997</c:v>
                </c:pt>
                <c:pt idx="423">
                  <c:v>-48.941279484145909</c:v>
                </c:pt>
                <c:pt idx="424">
                  <c:v>-49.019553556981435</c:v>
                </c:pt>
                <c:pt idx="425">
                  <c:v>-49.097481821401594</c:v>
                </c:pt>
                <c:pt idx="426">
                  <c:v>-49.175067274097202</c:v>
                </c:pt>
                <c:pt idx="427">
                  <c:v>-49.252312873553294</c:v>
                </c:pt>
                <c:pt idx="428">
                  <c:v>-49.329221540685921</c:v>
                </c:pt>
                <c:pt idx="429">
                  <c:v>-49.405796159466234</c:v>
                </c:pt>
                <c:pt idx="430">
                  <c:v>-49.482039577531594</c:v>
                </c:pt>
                <c:pt idx="431">
                  <c:v>-49.557954606784513</c:v>
                </c:pt>
                <c:pt idx="432">
                  <c:v>-49.633544023979283</c:v>
                </c:pt>
                <c:pt idx="433">
                  <c:v>-49.708810571296986</c:v>
                </c:pt>
                <c:pt idx="434">
                  <c:v>-49.783756956908846</c:v>
                </c:pt>
                <c:pt idx="435">
                  <c:v>-49.858385855528304</c:v>
                </c:pt>
                <c:pt idx="436">
                  <c:v>-49.932699908952259</c:v>
                </c:pt>
                <c:pt idx="437">
                  <c:v>-50.006701726591338</c:v>
                </c:pt>
                <c:pt idx="438">
                  <c:v>-50.080393885989849</c:v>
                </c:pt>
                <c:pt idx="439">
                  <c:v>-50.15377893333546</c:v>
                </c:pt>
                <c:pt idx="440">
                  <c:v>-50.226859383958818</c:v>
                </c:pt>
                <c:pt idx="441">
                  <c:v>-50.299637722823427</c:v>
                </c:pt>
                <c:pt idx="442">
                  <c:v>-50.372116405005947</c:v>
                </c:pt>
                <c:pt idx="443">
                  <c:v>-50.444297856167282</c:v>
                </c:pt>
                <c:pt idx="444">
                  <c:v>-50.51618447301437</c:v>
                </c:pt>
                <c:pt idx="445">
                  <c:v>-50.587778623753181</c:v>
                </c:pt>
                <c:pt idx="446">
                  <c:v>-50.659082648532994</c:v>
                </c:pt>
                <c:pt idx="447">
                  <c:v>-50.730098859882176</c:v>
                </c:pt>
                <c:pt idx="448">
                  <c:v>-50.800829543135549</c:v>
                </c:pt>
                <c:pt idx="449">
                  <c:v>-50.871276956853805</c:v>
                </c:pt>
                <c:pt idx="450">
                  <c:v>-50.941443333234758</c:v>
                </c:pt>
                <c:pt idx="451">
                  <c:v>-51.011330878517057</c:v>
                </c:pt>
                <c:pt idx="452">
                  <c:v>-51.080941773376097</c:v>
                </c:pt>
                <c:pt idx="453">
                  <c:v>-51.150278173312643</c:v>
                </c:pt>
                <c:pt idx="454">
                  <c:v>-51.219342209034089</c:v>
                </c:pt>
                <c:pt idx="455">
                  <c:v>-51.288135986828735</c:v>
                </c:pt>
                <c:pt idx="456">
                  <c:v>-51.356661588932973</c:v>
                </c:pt>
                <c:pt idx="457">
                  <c:v>-51.424921073891817</c:v>
                </c:pt>
                <c:pt idx="458">
                  <c:v>-51.492916476912697</c:v>
                </c:pt>
                <c:pt idx="459">
                  <c:v>-51.56064981021273</c:v>
                </c:pt>
                <c:pt idx="460">
                  <c:v>-51.628123063359787</c:v>
                </c:pt>
                <c:pt idx="461">
                  <c:v>-51.695338203607115</c:v>
                </c:pt>
                <c:pt idx="462">
                  <c:v>-51.762297176222049</c:v>
                </c:pt>
                <c:pt idx="463">
                  <c:v>-51.829001904808713</c:v>
                </c:pt>
                <c:pt idx="464">
                  <c:v>-51.895454291624795</c:v>
                </c:pt>
                <c:pt idx="465">
                  <c:v>-51.961656217892809</c:v>
                </c:pt>
                <c:pt idx="466">
                  <c:v>-52.027609544105587</c:v>
                </c:pt>
                <c:pt idx="467">
                  <c:v>-52.09331611032642</c:v>
                </c:pt>
                <c:pt idx="468">
                  <c:v>-52.158777736483785</c:v>
                </c:pt>
                <c:pt idx="469">
                  <c:v>-52.223996222660851</c:v>
                </c:pt>
                <c:pt idx="470">
                  <c:v>-52.288973349379937</c:v>
                </c:pt>
                <c:pt idx="471">
                  <c:v>-52.353710877881802</c:v>
                </c:pt>
                <c:pt idx="472">
                  <c:v>-52.418210550400119</c:v>
                </c:pt>
                <c:pt idx="473">
                  <c:v>-52.482474090431111</c:v>
                </c:pt>
                <c:pt idx="474">
                  <c:v>-52.546503202998522</c:v>
                </c:pt>
                <c:pt idx="475">
                  <c:v>-52.610299574913853</c:v>
                </c:pt>
                <c:pt idx="476">
                  <c:v>-52.673864875032194</c:v>
                </c:pt>
                <c:pt idx="477">
                  <c:v>-52.737200754503569</c:v>
                </c:pt>
                <c:pt idx="478">
                  <c:v>-52.800308847019998</c:v>
                </c:pt>
                <c:pt idx="479">
                  <c:v>-52.863190769058193</c:v>
                </c:pt>
                <c:pt idx="480">
                  <c:v>-52.925848120118239</c:v>
                </c:pt>
                <c:pt idx="481">
                  <c:v>-52.98828248295812</c:v>
                </c:pt>
                <c:pt idx="482">
                  <c:v>-53.050495423824202</c:v>
                </c:pt>
                <c:pt idx="483">
                  <c:v>-53.112488492677954</c:v>
                </c:pt>
                <c:pt idx="484">
                  <c:v>-53.174263223418649</c:v>
                </c:pt>
                <c:pt idx="485">
                  <c:v>-53.23582113410243</c:v>
                </c:pt>
                <c:pt idx="486">
                  <c:v>-53.297163727157638</c:v>
                </c:pt>
                <c:pt idx="487">
                  <c:v>-53.358292489596586</c:v>
                </c:pt>
                <c:pt idx="488">
                  <c:v>-53.419208893223704</c:v>
                </c:pt>
                <c:pt idx="489">
                  <c:v>-53.4799143948403</c:v>
                </c:pt>
                <c:pt idx="490">
                  <c:v>-53.540410436445882</c:v>
                </c:pt>
                <c:pt idx="491">
                  <c:v>-53.600698445436095</c:v>
                </c:pt>
                <c:pt idx="492">
                  <c:v>-53.660779834797552</c:v>
                </c:pt>
                <c:pt idx="493">
                  <c:v>-53.720656003299247</c:v>
                </c:pt>
                <c:pt idx="494">
                  <c:v>-53.780328335680998</c:v>
                </c:pt>
                <c:pt idx="495">
                  <c:v>-53.839798202838708</c:v>
                </c:pt>
                <c:pt idx="496">
                  <c:v>-53.899066962006671</c:v>
                </c:pt>
                <c:pt idx="497">
                  <c:v>-53.958135956936843</c:v>
                </c:pt>
                <c:pt idx="498">
                  <c:v>-54.017006518075277</c:v>
                </c:pt>
                <c:pt idx="499">
                  <c:v>-54.075679962735691</c:v>
                </c:pt>
                <c:pt idx="500">
                  <c:v>-54.134157595270196</c:v>
                </c:pt>
                <c:pt idx="501">
                  <c:v>-54.192440707237346</c:v>
                </c:pt>
                <c:pt idx="502">
                  <c:v>-54.250530577567446</c:v>
                </c:pt>
                <c:pt idx="503">
                  <c:v>-54.308428472725218</c:v>
                </c:pt>
                <c:pt idx="504">
                  <c:v>-54.366135646869999</c:v>
                </c:pt>
                <c:pt idx="505">
                  <c:v>-54.423653342013182</c:v>
                </c:pt>
                <c:pt idx="506">
                  <c:v>-54.480982788173371</c:v>
                </c:pt>
                <c:pt idx="507">
                  <c:v>-54.538125203528963</c:v>
                </c:pt>
                <c:pt idx="508">
                  <c:v>-54.595081794568387</c:v>
                </c:pt>
                <c:pt idx="509">
                  <c:v>-54.651853756237969</c:v>
                </c:pt>
                <c:pt idx="510">
                  <c:v>-54.708442272087503</c:v>
                </c:pt>
                <c:pt idx="511">
                  <c:v>-54.764848514413494</c:v>
                </c:pt>
                <c:pt idx="512">
                  <c:v>-54.821073644400329</c:v>
                </c:pt>
                <c:pt idx="513">
                  <c:v>-54.877118812258992</c:v>
                </c:pt>
                <c:pt idx="514">
                  <c:v>-54.932985157363959</c:v>
                </c:pt>
                <c:pt idx="515">
                  <c:v>-54.988673808387716</c:v>
                </c:pt>
                <c:pt idx="516">
                  <c:v>-55.044185883433357</c:v>
                </c:pt>
                <c:pt idx="517">
                  <c:v>-55.099522490165135</c:v>
                </c:pt>
                <c:pt idx="518">
                  <c:v>-55.154684725936931</c:v>
                </c:pt>
                <c:pt idx="519">
                  <c:v>-55.209673677918936</c:v>
                </c:pt>
                <c:pt idx="520">
                  <c:v>-55.264490423222199</c:v>
                </c:pt>
                <c:pt idx="521">
                  <c:v>-55.319136029021479</c:v>
                </c:pt>
                <c:pt idx="522">
                  <c:v>-55.373611552676124</c:v>
                </c:pt>
                <c:pt idx="523">
                  <c:v>-55.427918041849168</c:v>
                </c:pt>
                <c:pt idx="524">
                  <c:v>-55.482056534624711</c:v>
                </c:pt>
                <c:pt idx="525">
                  <c:v>-55.536028059623348</c:v>
                </c:pt>
                <c:pt idx="526">
                  <c:v>-55.589833636116104</c:v>
                </c:pt>
                <c:pt idx="527">
                  <c:v>-55.643474274136565</c:v>
                </c:pt>
                <c:pt idx="528">
                  <c:v>-55.696950974591282</c:v>
                </c:pt>
                <c:pt idx="529">
                  <c:v>-55.750264729368702</c:v>
                </c:pt>
                <c:pt idx="530">
                  <c:v>-55.803416521446323</c:v>
                </c:pt>
                <c:pt idx="531">
                  <c:v>-55.856407324996411</c:v>
                </c:pt>
                <c:pt idx="532">
                  <c:v>-55.909238105490083</c:v>
                </c:pt>
                <c:pt idx="533">
                  <c:v>-55.961909819799871</c:v>
                </c:pt>
                <c:pt idx="534">
                  <c:v>-56.014423416300843</c:v>
                </c:pt>
                <c:pt idx="535">
                  <c:v>-56.066779834970212</c:v>
                </c:pt>
                <c:pt idx="536">
                  <c:v>-56.118980007485476</c:v>
                </c:pt>
                <c:pt idx="537">
                  <c:v>-56.171024857321243</c:v>
                </c:pt>
                <c:pt idx="538">
                  <c:v>-56.222915299844459</c:v>
                </c:pt>
                <c:pt idx="539">
                  <c:v>-56.274652242408571</c:v>
                </c:pt>
                <c:pt idx="540">
                  <c:v>-56.326236584445972</c:v>
                </c:pt>
                <c:pt idx="541">
                  <c:v>-56.377669217559465</c:v>
                </c:pt>
                <c:pt idx="542">
                  <c:v>-56.428951025612136</c:v>
                </c:pt>
                <c:pt idx="543">
                  <c:v>-56.480082884816234</c:v>
                </c:pt>
                <c:pt idx="544">
                  <c:v>-56.531065663820485</c:v>
                </c:pt>
                <c:pt idx="545">
                  <c:v>-56.581900223796396</c:v>
                </c:pt>
                <c:pt idx="546">
                  <c:v>-56.632587418523286</c:v>
                </c:pt>
                <c:pt idx="547">
                  <c:v>-56.683128094472053</c:v>
                </c:pt>
                <c:pt idx="548">
                  <c:v>-56.733523090887815</c:v>
                </c:pt>
                <c:pt idx="549">
                  <c:v>-56.783773239871429</c:v>
                </c:pt>
                <c:pt idx="550">
                  <c:v>-56.833879366459811</c:v>
                </c:pt>
                <c:pt idx="551">
                  <c:v>-56.883842288705125</c:v>
                </c:pt>
                <c:pt idx="552">
                  <c:v>-56.933662817753003</c:v>
                </c:pt>
                <c:pt idx="553">
                  <c:v>-56.983341757919447</c:v>
                </c:pt>
                <c:pt idx="554">
                  <c:v>-57.032879906766937</c:v>
                </c:pt>
                <c:pt idx="555">
                  <c:v>-57.082278055179302</c:v>
                </c:pt>
                <c:pt idx="556">
                  <c:v>-57.131536987435602</c:v>
                </c:pt>
                <c:pt idx="557">
                  <c:v>-57.180657481283049</c:v>
                </c:pt>
                <c:pt idx="558">
                  <c:v>-57.229640308008889</c:v>
                </c:pt>
                <c:pt idx="559">
                  <c:v>-57.278486232511305</c:v>
                </c:pt>
                <c:pt idx="560">
                  <c:v>-57.327196013369381</c:v>
                </c:pt>
                <c:pt idx="561">
                  <c:v>-57.37577040291206</c:v>
                </c:pt>
                <c:pt idx="562">
                  <c:v>-57.42421014728626</c:v>
                </c:pt>
                <c:pt idx="563">
                  <c:v>-57.472515986523973</c:v>
                </c:pt>
                <c:pt idx="564">
                  <c:v>-57.520688654608556</c:v>
                </c:pt>
                <c:pt idx="565">
                  <c:v>-57.568728879540018</c:v>
                </c:pt>
                <c:pt idx="566">
                  <c:v>-57.616637383399564</c:v>
                </c:pt>
                <c:pt idx="567">
                  <c:v>-57.664414882413183</c:v>
                </c:pt>
                <c:pt idx="568">
                  <c:v>-57.712062087014374</c:v>
                </c:pt>
                <c:pt idx="569">
                  <c:v>-57.759579701906191</c:v>
                </c:pt>
                <c:pt idx="570">
                  <c:v>-57.806968426122232</c:v>
                </c:pt>
                <c:pt idx="571">
                  <c:v>-57.854228953087031</c:v>
                </c:pt>
                <c:pt idx="572">
                  <c:v>-57.901361970675531</c:v>
                </c:pt>
                <c:pt idx="573">
                  <c:v>-57.948368161271837</c:v>
                </c:pt>
                <c:pt idx="574">
                  <c:v>-57.995248201827138</c:v>
                </c:pt>
                <c:pt idx="575">
                  <c:v>-58.042002763916962</c:v>
                </c:pt>
                <c:pt idx="576">
                  <c:v>-58.088632513797556</c:v>
                </c:pt>
                <c:pt idx="577">
                  <c:v>-58.135138112461689</c:v>
                </c:pt>
                <c:pt idx="578">
                  <c:v>-58.181520215693567</c:v>
                </c:pt>
                <c:pt idx="579">
                  <c:v>-58.227779474123167</c:v>
                </c:pt>
                <c:pt idx="580">
                  <c:v>-58.273916533279802</c:v>
                </c:pt>
                <c:pt idx="581">
                  <c:v>-58.31993203364501</c:v>
                </c:pt>
                <c:pt idx="582">
                  <c:v>-58.365826610704758</c:v>
                </c:pt>
                <c:pt idx="583">
                  <c:v>-58.411600895000994</c:v>
                </c:pt>
                <c:pt idx="584">
                  <c:v>-58.457255512182542</c:v>
                </c:pt>
                <c:pt idx="585">
                  <c:v>-58.502791083055286</c:v>
                </c:pt>
                <c:pt idx="586">
                  <c:v>-58.548208223631804</c:v>
                </c:pt>
                <c:pt idx="587">
                  <c:v>-58.59350754518033</c:v>
                </c:pt>
                <c:pt idx="588">
                  <c:v>-58.638689654273065</c:v>
                </c:pt>
                <c:pt idx="589">
                  <c:v>-58.683755152833953</c:v>
                </c:pt>
                <c:pt idx="590">
                  <c:v>-58.728704638185746</c:v>
                </c:pt>
                <c:pt idx="591">
                  <c:v>-58.773538703096627</c:v>
                </c:pt>
                <c:pt idx="592">
                  <c:v>-58.818257935826075</c:v>
                </c:pt>
                <c:pt idx="593">
                  <c:v>-58.862862920170315</c:v>
                </c:pt>
                <c:pt idx="594">
                  <c:v>-58.907354235507071</c:v>
                </c:pt>
                <c:pt idx="595">
                  <c:v>-58.951732456839856</c:v>
                </c:pt>
                <c:pt idx="596">
                  <c:v>-58.995998154841686</c:v>
                </c:pt>
                <c:pt idx="597">
                  <c:v>-59.040151895898191</c:v>
                </c:pt>
                <c:pt idx="598">
                  <c:v>-59.084194242150275</c:v>
                </c:pt>
                <c:pt idx="599">
                  <c:v>-59.128125751536238</c:v>
                </c:pt>
                <c:pt idx="600">
                  <c:v>-59.171946977833336</c:v>
                </c:pt>
                <c:pt idx="601">
                  <c:v>-59.215658470698827</c:v>
                </c:pt>
                <c:pt idx="602">
                  <c:v>-59.259260775710594</c:v>
                </c:pt>
                <c:pt idx="603">
                  <c:v>-59.302754434407177</c:v>
                </c:pt>
                <c:pt idx="604">
                  <c:v>-59.346139984327436</c:v>
                </c:pt>
                <c:pt idx="605">
                  <c:v>-59.389417959049496</c:v>
                </c:pt>
                <c:pt idx="606">
                  <c:v>-61.426901802233623</c:v>
                </c:pt>
                <c:pt idx="607">
                  <c:v>-63.251027141886446</c:v>
                </c:pt>
                <c:pt idx="608">
                  <c:v>-64.902160594551461</c:v>
                </c:pt>
                <c:pt idx="609">
                  <c:v>-66.410220920226649</c:v>
                </c:pt>
                <c:pt idx="610">
                  <c:v>-67.797993328251636</c:v>
                </c:pt>
                <c:pt idx="611">
                  <c:v>-69.083227688169927</c:v>
                </c:pt>
                <c:pt idx="612">
                  <c:v>-70.280018931185126</c:v>
                </c:pt>
                <c:pt idx="613">
                  <c:v>-71.39974518162208</c:v>
                </c:pt>
                <c:pt idx="614">
                  <c:v>-72.451723281980861</c:v>
                </c:pt>
                <c:pt idx="615">
                  <c:v>-73.443677993762151</c:v>
                </c:pt>
                <c:pt idx="616">
                  <c:v>-74.382084967433428</c:v>
                </c:pt>
                <c:pt idx="617">
                  <c:v>-75.272426129896502</c:v>
                </c:pt>
                <c:pt idx="618">
                  <c:v>-75.616176107995742</c:v>
                </c:pt>
                <c:pt idx="619">
                  <c:v>-75.953260580847015</c:v>
                </c:pt>
                <c:pt idx="620">
                  <c:v>-76.283932959696557</c:v>
                </c:pt>
                <c:pt idx="621">
                  <c:v>-76.608432483003895</c:v>
                </c:pt>
                <c:pt idx="622">
                  <c:v>-76.926985253336241</c:v>
                </c:pt>
                <c:pt idx="623">
                  <c:v>-77.239805181196047</c:v>
                </c:pt>
                <c:pt idx="624">
                  <c:v>-77.54709484562342</c:v>
                </c:pt>
                <c:pt idx="625">
                  <c:v>-77.849046280222296</c:v>
                </c:pt>
                <c:pt idx="626">
                  <c:v>-78.14584169222924</c:v>
                </c:pt>
                <c:pt idx="627">
                  <c:v>-78.437654121350946</c:v>
                </c:pt>
                <c:pt idx="628">
                  <c:v>-78.724648044322166</c:v>
                </c:pt>
                <c:pt idx="629">
                  <c:v>-79.006979930460744</c:v>
                </c:pt>
                <c:pt idx="630">
                  <c:v>-79.284798752907776</c:v>
                </c:pt>
                <c:pt idx="631">
                  <c:v>-79.558246459726419</c:v>
                </c:pt>
                <c:pt idx="632">
                  <c:v>-79.827458408581066</c:v>
                </c:pt>
                <c:pt idx="633">
                  <c:v>-80.092563768323132</c:v>
                </c:pt>
                <c:pt idx="634">
                  <c:v>-80.353685890459786</c:v>
                </c:pt>
                <c:pt idx="635">
                  <c:v>-80.610942653175144</c:v>
                </c:pt>
                <c:pt idx="636">
                  <c:v>-80.864446780301222</c:v>
                </c:pt>
                <c:pt idx="637">
                  <c:v>-81.114306137395175</c:v>
                </c:pt>
                <c:pt idx="638">
                  <c:v>-81.360624006866104</c:v>
                </c:pt>
                <c:pt idx="639">
                  <c:v>-81.603499343904801</c:v>
                </c:pt>
                <c:pt idx="640">
                  <c:v>-81.843027014801294</c:v>
                </c:pt>
                <c:pt idx="641">
                  <c:v>-82.079298019084263</c:v>
                </c:pt>
                <c:pt idx="642">
                  <c:v>-82.312399696782165</c:v>
                </c:pt>
                <c:pt idx="643">
                  <c:v>-82.542415921985707</c:v>
                </c:pt>
                <c:pt idx="644">
                  <c:v>-82.769427283783585</c:v>
                </c:pt>
                <c:pt idx="645">
                  <c:v>-82.993511255546935</c:v>
                </c:pt>
                <c:pt idx="646">
                  <c:v>-83.214742353451157</c:v>
                </c:pt>
                <c:pt idx="647">
                  <c:v>-83.433192285045578</c:v>
                </c:pt>
                <c:pt idx="648">
                  <c:v>-83.64893008861128</c:v>
                </c:pt>
                <c:pt idx="649">
                  <c:v>-83.862022263983761</c:v>
                </c:pt>
                <c:pt idx="650">
                  <c:v>-84.07253289546037</c:v>
                </c:pt>
                <c:pt idx="651">
                  <c:v>-84.280523767359682</c:v>
                </c:pt>
                <c:pt idx="652">
                  <c:v>-84.486054472753892</c:v>
                </c:pt>
                <c:pt idx="653">
                  <c:v>-84.689182515852437</c:v>
                </c:pt>
                <c:pt idx="654">
                  <c:v>-84.889963408476405</c:v>
                </c:pt>
                <c:pt idx="655">
                  <c:v>-85.088450761028099</c:v>
                </c:pt>
                <c:pt idx="656">
                  <c:v>-85.284696368328667</c:v>
                </c:pt>
                <c:pt idx="657">
                  <c:v>-85.478750290666895</c:v>
                </c:pt>
                <c:pt idx="658">
                  <c:v>-85.670660930376386</c:v>
                </c:pt>
                <c:pt idx="659">
                  <c:v>-85.860475104233899</c:v>
                </c:pt>
                <c:pt idx="660">
                  <c:v>-86.048238111949175</c:v>
                </c:pt>
                <c:pt idx="661">
                  <c:v>-86.233993800997197</c:v>
                </c:pt>
                <c:pt idx="662">
                  <c:v>-86.417784628024279</c:v>
                </c:pt>
                <c:pt idx="663">
                  <c:v>-86.599651717043258</c:v>
                </c:pt>
                <c:pt idx="664">
                  <c:v>-86.779634914616906</c:v>
                </c:pt>
                <c:pt idx="665">
                  <c:v>-86.957772842214936</c:v>
                </c:pt>
                <c:pt idx="666">
                  <c:v>-87.134102945916183</c:v>
                </c:pt>
                <c:pt idx="667">
                  <c:v>-87.308661543616125</c:v>
                </c:pt>
              </c:numCache>
            </c:numRef>
          </c:yVal>
          <c:smooth val="0"/>
          <c:extLst>
            <c:ext xmlns:c16="http://schemas.microsoft.com/office/drawing/2014/chart" uri="{C3380CC4-5D6E-409C-BE32-E72D297353CC}">
              <c16:uniqueId val="{00000000-C323-45F5-AD89-2A9969707A73}"/>
            </c:ext>
          </c:extLst>
        </c:ser>
        <c:ser>
          <c:idx val="2"/>
          <c:order val="2"/>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Calculations'!$BF$9:$BF$676</c:f>
              <c:numCache>
                <c:formatCode>General</c:formatCode>
                <c:ptCount val="668"/>
                <c:pt idx="0">
                  <c:v>84.965136704548755</c:v>
                </c:pt>
                <c:pt idx="1">
                  <c:v>81.385631068288049</c:v>
                </c:pt>
                <c:pt idx="2">
                  <c:v>78.517256089266425</c:v>
                </c:pt>
                <c:pt idx="3">
                  <c:v>76.272585993180726</c:v>
                </c:pt>
                <c:pt idx="4">
                  <c:v>74.457234411239199</c:v>
                </c:pt>
                <c:pt idx="5">
                  <c:v>72.941832772150846</c:v>
                </c:pt>
                <c:pt idx="6">
                  <c:v>71.644562590145682</c:v>
                </c:pt>
                <c:pt idx="7">
                  <c:v>70.511987063287293</c:v>
                </c:pt>
                <c:pt idx="8">
                  <c:v>69.507733184540925</c:v>
                </c:pt>
                <c:pt idx="9">
                  <c:v>68.606084128302911</c:v>
                </c:pt>
                <c:pt idx="10">
                  <c:v>62.629132596716275</c:v>
                </c:pt>
                <c:pt idx="11">
                  <c:v>59.115806738989356</c:v>
                </c:pt>
                <c:pt idx="12">
                  <c:v>56.62044559185982</c:v>
                </c:pt>
                <c:pt idx="13">
                  <c:v>54.684303502033693</c:v>
                </c:pt>
                <c:pt idx="14">
                  <c:v>53.102303413254404</c:v>
                </c:pt>
                <c:pt idx="15">
                  <c:v>51.764875285707646</c:v>
                </c:pt>
                <c:pt idx="16">
                  <c:v>50.606558960523984</c:v>
                </c:pt>
                <c:pt idx="17">
                  <c:v>49.585109202931633</c:v>
                </c:pt>
                <c:pt idx="18">
                  <c:v>48.671671411103659</c:v>
                </c:pt>
                <c:pt idx="19">
                  <c:v>42.676377851666359</c:v>
                </c:pt>
                <c:pt idx="20">
                  <c:v>39.196072292534268</c:v>
                </c:pt>
                <c:pt idx="21">
                  <c:v>36.75532109887137</c:v>
                </c:pt>
                <c:pt idx="22">
                  <c:v>34.891668752755734</c:v>
                </c:pt>
                <c:pt idx="23">
                  <c:v>33.399106141471947</c:v>
                </c:pt>
                <c:pt idx="24">
                  <c:v>32.167730661867616</c:v>
                </c:pt>
                <c:pt idx="25">
                  <c:v>31.131933715269788</c:v>
                </c:pt>
                <c:pt idx="26">
                  <c:v>30.249394405067605</c:v>
                </c:pt>
                <c:pt idx="27">
                  <c:v>29.491219367156148</c:v>
                </c:pt>
                <c:pt idx="28">
                  <c:v>27.001935014108092</c:v>
                </c:pt>
                <c:pt idx="29">
                  <c:v>25.956303236695078</c:v>
                </c:pt>
                <c:pt idx="30">
                  <c:v>25.917845520240856</c:v>
                </c:pt>
                <c:pt idx="31">
                  <c:v>26.72038746710577</c:v>
                </c:pt>
                <c:pt idx="32">
                  <c:v>28.219092103494418</c:v>
                </c:pt>
                <c:pt idx="33">
                  <c:v>29.745654348395398</c:v>
                </c:pt>
                <c:pt idx="34">
                  <c:v>29.349876708033491</c:v>
                </c:pt>
                <c:pt idx="35">
                  <c:v>26.698849427299074</c:v>
                </c:pt>
                <c:pt idx="36">
                  <c:v>23.715668358211342</c:v>
                </c:pt>
                <c:pt idx="37">
                  <c:v>21.143994561644842</c:v>
                </c:pt>
                <c:pt idx="38">
                  <c:v>19.008940378364407</c:v>
                </c:pt>
                <c:pt idx="39">
                  <c:v>17.221572473420469</c:v>
                </c:pt>
                <c:pt idx="40">
                  <c:v>15.701060028276032</c:v>
                </c:pt>
                <c:pt idx="41">
                  <c:v>14.387075922711421</c:v>
                </c:pt>
                <c:pt idx="42">
                  <c:v>13.235759225264589</c:v>
                </c:pt>
                <c:pt idx="43">
                  <c:v>12.21491037674987</c:v>
                </c:pt>
                <c:pt idx="44">
                  <c:v>11.300457042732655</c:v>
                </c:pt>
                <c:pt idx="45">
                  <c:v>10.474054658520323</c:v>
                </c:pt>
                <c:pt idx="46">
                  <c:v>9.7214705764753759</c:v>
                </c:pt>
                <c:pt idx="47">
                  <c:v>9.031482361931424</c:v>
                </c:pt>
                <c:pt idx="48">
                  <c:v>8.3951126467535815</c:v>
                </c:pt>
                <c:pt idx="49">
                  <c:v>7.8050872273890173</c:v>
                </c:pt>
                <c:pt idx="50">
                  <c:v>7.255443974715261</c:v>
                </c:pt>
                <c:pt idx="51">
                  <c:v>6.741245610839659</c:v>
                </c:pt>
                <c:pt idx="52">
                  <c:v>6.2583653760032405</c:v>
                </c:pt>
                <c:pt idx="53">
                  <c:v>5.8033247552125165</c:v>
                </c:pt>
                <c:pt idx="54">
                  <c:v>5.3731689957651998</c:v>
                </c:pt>
                <c:pt idx="55">
                  <c:v>4.9653704689163227</c:v>
                </c:pt>
                <c:pt idx="56">
                  <c:v>4.5777528278758242</c:v>
                </c:pt>
                <c:pt idx="57">
                  <c:v>4.2084308925845528</c:v>
                </c:pt>
                <c:pt idx="58">
                  <c:v>3.8557625637421289</c:v>
                </c:pt>
                <c:pt idx="59">
                  <c:v>3.5183100346024117</c:v>
                </c:pt>
                <c:pt idx="60">
                  <c:v>3.1948082588290134</c:v>
                </c:pt>
                <c:pt idx="61">
                  <c:v>2.8841391316454956</c:v>
                </c:pt>
                <c:pt idx="62">
                  <c:v>2.5853102067771561</c:v>
                </c:pt>
                <c:pt idx="63">
                  <c:v>2.297437042071691</c:v>
                </c:pt>
                <c:pt idx="64">
                  <c:v>2.019728468923975</c:v>
                </c:pt>
                <c:pt idx="65">
                  <c:v>1.7514742333538944</c:v>
                </c:pt>
                <c:pt idx="66">
                  <c:v>1.4920345729548665</c:v>
                </c:pt>
                <c:pt idx="67">
                  <c:v>1.2408313833432651</c:v>
                </c:pt>
                <c:pt idx="68">
                  <c:v>0.99734069697990879</c:v>
                </c:pt>
                <c:pt idx="69">
                  <c:v>0.76108625124950302</c:v>
                </c:pt>
                <c:pt idx="70">
                  <c:v>0.53163396511317151</c:v>
                </c:pt>
                <c:pt idx="71">
                  <c:v>0.30858717719576534</c:v>
                </c:pt>
                <c:pt idx="72">
                  <c:v>9.1582524856176045E-2</c:v>
                </c:pt>
                <c:pt idx="73">
                  <c:v>-0.11971363485750548</c:v>
                </c:pt>
                <c:pt idx="74">
                  <c:v>-0.32560834428565755</c:v>
                </c:pt>
                <c:pt idx="75">
                  <c:v>-0.52638477228922109</c:v>
                </c:pt>
                <c:pt idx="76">
                  <c:v>-0.72230460616307157</c:v>
                </c:pt>
                <c:pt idx="77">
                  <c:v>-0.91361015583249605</c:v>
                </c:pt>
                <c:pt idx="78">
                  <c:v>-1.1005262102665205</c:v>
                </c:pt>
                <c:pt idx="79">
                  <c:v>-1.2832616798061558</c:v>
                </c:pt>
                <c:pt idx="80">
                  <c:v>-1.4620110529456847</c:v>
                </c:pt>
                <c:pt idx="81">
                  <c:v>-1.6369556918198334</c:v>
                </c:pt>
                <c:pt idx="82">
                  <c:v>-1.8082649870756129</c:v>
                </c:pt>
                <c:pt idx="83">
                  <c:v>-1.9760973898171459</c:v>
                </c:pt>
                <c:pt idx="84">
                  <c:v>-2.140601335799956</c:v>
                </c:pt>
                <c:pt idx="85">
                  <c:v>-2.3019160749350585</c:v>
                </c:pt>
                <c:pt idx="86">
                  <c:v>-2.4601724173736277</c:v>
                </c:pt>
                <c:pt idx="87">
                  <c:v>-2.6154934059259833</c:v>
                </c:pt>
                <c:pt idx="88">
                  <c:v>-2.7679949232778194</c:v>
                </c:pt>
                <c:pt idx="89">
                  <c:v>-2.91778624136577</c:v>
                </c:pt>
                <c:pt idx="90">
                  <c:v>-3.0649705193322951</c:v>
                </c:pt>
                <c:pt idx="91">
                  <c:v>-3.2096452556721839</c:v>
                </c:pt>
                <c:pt idx="92">
                  <c:v>-3.3519026994877925</c:v>
                </c:pt>
                <c:pt idx="93">
                  <c:v>-3.4918302251712525</c:v>
                </c:pt>
                <c:pt idx="94">
                  <c:v>-3.6295106743137291</c:v>
                </c:pt>
                <c:pt idx="95">
                  <c:v>-3.7650226681932821</c:v>
                </c:pt>
                <c:pt idx="96">
                  <c:v>-3.8984408938030031</c:v>
                </c:pt>
                <c:pt idx="97">
                  <c:v>-4.0298363660420602</c:v>
                </c:pt>
                <c:pt idx="98">
                  <c:v>-4.1592766683963136</c:v>
                </c:pt>
                <c:pt idx="99">
                  <c:v>-4.2868261741765439</c:v>
                </c:pt>
                <c:pt idx="100">
                  <c:v>-4.4125462501558843</c:v>
                </c:pt>
                <c:pt idx="101">
                  <c:v>-4.5364954442490726</c:v>
                </c:pt>
                <c:pt idx="102">
                  <c:v>-4.6587296587013789</c:v>
                </c:pt>
                <c:pt idx="103">
                  <c:v>-4.7793023101010839</c:v>
                </c:pt>
                <c:pt idx="104">
                  <c:v>-4.8982644773932247</c:v>
                </c:pt>
                <c:pt idx="105">
                  <c:v>-5.015665038952239</c:v>
                </c:pt>
                <c:pt idx="106">
                  <c:v>-5.1315507996647272</c:v>
                </c:pt>
                <c:pt idx="107">
                  <c:v>-5.2459666088788044</c:v>
                </c:pt>
                <c:pt idx="108">
                  <c:v>-5.3589554699927202</c:v>
                </c:pt>
                <c:pt idx="109">
                  <c:v>-5.4705586423807953</c:v>
                </c:pt>
                <c:pt idx="110">
                  <c:v>-5.5808157362876409</c:v>
                </c:pt>
                <c:pt idx="111">
                  <c:v>-5.6897648012627355</c:v>
                </c:pt>
                <c:pt idx="112">
                  <c:v>-5.7974424086536462</c:v>
                </c:pt>
                <c:pt idx="113">
                  <c:v>-5.9038837286288555</c:v>
                </c:pt>
                <c:pt idx="114">
                  <c:v>-6.009122602158401</c:v>
                </c:pt>
                <c:pt idx="115">
                  <c:v>-6.1131916083419489</c:v>
                </c:pt>
                <c:pt idx="116">
                  <c:v>-6.2161221274396459</c:v>
                </c:pt>
                <c:pt idx="117">
                  <c:v>-6.3179443999298766</c:v>
                </c:pt>
                <c:pt idx="118">
                  <c:v>-6.4186875818900742</c:v>
                </c:pt>
                <c:pt idx="119">
                  <c:v>-6.51837979697134</c:v>
                </c:pt>
                <c:pt idx="120">
                  <c:v>-6.6170481852149834</c:v>
                </c:pt>
                <c:pt idx="121">
                  <c:v>-6.7147189489381223</c:v>
                </c:pt>
                <c:pt idx="122">
                  <c:v>-6.8114173958969371</c:v>
                </c:pt>
                <c:pt idx="123">
                  <c:v>-6.9071679799190475</c:v>
                </c:pt>
                <c:pt idx="124">
                  <c:v>-7.0019943391811026</c:v>
                </c:pt>
                <c:pt idx="125">
                  <c:v>-7.09591933229364</c:v>
                </c:pt>
                <c:pt idx="126">
                  <c:v>-7.1889650723423024</c:v>
                </c:pt>
                <c:pt idx="127">
                  <c:v>-7.2811529590232347</c:v>
                </c:pt>
                <c:pt idx="128">
                  <c:v>-7.3725037089994085</c:v>
                </c:pt>
                <c:pt idx="129">
                  <c:v>-7.4630373845953422</c:v>
                </c:pt>
                <c:pt idx="130">
                  <c:v>-7.5527734209384239</c:v>
                </c:pt>
                <c:pt idx="131">
                  <c:v>-7.6417306516473928</c:v>
                </c:pt>
                <c:pt idx="132">
                  <c:v>-7.7299273331606235</c:v>
                </c:pt>
                <c:pt idx="133">
                  <c:v>-7.817381167790427</c:v>
                </c:pt>
                <c:pt idx="134">
                  <c:v>-7.904109325583228</c:v>
                </c:pt>
                <c:pt idx="135">
                  <c:v>-7.9901284650595787</c:v>
                </c:pt>
                <c:pt idx="136">
                  <c:v>-8.0754547529030543</c:v>
                </c:pt>
                <c:pt idx="137">
                  <c:v>-8.1601038826618328</c:v>
                </c:pt>
                <c:pt idx="138">
                  <c:v>-8.2440910925226181</c:v>
                </c:pt>
                <c:pt idx="139">
                  <c:v>-8.3274311822123099</c:v>
                </c:pt>
                <c:pt idx="140">
                  <c:v>-8.4101385290789903</c:v>
                </c:pt>
                <c:pt idx="141">
                  <c:v>-8.4922271034004666</c:v>
                </c:pt>
                <c:pt idx="142">
                  <c:v>-8.5737104829651809</c:v>
                </c:pt>
                <c:pt idx="143">
                  <c:v>-8.6546018669675213</c:v>
                </c:pt>
                <c:pt idx="144">
                  <c:v>-8.7349140892565345</c:v>
                </c:pt>
                <c:pt idx="145">
                  <c:v>-8.8146596309748162</c:v>
                </c:pt>
                <c:pt idx="146">
                  <c:v>-8.8938506326216782</c:v>
                </c:pt>
                <c:pt idx="147">
                  <c:v>-8.9724989055727029</c:v>
                </c:pt>
                <c:pt idx="148">
                  <c:v>-9.050615943085635</c:v>
                </c:pt>
                <c:pt idx="149">
                  <c:v>-9.1282129308207818</c:v>
                </c:pt>
                <c:pt idx="150">
                  <c:v>-9.2053007569021634</c:v>
                </c:pt>
                <c:pt idx="151">
                  <c:v>-9.2818900215442532</c:v>
                </c:pt>
                <c:pt idx="152">
                  <c:v>-9.3579910462673617</c:v>
                </c:pt>
                <c:pt idx="153">
                  <c:v>-9.4336138827235718</c:v>
                </c:pt>
                <c:pt idx="154">
                  <c:v>-9.5087683211536049</c:v>
                </c:pt>
                <c:pt idx="155">
                  <c:v>-9.5834638984938536</c:v>
                </c:pt>
                <c:pt idx="156">
                  <c:v>-9.6577099061516698</c:v>
                </c:pt>
                <c:pt idx="157">
                  <c:v>-9.7315153974659427</c:v>
                </c:pt>
                <c:pt idx="158">
                  <c:v>-9.8048891948689167</c:v>
                </c:pt>
                <c:pt idx="159">
                  <c:v>-9.8778398967644172</c:v>
                </c:pt>
                <c:pt idx="160">
                  <c:v>-9.9503758841366086</c:v>
                </c:pt>
                <c:pt idx="161">
                  <c:v>-10.022505326902703</c:v>
                </c:pt>
                <c:pt idx="162">
                  <c:v>-10.094236190022245</c:v>
                </c:pt>
                <c:pt idx="163">
                  <c:v>-10.165576239374907</c:v>
                </c:pt>
                <c:pt idx="164">
                  <c:v>-10.236533047417948</c:v>
                </c:pt>
                <c:pt idx="165">
                  <c:v>-10.307113998634092</c:v>
                </c:pt>
                <c:pt idx="166">
                  <c:v>-10.37732629477965</c:v>
                </c:pt>
                <c:pt idx="167">
                  <c:v>-10.447176959942537</c:v>
                </c:pt>
                <c:pt idx="168">
                  <c:v>-10.516672845419023</c:v>
                </c:pt>
                <c:pt idx="169">
                  <c:v>-10.585820634417713</c:v>
                </c:pt>
                <c:pt idx="170">
                  <c:v>-10.654626846598717</c:v>
                </c:pt>
                <c:pt idx="171">
                  <c:v>-10.723097842455637</c:v>
                </c:pt>
                <c:pt idx="172">
                  <c:v>-10.791239827547535</c:v>
                </c:pt>
                <c:pt idx="173">
                  <c:v>-10.859058856587549</c:v>
                </c:pt>
                <c:pt idx="174">
                  <c:v>-10.926560837394735</c:v>
                </c:pt>
                <c:pt idx="175">
                  <c:v>-10.993751534715155</c:v>
                </c:pt>
                <c:pt idx="176">
                  <c:v>-11.060636573917899</c:v>
                </c:pt>
                <c:pt idx="177">
                  <c:v>-11.127221444571642</c:v>
                </c:pt>
                <c:pt idx="178">
                  <c:v>-11.193511503906821</c:v>
                </c:pt>
                <c:pt idx="179">
                  <c:v>-11.259511980168408</c:v>
                </c:pt>
                <c:pt idx="180">
                  <c:v>-11.32522797586385</c:v>
                </c:pt>
                <c:pt idx="181">
                  <c:v>-11.3906644709107</c:v>
                </c:pt>
                <c:pt idx="182">
                  <c:v>-11.45582632568815</c:v>
                </c:pt>
                <c:pt idx="183">
                  <c:v>-11.52071828399624</c:v>
                </c:pt>
                <c:pt idx="184">
                  <c:v>-11.585344975926898</c:v>
                </c:pt>
                <c:pt idx="185">
                  <c:v>-11.649710920650019</c:v>
                </c:pt>
                <c:pt idx="186">
                  <c:v>-11.713820529118307</c:v>
                </c:pt>
                <c:pt idx="187">
                  <c:v>-11.777678106693932</c:v>
                </c:pt>
                <c:pt idx="188">
                  <c:v>-11.841287855700189</c:v>
                </c:pt>
                <c:pt idx="189">
                  <c:v>-11.904653877901053</c:v>
                </c:pt>
                <c:pt idx="190">
                  <c:v>-11.967780176911472</c:v>
                </c:pt>
                <c:pt idx="191">
                  <c:v>-12.030670660540963</c:v>
                </c:pt>
                <c:pt idx="192">
                  <c:v>-12.093329143073158</c:v>
                </c:pt>
                <c:pt idx="193">
                  <c:v>-12.155759347483583</c:v>
                </c:pt>
                <c:pt idx="194">
                  <c:v>-12.2179649075981</c:v>
                </c:pt>
                <c:pt idx="195">
                  <c:v>-12.27994937019403</c:v>
                </c:pt>
                <c:pt idx="196">
                  <c:v>-12.341716197046189</c:v>
                </c:pt>
                <c:pt idx="197">
                  <c:v>-12.403268766919702</c:v>
                </c:pt>
                <c:pt idx="198">
                  <c:v>-12.464610377511606</c:v>
                </c:pt>
                <c:pt idx="199">
                  <c:v>-12.52574424734285</c:v>
                </c:pt>
                <c:pt idx="200">
                  <c:v>-12.586673517602613</c:v>
                </c:pt>
                <c:pt idx="201">
                  <c:v>-12.64740125394647</c:v>
                </c:pt>
                <c:pt idx="202">
                  <c:v>-12.707930448249932</c:v>
                </c:pt>
                <c:pt idx="203">
                  <c:v>-12.768264020318956</c:v>
                </c:pt>
                <c:pt idx="204">
                  <c:v>-12.828404819558726</c:v>
                </c:pt>
                <c:pt idx="205">
                  <c:v>-12.888355626602198</c:v>
                </c:pt>
                <c:pt idx="206">
                  <c:v>-12.948119154899571</c:v>
                </c:pt>
                <c:pt idx="207">
                  <c:v>-13.007698052269967</c:v>
                </c:pt>
                <c:pt idx="208">
                  <c:v>-13.067094902416617</c:v>
                </c:pt>
                <c:pt idx="209">
                  <c:v>-13.126312226406419</c:v>
                </c:pt>
                <c:pt idx="210">
                  <c:v>-13.185352484115281</c:v>
                </c:pt>
                <c:pt idx="211">
                  <c:v>-13.244218075639999</c:v>
                </c:pt>
                <c:pt idx="212">
                  <c:v>-13.302911342677831</c:v>
                </c:pt>
                <c:pt idx="213">
                  <c:v>-13.361434569874625</c:v>
                </c:pt>
                <c:pt idx="214">
                  <c:v>-13.419789986142485</c:v>
                </c:pt>
                <c:pt idx="215">
                  <c:v>-13.477979765947723</c:v>
                </c:pt>
                <c:pt idx="216">
                  <c:v>-13.536006030570125</c:v>
                </c:pt>
                <c:pt idx="217">
                  <c:v>-13.593870849334067</c:v>
                </c:pt>
                <c:pt idx="218">
                  <c:v>-13.651576240812513</c:v>
                </c:pt>
                <c:pt idx="219">
                  <c:v>-13.709124174004428</c:v>
                </c:pt>
                <c:pt idx="220">
                  <c:v>-13.766516569486413</c:v>
                </c:pt>
                <c:pt idx="221">
                  <c:v>-13.823755300539222</c:v>
                </c:pt>
                <c:pt idx="222">
                  <c:v>-13.880842194249771</c:v>
                </c:pt>
                <c:pt idx="223">
                  <c:v>-13.937779032589322</c:v>
                </c:pt>
                <c:pt idx="224">
                  <c:v>-13.994567553468425</c:v>
                </c:pt>
                <c:pt idx="225">
                  <c:v>-14.051209451769104</c:v>
                </c:pt>
                <c:pt idx="226">
                  <c:v>-14.609908260802131</c:v>
                </c:pt>
                <c:pt idx="227">
                  <c:v>-15.15552597213807</c:v>
                </c:pt>
                <c:pt idx="228">
                  <c:v>-15.689187310464806</c:v>
                </c:pt>
                <c:pt idx="229">
                  <c:v>-16.211763597632029</c:v>
                </c:pt>
                <c:pt idx="230">
                  <c:v>-16.723930535207575</c:v>
                </c:pt>
                <c:pt idx="231">
                  <c:v>-17.226214580040349</c:v>
                </c:pt>
                <c:pt idx="232">
                  <c:v>-17.719029885236214</c:v>
                </c:pt>
                <c:pt idx="233">
                  <c:v>-18.202707442210361</c:v>
                </c:pt>
                <c:pt idx="234">
                  <c:v>-18.677517807756562</c:v>
                </c:pt>
                <c:pt idx="235">
                  <c:v>-19.143688596228309</c:v>
                </c:pt>
                <c:pt idx="236">
                  <c:v>-19.601417741985504</c:v>
                </c:pt>
                <c:pt idx="237">
                  <c:v>-20.050883382448927</c:v>
                </c:pt>
                <c:pt idx="238">
                  <c:v>-20.492251073911891</c:v>
                </c:pt>
                <c:pt idx="239">
                  <c:v>-20.925678929524445</c:v>
                </c:pt>
                <c:pt idx="240">
                  <c:v>-21.351321161192367</c:v>
                </c:pt>
                <c:pt idx="241">
                  <c:v>-21.769330414114787</c:v>
                </c:pt>
                <c:pt idx="242">
                  <c:v>-22.179859203619991</c:v>
                </c:pt>
                <c:pt idx="243">
                  <c:v>-22.583060697817618</c:v>
                </c:pt>
                <c:pt idx="244">
                  <c:v>-22.979089035087604</c:v>
                </c:pt>
                <c:pt idx="245">
                  <c:v>-23.368099321157935</c:v>
                </c:pt>
                <c:pt idx="246">
                  <c:v>-23.750247415043088</c:v>
                </c:pt>
                <c:pt idx="247">
                  <c:v>-24.125689585037449</c:v>
                </c:pt>
                <c:pt idx="248">
                  <c:v>-24.494582094009548</c:v>
                </c:pt>
                <c:pt idx="249">
                  <c:v>-24.857080756291147</c:v>
                </c:pt>
                <c:pt idx="250">
                  <c:v>-25.213340495522374</c:v>
                </c:pt>
                <c:pt idx="251">
                  <c:v>-25.563514923072805</c:v>
                </c:pt>
                <c:pt idx="252">
                  <c:v>-25.907755949423258</c:v>
                </c:pt>
                <c:pt idx="253">
                  <c:v>-26.246213435603913</c:v>
                </c:pt>
                <c:pt idx="254">
                  <c:v>-26.579034887990588</c:v>
                </c:pt>
                <c:pt idx="255">
                  <c:v>-26.906365197103433</c:v>
                </c:pt>
                <c:pt idx="256">
                  <c:v>-27.228346419249366</c:v>
                </c:pt>
                <c:pt idx="257">
                  <c:v>-27.545117598680406</c:v>
                </c:pt>
                <c:pt idx="258">
                  <c:v>-27.856814627236012</c:v>
                </c:pt>
                <c:pt idx="259">
                  <c:v>-28.163570138067442</c:v>
                </c:pt>
                <c:pt idx="260">
                  <c:v>-28.465513429909095</c:v>
                </c:pt>
                <c:pt idx="261">
                  <c:v>-28.762770418390772</c:v>
                </c:pt>
                <c:pt idx="262">
                  <c:v>-29.055463611021931</c:v>
                </c:pt>
                <c:pt idx="263">
                  <c:v>-29.343712102683281</c:v>
                </c:pt>
                <c:pt idx="264">
                  <c:v>-29.627631588704233</c:v>
                </c:pt>
                <c:pt idx="265">
                  <c:v>-29.90733439286555</c:v>
                </c:pt>
                <c:pt idx="266">
                  <c:v>-30.182929507930581</c:v>
                </c:pt>
                <c:pt idx="267">
                  <c:v>-30.454522646566751</c:v>
                </c:pt>
                <c:pt idx="268">
                  <c:v>-30.722216300764028</c:v>
                </c:pt>
                <c:pt idx="269">
                  <c:v>-30.986109808086514</c:v>
                </c:pt>
                <c:pt idx="270">
                  <c:v>-31.246299423303778</c:v>
                </c:pt>
                <c:pt idx="271">
                  <c:v>-31.502878394140509</c:v>
                </c:pt>
                <c:pt idx="272">
                  <c:v>-31.755937040055414</c:v>
                </c:pt>
                <c:pt idx="273">
                  <c:v>-32.005562833115221</c:v>
                </c:pt>
                <c:pt idx="274">
                  <c:v>-32.251840480166308</c:v>
                </c:pt>
                <c:pt idx="275">
                  <c:v>-32.494852005628211</c:v>
                </c:pt>
                <c:pt idx="276">
                  <c:v>-32.734676834339353</c:v>
                </c:pt>
                <c:pt idx="277">
                  <c:v>-32.971391873978916</c:v>
                </c:pt>
                <c:pt idx="278">
                  <c:v>-33.205071596669846</c:v>
                </c:pt>
                <c:pt idx="279">
                  <c:v>-33.435788119438698</c:v>
                </c:pt>
                <c:pt idx="280">
                  <c:v>-33.663611283268878</c:v>
                </c:pt>
                <c:pt idx="281">
                  <c:v>-33.888608730536752</c:v>
                </c:pt>
                <c:pt idx="282">
                  <c:v>-34.110845980665047</c:v>
                </c:pt>
                <c:pt idx="283">
                  <c:v>-34.330386503866769</c:v>
                </c:pt>
                <c:pt idx="284">
                  <c:v>-34.547291792885893</c:v>
                </c:pt>
                <c:pt idx="285">
                  <c:v>-34.761621432669095</c:v>
                </c:pt>
                <c:pt idx="286">
                  <c:v>-34.973433167926324</c:v>
                </c:pt>
                <c:pt idx="287">
                  <c:v>-35.182782968558257</c:v>
                </c:pt>
                <c:pt idx="288">
                  <c:v>-35.389725092944907</c:v>
                </c:pt>
                <c:pt idx="289">
                  <c:v>-35.594312149104063</c:v>
                </c:pt>
                <c:pt idx="290">
                  <c:v>-35.796595153739069</c:v>
                </c:pt>
                <c:pt idx="291">
                  <c:v>-35.996623589205356</c:v>
                </c:pt>
                <c:pt idx="292">
                  <c:v>-36.19444545843222</c:v>
                </c:pt>
                <c:pt idx="293">
                  <c:v>-36.390107337842721</c:v>
                </c:pt>
                <c:pt idx="294">
                  <c:v>-36.583654428319086</c:v>
                </c:pt>
                <c:pt idx="295">
                  <c:v>-36.77513060426466</c:v>
                </c:pt>
                <c:pt idx="296">
                  <c:v>-36.964578460816021</c:v>
                </c:pt>
                <c:pt idx="297">
                  <c:v>-37.152039359261082</c:v>
                </c:pt>
                <c:pt idx="298">
                  <c:v>-37.337553470719492</c:v>
                </c:pt>
                <c:pt idx="299">
                  <c:v>-37.521159818143104</c:v>
                </c:pt>
                <c:pt idx="300">
                  <c:v>-37.702896316693796</c:v>
                </c:pt>
                <c:pt idx="301">
                  <c:v>-37.882799812555923</c:v>
                </c:pt>
                <c:pt idx="302">
                  <c:v>-38.06090612024024</c:v>
                </c:pt>
                <c:pt idx="303">
                  <c:v>-38.237250058435066</c:v>
                </c:pt>
                <c:pt idx="304">
                  <c:v>-38.411865484459653</c:v>
                </c:pt>
                <c:pt idx="305">
                  <c:v>-38.584785327373318</c:v>
                </c:pt>
                <c:pt idx="306">
                  <c:v>-38.756041619792931</c:v>
                </c:pt>
                <c:pt idx="307">
                  <c:v>-38.925665528469338</c:v>
                </c:pt>
                <c:pt idx="308">
                  <c:v>-39.093687383672489</c:v>
                </c:pt>
                <c:pt idx="309">
                  <c:v>-39.260136707432956</c:v>
                </c:pt>
                <c:pt idx="310">
                  <c:v>-39.425042240686231</c:v>
                </c:pt>
                <c:pt idx="311">
                  <c:v>-39.588431969364549</c:v>
                </c:pt>
                <c:pt idx="312">
                  <c:v>-39.750333149479275</c:v>
                </c:pt>
                <c:pt idx="313">
                  <c:v>-39.91077233123552</c:v>
                </c:pt>
                <c:pt idx="314">
                  <c:v>-40.069775382218928</c:v>
                </c:pt>
                <c:pt idx="315">
                  <c:v>-40.227367509692947</c:v>
                </c:pt>
                <c:pt idx="316">
                  <c:v>-40.383573282043713</c:v>
                </c:pt>
                <c:pt idx="317">
                  <c:v>-40.538416649407836</c:v>
                </c:pt>
                <c:pt idx="318">
                  <c:v>-40.69192096351717</c:v>
                </c:pt>
                <c:pt idx="319">
                  <c:v>-40.844108996793082</c:v>
                </c:pt>
                <c:pt idx="320">
                  <c:v>-40.995002960721621</c:v>
                </c:pt>
                <c:pt idx="321">
                  <c:v>-41.144624523539377</c:v>
                </c:pt>
                <c:pt idx="322">
                  <c:v>-41.292994827258688</c:v>
                </c:pt>
                <c:pt idx="323">
                  <c:v>-41.44013450405982</c:v>
                </c:pt>
                <c:pt idx="324">
                  <c:v>-41.586063692076209</c:v>
                </c:pt>
                <c:pt idx="325">
                  <c:v>-41.730802050597873</c:v>
                </c:pt>
                <c:pt idx="326">
                  <c:v>-41.874368774717297</c:v>
                </c:pt>
                <c:pt idx="327">
                  <c:v>-42.01678260944044</c:v>
                </c:pt>
                <c:pt idx="328">
                  <c:v>-42.158061863285148</c:v>
                </c:pt>
                <c:pt idx="329">
                  <c:v>-42.298224421387886</c:v>
                </c:pt>
                <c:pt idx="330">
                  <c:v>-42.437287758138844</c:v>
                </c:pt>
                <c:pt idx="331">
                  <c:v>-42.575268949364826</c:v>
                </c:pt>
                <c:pt idx="332">
                  <c:v>-42.71218468407821</c:v>
                </c:pt>
                <c:pt idx="333">
                  <c:v>-42.84805127580946</c:v>
                </c:pt>
                <c:pt idx="334">
                  <c:v>-42.982884673540326</c:v>
                </c:pt>
                <c:pt idx="335">
                  <c:v>-43.116700472253335</c:v>
                </c:pt>
                <c:pt idx="336">
                  <c:v>-43.249513923113525</c:v>
                </c:pt>
                <c:pt idx="337">
                  <c:v>-43.381339943296588</c:v>
                </c:pt>
                <c:pt idx="338">
                  <c:v>-43.512193125477793</c:v>
                </c:pt>
                <c:pt idx="339">
                  <c:v>-43.642087746995095</c:v>
                </c:pt>
                <c:pt idx="340">
                  <c:v>-43.771037778699188</c:v>
                </c:pt>
                <c:pt idx="341">
                  <c:v>-43.899056893502923</c:v>
                </c:pt>
                <c:pt idx="342">
                  <c:v>-44.026158474641797</c:v>
                </c:pt>
                <c:pt idx="343">
                  <c:v>-44.152355623656774</c:v>
                </c:pt>
                <c:pt idx="344">
                  <c:v>-44.277661168110249</c:v>
                </c:pt>
                <c:pt idx="345">
                  <c:v>-44.402087669045407</c:v>
                </c:pt>
                <c:pt idx="346">
                  <c:v>-44.525647428198965</c:v>
                </c:pt>
                <c:pt idx="347">
                  <c:v>-44.648352494976542</c:v>
                </c:pt>
                <c:pt idx="348">
                  <c:v>-44.770214673199931</c:v>
                </c:pt>
                <c:pt idx="349">
                  <c:v>-44.891245527634787</c:v>
                </c:pt>
                <c:pt idx="350">
                  <c:v>-45.011456390307018</c:v>
                </c:pt>
                <c:pt idx="351">
                  <c:v>-45.130858366615925</c:v>
                </c:pt>
                <c:pt idx="352">
                  <c:v>-45.249462341251636</c:v>
                </c:pt>
                <c:pt idx="353">
                  <c:v>-45.367278983924059</c:v>
                </c:pt>
                <c:pt idx="354">
                  <c:v>-45.484318754910468</c:v>
                </c:pt>
                <c:pt idx="355">
                  <c:v>-45.600591910428328</c:v>
                </c:pt>
                <c:pt idx="356">
                  <c:v>-45.716108507839849</c:v>
                </c:pt>
                <c:pt idx="357">
                  <c:v>-45.830878410694254</c:v>
                </c:pt>
                <c:pt idx="358">
                  <c:v>-45.944911293613906</c:v>
                </c:pt>
                <c:pt idx="359">
                  <c:v>-46.058216647029766</c:v>
                </c:pt>
                <c:pt idx="360">
                  <c:v>-46.170803781771639</c:v>
                </c:pt>
                <c:pt idx="361">
                  <c:v>-46.282681833518453</c:v>
                </c:pt>
                <c:pt idx="362">
                  <c:v>-46.393859767113561</c:v>
                </c:pt>
                <c:pt idx="363">
                  <c:v>-46.504346380749844</c:v>
                </c:pt>
                <c:pt idx="364">
                  <c:v>-46.614150310029238</c:v>
                </c:pt>
                <c:pt idx="365">
                  <c:v>-46.723280031900948</c:v>
                </c:pt>
                <c:pt idx="366">
                  <c:v>-46.831743868482931</c:v>
                </c:pt>
                <c:pt idx="367">
                  <c:v>-46.939549990770317</c:v>
                </c:pt>
                <c:pt idx="368">
                  <c:v>-47.04670642223499</c:v>
                </c:pt>
                <c:pt idx="369">
                  <c:v>-47.153221042319927</c:v>
                </c:pt>
                <c:pt idx="370">
                  <c:v>-47.259101589831886</c:v>
                </c:pt>
                <c:pt idx="371">
                  <c:v>-47.364355666236094</c:v>
                </c:pt>
                <c:pt idx="372">
                  <c:v>-47.468990738856064</c:v>
                </c:pt>
                <c:pt idx="373">
                  <c:v>-47.573014143981794</c:v>
                </c:pt>
                <c:pt idx="374">
                  <c:v>-47.676433089889571</c:v>
                </c:pt>
                <c:pt idx="375">
                  <c:v>-47.779254659776107</c:v>
                </c:pt>
                <c:pt idx="376">
                  <c:v>-47.881485814610173</c:v>
                </c:pt>
                <c:pt idx="377">
                  <c:v>-47.983133395904041</c:v>
                </c:pt>
                <c:pt idx="378">
                  <c:v>-48.084204128407848</c:v>
                </c:pt>
                <c:pt idx="379">
                  <c:v>-48.184704622729058</c:v>
                </c:pt>
                <c:pt idx="380">
                  <c:v>-48.28464137787968</c:v>
                </c:pt>
                <c:pt idx="381">
                  <c:v>-48.384020783753442</c:v>
                </c:pt>
                <c:pt idx="382">
                  <c:v>-48.482849123535317</c:v>
                </c:pt>
                <c:pt idx="383">
                  <c:v>-48.581132576045547</c:v>
                </c:pt>
                <c:pt idx="384">
                  <c:v>-48.67887721802019</c:v>
                </c:pt>
                <c:pt idx="385">
                  <c:v>-48.776089026330276</c:v>
                </c:pt>
                <c:pt idx="386">
                  <c:v>-48.872773880141558</c:v>
                </c:pt>
                <c:pt idx="387">
                  <c:v>-48.968937563016738</c:v>
                </c:pt>
                <c:pt idx="388">
                  <c:v>-49.064585764961784</c:v>
                </c:pt>
                <c:pt idx="389">
                  <c:v>-49.159724084418386</c:v>
                </c:pt>
                <c:pt idx="390">
                  <c:v>-49.254358030204045</c:v>
                </c:pt>
                <c:pt idx="391">
                  <c:v>-49.348493023401439</c:v>
                </c:pt>
                <c:pt idx="392">
                  <c:v>-49.442134399198714</c:v>
                </c:pt>
                <c:pt idx="393">
                  <c:v>-49.535287408682045</c:v>
                </c:pt>
                <c:pt idx="394">
                  <c:v>-49.627957220582147</c:v>
                </c:pt>
                <c:pt idx="395">
                  <c:v>-49.720148922975945</c:v>
                </c:pt>
                <c:pt idx="396">
                  <c:v>-49.811867524944901</c:v>
                </c:pt>
                <c:pt idx="397">
                  <c:v>-49.903117958191174</c:v>
                </c:pt>
                <c:pt idx="398">
                  <c:v>-49.993905078613025</c:v>
                </c:pt>
                <c:pt idx="399">
                  <c:v>-50.084233667840536</c:v>
                </c:pt>
                <c:pt idx="400">
                  <c:v>-50.174108434733</c:v>
                </c:pt>
                <c:pt idx="401">
                  <c:v>-50.263534016838911</c:v>
                </c:pt>
                <c:pt idx="402">
                  <c:v>-50.352514981819823</c:v>
                </c:pt>
                <c:pt idx="403">
                  <c:v>-50.441055828839097</c:v>
                </c:pt>
                <c:pt idx="404">
                  <c:v>-50.529160989916448</c:v>
                </c:pt>
                <c:pt idx="405">
                  <c:v>-50.616834831249527</c:v>
                </c:pt>
                <c:pt idx="406">
                  <c:v>-50.704081654503206</c:v>
                </c:pt>
                <c:pt idx="407">
                  <c:v>-50.790905698067746</c:v>
                </c:pt>
                <c:pt idx="408">
                  <c:v>-50.877311138286558</c:v>
                </c:pt>
                <c:pt idx="409">
                  <c:v>-50.963302090654601</c:v>
                </c:pt>
                <c:pt idx="410">
                  <c:v>-51.048882610987995</c:v>
                </c:pt>
                <c:pt idx="411">
                  <c:v>-51.13405669656602</c:v>
                </c:pt>
                <c:pt idx="412">
                  <c:v>-51.218828287245934</c:v>
                </c:pt>
                <c:pt idx="413">
                  <c:v>-51.303201266551561</c:v>
                </c:pt>
                <c:pt idx="414">
                  <c:v>-51.387179462736377</c:v>
                </c:pt>
                <c:pt idx="415">
                  <c:v>-51.470766649821755</c:v>
                </c:pt>
                <c:pt idx="416">
                  <c:v>-51.553966548611044</c:v>
                </c:pt>
                <c:pt idx="417">
                  <c:v>-51.636782827680236</c:v>
                </c:pt>
                <c:pt idx="418">
                  <c:v>-51.71921910434569</c:v>
                </c:pt>
                <c:pt idx="419">
                  <c:v>-51.801278945609837</c:v>
                </c:pt>
                <c:pt idx="420">
                  <c:v>-51.882965869085126</c:v>
                </c:pt>
                <c:pt idx="421">
                  <c:v>-51.964283343897002</c:v>
                </c:pt>
                <c:pt idx="422">
                  <c:v>-52.0452347915665</c:v>
                </c:pt>
                <c:pt idx="423">
                  <c:v>-52.12582358687289</c:v>
                </c:pt>
                <c:pt idx="424">
                  <c:v>-52.206053058696895</c:v>
                </c:pt>
                <c:pt idx="425">
                  <c:v>-52.285926490845256</c:v>
                </c:pt>
                <c:pt idx="426">
                  <c:v>-52.365447122856722</c:v>
                </c:pt>
                <c:pt idx="427">
                  <c:v>-52.444618150790383</c:v>
                </c:pt>
                <c:pt idx="428">
                  <c:v>-52.523442727996439</c:v>
                </c:pt>
                <c:pt idx="429">
                  <c:v>-52.601923965870157</c:v>
                </c:pt>
                <c:pt idx="430">
                  <c:v>-52.680064934589275</c:v>
                </c:pt>
                <c:pt idx="431">
                  <c:v>-52.75786866383541</c:v>
                </c:pt>
                <c:pt idx="432">
                  <c:v>-52.835338143499662</c:v>
                </c:pt>
                <c:pt idx="433">
                  <c:v>-52.912476324373216</c:v>
                </c:pt>
                <c:pt idx="434">
                  <c:v>-52.989286118822847</c:v>
                </c:pt>
                <c:pt idx="435">
                  <c:v>-53.065770401452099</c:v>
                </c:pt>
                <c:pt idx="436">
                  <c:v>-53.141932009748345</c:v>
                </c:pt>
                <c:pt idx="437">
                  <c:v>-53.217773744716084</c:v>
                </c:pt>
                <c:pt idx="438">
                  <c:v>-53.293298371496753</c:v>
                </c:pt>
                <c:pt idx="439">
                  <c:v>-53.368508619975657</c:v>
                </c:pt>
                <c:pt idx="440">
                  <c:v>-53.443407185376017</c:v>
                </c:pt>
                <c:pt idx="441">
                  <c:v>-53.517996728840664</c:v>
                </c:pt>
                <c:pt idx="442">
                  <c:v>-53.592279878001577</c:v>
                </c:pt>
                <c:pt idx="443">
                  <c:v>-53.666259227537694</c:v>
                </c:pt>
                <c:pt idx="444">
                  <c:v>-53.739937339721166</c:v>
                </c:pt>
                <c:pt idx="445">
                  <c:v>-53.813316744952296</c:v>
                </c:pt>
                <c:pt idx="446">
                  <c:v>-53.886399942283703</c:v>
                </c:pt>
                <c:pt idx="447">
                  <c:v>-53.959189399933585</c:v>
                </c:pt>
                <c:pt idx="448">
                  <c:v>-54.031687555788722</c:v>
                </c:pt>
                <c:pt idx="449">
                  <c:v>-54.103896817897201</c:v>
                </c:pt>
                <c:pt idx="450">
                  <c:v>-54.17581956495124</c:v>
                </c:pt>
                <c:pt idx="451">
                  <c:v>-54.247458146760309</c:v>
                </c:pt>
                <c:pt idx="452">
                  <c:v>-54.31881488471479</c:v>
                </c:pt>
                <c:pt idx="453">
                  <c:v>-54.389892072240372</c:v>
                </c:pt>
                <c:pt idx="454">
                  <c:v>-54.46069197524352</c:v>
                </c:pt>
                <c:pt idx="455">
                  <c:v>-54.531216832548004</c:v>
                </c:pt>
                <c:pt idx="456">
                  <c:v>-54.601468856322924</c:v>
                </c:pt>
                <c:pt idx="457">
                  <c:v>-54.671450232502288</c:v>
                </c:pt>
                <c:pt idx="458">
                  <c:v>-54.741163121196443</c:v>
                </c:pt>
                <c:pt idx="459">
                  <c:v>-54.810609657095441</c:v>
                </c:pt>
                <c:pt idx="460">
                  <c:v>-54.87979194986459</c:v>
                </c:pt>
                <c:pt idx="461">
                  <c:v>-54.94871208453241</c:v>
                </c:pt>
                <c:pt idx="462">
                  <c:v>-55.017372121871063</c:v>
                </c:pt>
                <c:pt idx="463">
                  <c:v>-55.085774098769505</c:v>
                </c:pt>
                <c:pt idx="464">
                  <c:v>-55.153920028599529</c:v>
                </c:pt>
                <c:pt idx="465">
                  <c:v>-55.221811901574789</c:v>
                </c:pt>
                <c:pt idx="466">
                  <c:v>-55.289451685103117</c:v>
                </c:pt>
                <c:pt idx="467">
                  <c:v>-55.356841324132056</c:v>
                </c:pt>
                <c:pt idx="468">
                  <c:v>-55.423982741487976</c:v>
                </c:pt>
                <c:pt idx="469">
                  <c:v>-55.490877838208803</c:v>
                </c:pt>
                <c:pt idx="470">
                  <c:v>-55.557528493870535</c:v>
                </c:pt>
                <c:pt idx="471">
                  <c:v>-55.623936566907631</c:v>
                </c:pt>
                <c:pt idx="472">
                  <c:v>-55.690103894927617</c:v>
                </c:pt>
                <c:pt idx="473">
                  <c:v>-55.756032295019637</c:v>
                </c:pt>
                <c:pt idx="474">
                  <c:v>-55.821723564057486</c:v>
                </c:pt>
                <c:pt idx="475">
                  <c:v>-55.887179478997098</c:v>
                </c:pt>
                <c:pt idx="476">
                  <c:v>-55.952401797168456</c:v>
                </c:pt>
                <c:pt idx="477">
                  <c:v>-56.017392256562346</c:v>
                </c:pt>
                <c:pt idx="478">
                  <c:v>-56.082152576111774</c:v>
                </c:pt>
                <c:pt idx="479">
                  <c:v>-56.146684455968369</c:v>
                </c:pt>
                <c:pt idx="480">
                  <c:v>-56.210989577773788</c:v>
                </c:pt>
                <c:pt idx="481">
                  <c:v>-56.27506960492623</c:v>
                </c:pt>
                <c:pt idx="482">
                  <c:v>-56.338926182842172</c:v>
                </c:pt>
                <c:pt idx="483">
                  <c:v>-56.402560939213522</c:v>
                </c:pt>
                <c:pt idx="484">
                  <c:v>-56.465975484260056</c:v>
                </c:pt>
                <c:pt idx="485">
                  <c:v>-56.529171410977533</c:v>
                </c:pt>
                <c:pt idx="486">
                  <c:v>-56.592150295381302</c:v>
                </c:pt>
                <c:pt idx="487">
                  <c:v>-56.654913696745723</c:v>
                </c:pt>
                <c:pt idx="488">
                  <c:v>-56.717463157839354</c:v>
                </c:pt>
                <c:pt idx="489">
                  <c:v>-56.779800205156015</c:v>
                </c:pt>
                <c:pt idx="490">
                  <c:v>-56.841926349141865</c:v>
                </c:pt>
                <c:pt idx="491">
                  <c:v>-56.903843084418497</c:v>
                </c:pt>
                <c:pt idx="492">
                  <c:v>-56.965551890002224</c:v>
                </c:pt>
                <c:pt idx="493">
                  <c:v>-57.027054229519521</c:v>
                </c:pt>
                <c:pt idx="494">
                  <c:v>-57.088351551418896</c:v>
                </c:pt>
                <c:pt idx="495">
                  <c:v>-57.149445289178935</c:v>
                </c:pt>
                <c:pt idx="496">
                  <c:v>-57.210336861512999</c:v>
                </c:pt>
                <c:pt idx="497">
                  <c:v>-57.271027672570312</c:v>
                </c:pt>
                <c:pt idx="498">
                  <c:v>-57.331519112133734</c:v>
                </c:pt>
                <c:pt idx="499">
                  <c:v>-57.391812555814077</c:v>
                </c:pt>
                <c:pt idx="500">
                  <c:v>-57.451909365241278</c:v>
                </c:pt>
                <c:pt idx="501">
                  <c:v>-57.511810888252271</c:v>
                </c:pt>
                <c:pt idx="502">
                  <c:v>-57.57151845907579</c:v>
                </c:pt>
                <c:pt idx="503">
                  <c:v>-57.631033398514042</c:v>
                </c:pt>
                <c:pt idx="504">
                  <c:v>-57.690357014121346</c:v>
                </c:pt>
                <c:pt idx="505">
                  <c:v>-57.749490600379929</c:v>
                </c:pt>
                <c:pt idx="506">
                  <c:v>-57.808435438872642</c:v>
                </c:pt>
                <c:pt idx="507">
                  <c:v>-57.867192798453019</c:v>
                </c:pt>
                <c:pt idx="508">
                  <c:v>-57.925763935412427</c:v>
                </c:pt>
                <c:pt idx="509">
                  <c:v>-57.984150093644509</c:v>
                </c:pt>
                <c:pt idx="510">
                  <c:v>-58.042352504806985</c:v>
                </c:pt>
                <c:pt idx="511">
                  <c:v>-58.100372388480785</c:v>
                </c:pt>
                <c:pt idx="512">
                  <c:v>-58.158210952326648</c:v>
                </c:pt>
                <c:pt idx="513">
                  <c:v>-58.215869392239135</c:v>
                </c:pt>
                <c:pt idx="514">
                  <c:v>-58.273348892498262</c:v>
                </c:pt>
                <c:pt idx="515">
                  <c:v>-58.330650625918565</c:v>
                </c:pt>
                <c:pt idx="516">
                  <c:v>-58.387775753995911</c:v>
                </c:pt>
                <c:pt idx="517">
                  <c:v>-58.444725427051921</c:v>
                </c:pt>
                <c:pt idx="518">
                  <c:v>-58.501500784376084</c:v>
                </c:pt>
                <c:pt idx="519">
                  <c:v>-58.558102954365637</c:v>
                </c:pt>
                <c:pt idx="520">
                  <c:v>-58.614533054663241</c:v>
                </c:pt>
                <c:pt idx="521">
                  <c:v>-58.67079219229251</c:v>
                </c:pt>
                <c:pt idx="522">
                  <c:v>-58.726881463791337</c:v>
                </c:pt>
                <c:pt idx="523">
                  <c:v>-58.782801955343267</c:v>
                </c:pt>
                <c:pt idx="524">
                  <c:v>-58.838554742906695</c:v>
                </c:pt>
                <c:pt idx="525">
                  <c:v>-58.894140892342122</c:v>
                </c:pt>
                <c:pt idx="526">
                  <c:v>-58.949561459537428</c:v>
                </c:pt>
                <c:pt idx="527">
                  <c:v>-59.004817490531238</c:v>
                </c:pt>
                <c:pt idx="528">
                  <c:v>-59.059910021634316</c:v>
                </c:pt>
                <c:pt idx="529">
                  <c:v>-59.114840079549168</c:v>
                </c:pt>
                <c:pt idx="530">
                  <c:v>-59.169608681487802</c:v>
                </c:pt>
                <c:pt idx="531">
                  <c:v>-59.224216835287642</c:v>
                </c:pt>
                <c:pt idx="532">
                  <c:v>-59.278665539525754</c:v>
                </c:pt>
                <c:pt idx="533">
                  <c:v>-59.332955783631256</c:v>
                </c:pt>
                <c:pt idx="534">
                  <c:v>-59.38708854799615</c:v>
                </c:pt>
                <c:pt idx="535">
                  <c:v>-59.441064804084327</c:v>
                </c:pt>
                <c:pt idx="536">
                  <c:v>-59.49488551453905</c:v>
                </c:pt>
                <c:pt idx="537">
                  <c:v>-59.548551633288831</c:v>
                </c:pt>
                <c:pt idx="538">
                  <c:v>-59.6020641056516</c:v>
                </c:pt>
                <c:pt idx="539">
                  <c:v>-59.655423868437495</c:v>
                </c:pt>
                <c:pt idx="540">
                  <c:v>-59.708631850049997</c:v>
                </c:pt>
                <c:pt idx="541">
                  <c:v>-59.76168897058561</c:v>
                </c:pt>
                <c:pt idx="542">
                  <c:v>-59.814596141932114</c:v>
                </c:pt>
                <c:pt idx="543">
                  <c:v>-59.867354267865267</c:v>
                </c:pt>
                <c:pt idx="544">
                  <c:v>-59.919964244144182</c:v>
                </c:pt>
                <c:pt idx="545">
                  <c:v>-59.972426958605297</c:v>
                </c:pt>
                <c:pt idx="546">
                  <c:v>-60.024743291254936</c:v>
                </c:pt>
                <c:pt idx="547">
                  <c:v>-60.076914114360484</c:v>
                </c:pt>
                <c:pt idx="548">
                  <c:v>-60.128940292540406</c:v>
                </c:pt>
                <c:pt idx="549">
                  <c:v>-60.180822682852757</c:v>
                </c:pt>
                <c:pt idx="550">
                  <c:v>-60.232562134882585</c:v>
                </c:pt>
                <c:pt idx="551">
                  <c:v>-60.284159490827918</c:v>
                </c:pt>
                <c:pt idx="552">
                  <c:v>-60.335615585584705</c:v>
                </c:pt>
                <c:pt idx="553">
                  <c:v>-60.386931246830351</c:v>
                </c:pt>
                <c:pt idx="554">
                  <c:v>-60.438107295106221</c:v>
                </c:pt>
                <c:pt idx="555">
                  <c:v>-60.48914454389886</c:v>
                </c:pt>
                <c:pt idx="556">
                  <c:v>-60.540043799720074</c:v>
                </c:pt>
                <c:pt idx="557">
                  <c:v>-60.590805862186016</c:v>
                </c:pt>
                <c:pt idx="558">
                  <c:v>-60.641431524094898</c:v>
                </c:pt>
                <c:pt idx="559">
                  <c:v>-60.691921571503897</c:v>
                </c:pt>
                <c:pt idx="560">
                  <c:v>-60.742276783804748</c:v>
                </c:pt>
                <c:pt idx="561">
                  <c:v>-60.79249793379843</c:v>
                </c:pt>
                <c:pt idx="562">
                  <c:v>-60.842585787768712</c:v>
                </c:pt>
                <c:pt idx="563">
                  <c:v>-60.892541105554791</c:v>
                </c:pt>
                <c:pt idx="564">
                  <c:v>-60.942364640622799</c:v>
                </c:pt>
                <c:pt idx="565">
                  <c:v>-60.992057140136367</c:v>
                </c:pt>
                <c:pt idx="566">
                  <c:v>-61.041619345026291</c:v>
                </c:pt>
                <c:pt idx="567">
                  <c:v>-61.0910519900591</c:v>
                </c:pt>
                <c:pt idx="568">
                  <c:v>-61.140355803904797</c:v>
                </c:pt>
                <c:pt idx="569">
                  <c:v>-61.189531509203611</c:v>
                </c:pt>
                <c:pt idx="570">
                  <c:v>-61.238579822631898</c:v>
                </c:pt>
                <c:pt idx="571">
                  <c:v>-61.287501454967071</c:v>
                </c:pt>
                <c:pt idx="572">
                  <c:v>-61.336297111151694</c:v>
                </c:pt>
                <c:pt idx="573">
                  <c:v>-61.384967490356729</c:v>
                </c:pt>
                <c:pt idx="574">
                  <c:v>-61.433513286043848</c:v>
                </c:pt>
                <c:pt idx="575">
                  <c:v>-61.481935186027023</c:v>
                </c:pt>
                <c:pt idx="576">
                  <c:v>-61.530233872533167</c:v>
                </c:pt>
                <c:pt idx="577">
                  <c:v>-61.578410022262076</c:v>
                </c:pt>
                <c:pt idx="578">
                  <c:v>-61.62646430644547</c:v>
                </c:pt>
                <c:pt idx="579">
                  <c:v>-61.674397390905341</c:v>
                </c:pt>
                <c:pt idx="580">
                  <c:v>-61.72220993611144</c:v>
                </c:pt>
                <c:pt idx="581">
                  <c:v>-61.769902597238044</c:v>
                </c:pt>
                <c:pt idx="582">
                  <c:v>-61.817476024220007</c:v>
                </c:pt>
                <c:pt idx="583">
                  <c:v>-61.864930861808027</c:v>
                </c:pt>
                <c:pt idx="584">
                  <c:v>-61.912267749623162</c:v>
                </c:pt>
                <c:pt idx="585">
                  <c:v>-61.959487322210691</c:v>
                </c:pt>
                <c:pt idx="586">
                  <c:v>-62.006590209093268</c:v>
                </c:pt>
                <c:pt idx="587">
                  <c:v>-62.053577034823334</c:v>
                </c:pt>
                <c:pt idx="588">
                  <c:v>-62.100448419034848</c:v>
                </c:pt>
                <c:pt idx="589">
                  <c:v>-62.14720497649445</c:v>
                </c:pt>
                <c:pt idx="590">
                  <c:v>-62.193847317151821</c:v>
                </c:pt>
                <c:pt idx="591">
                  <c:v>-62.240376046189461</c:v>
                </c:pt>
                <c:pt idx="592">
                  <c:v>-62.286791764071879</c:v>
                </c:pt>
                <c:pt idx="593">
                  <c:v>-62.333095066593998</c:v>
                </c:pt>
                <c:pt idx="594">
                  <c:v>-62.37928654492918</c:v>
                </c:pt>
                <c:pt idx="595">
                  <c:v>-62.42536678567631</c:v>
                </c:pt>
                <c:pt idx="596">
                  <c:v>-62.471336370906634</c:v>
                </c:pt>
                <c:pt idx="597">
                  <c:v>-62.517195878209755</c:v>
                </c:pt>
                <c:pt idx="598">
                  <c:v>-62.562945880739107</c:v>
                </c:pt>
                <c:pt idx="599">
                  <c:v>-62.608586947256924</c:v>
                </c:pt>
                <c:pt idx="600">
                  <c:v>-62.65411964217855</c:v>
                </c:pt>
                <c:pt idx="601">
                  <c:v>-62.69954452561624</c:v>
                </c:pt>
                <c:pt idx="602">
                  <c:v>-62.744862153422417</c:v>
                </c:pt>
                <c:pt idx="603">
                  <c:v>-62.790073077232321</c:v>
                </c:pt>
                <c:pt idx="604">
                  <c:v>-62.835177844506262</c:v>
                </c:pt>
                <c:pt idx="605">
                  <c:v>-62.880176998571173</c:v>
                </c:pt>
                <c:pt idx="606">
                  <c:v>-65.006393148761305</c:v>
                </c:pt>
                <c:pt idx="607">
                  <c:v>-66.9249016200407</c:v>
                </c:pt>
                <c:pt idx="608">
                  <c:v>-68.676305120599153</c:v>
                </c:pt>
                <c:pt idx="609">
                  <c:v>-70.290453151329629</c:v>
                </c:pt>
                <c:pt idx="610">
                  <c:v>-71.789891635139909</c:v>
                </c:pt>
                <c:pt idx="611">
                  <c:v>-73.192034763008564</c:v>
                </c:pt>
                <c:pt idx="612">
                  <c:v>-74.510588354191256</c:v>
                </c:pt>
                <c:pt idx="613">
                  <c:v>-75.756514561071512</c:v>
                </c:pt>
                <c:pt idx="614">
                  <c:v>-76.938704611693765</c:v>
                </c:pt>
                <c:pt idx="615">
                  <c:v>-78.064459538733018</c:v>
                </c:pt>
                <c:pt idx="616">
                  <c:v>-79.13984101039037</c:v>
                </c:pt>
                <c:pt idx="617">
                  <c:v>-80.169932090327222</c:v>
                </c:pt>
                <c:pt idx="618">
                  <c:v>-80.569527108205818</c:v>
                </c:pt>
                <c:pt idx="619">
                  <c:v>-80.962827470361418</c:v>
                </c:pt>
                <c:pt idx="620">
                  <c:v>-81.35006446758679</c:v>
                </c:pt>
                <c:pt idx="621">
                  <c:v>-81.731455671636994</c:v>
                </c:pt>
                <c:pt idx="622">
                  <c:v>-82.1072059949324</c:v>
                </c:pt>
                <c:pt idx="623">
                  <c:v>-82.477508652870654</c:v>
                </c:pt>
                <c:pt idx="624">
                  <c:v>-82.842546039090564</c:v>
                </c:pt>
                <c:pt idx="625">
                  <c:v>-83.202490522776202</c:v>
                </c:pt>
                <c:pt idx="626">
                  <c:v>-83.557505176007055</c:v>
                </c:pt>
                <c:pt idx="627">
                  <c:v>-83.907744438222451</c:v>
                </c:pt>
                <c:pt idx="628">
                  <c:v>-84.253354724055214</c:v>
                </c:pt>
                <c:pt idx="629">
                  <c:v>-84.594474980082083</c:v>
                </c:pt>
                <c:pt idx="630">
                  <c:v>-84.931237195420238</c:v>
                </c:pt>
                <c:pt idx="631">
                  <c:v>-85.263766870560119</c:v>
                </c:pt>
                <c:pt idx="632">
                  <c:v>-85.592183448350994</c:v>
                </c:pt>
                <c:pt idx="633">
                  <c:v>-85.916600710639855</c:v>
                </c:pt>
                <c:pt idx="634">
                  <c:v>-86.23712714369843</c:v>
                </c:pt>
                <c:pt idx="635">
                  <c:v>-86.553866275249547</c:v>
                </c:pt>
                <c:pt idx="636">
                  <c:v>-86.866916985619071</c:v>
                </c:pt>
                <c:pt idx="637">
                  <c:v>-87.176373795285599</c:v>
                </c:pt>
                <c:pt idx="638">
                  <c:v>-87.482327130876612</c:v>
                </c:pt>
                <c:pt idx="639">
                  <c:v>-87.78486357145907</c:v>
                </c:pt>
                <c:pt idx="640">
                  <c:v>-88.084066076794855</c:v>
                </c:pt>
                <c:pt idx="641">
                  <c:v>-88.38001419907269</c:v>
                </c:pt>
                <c:pt idx="642">
                  <c:v>-88.67278427948618</c:v>
                </c:pt>
                <c:pt idx="643">
                  <c:v>-88.962449630900238</c:v>
                </c:pt>
                <c:pt idx="644">
                  <c:v>-89.249080707734691</c:v>
                </c:pt>
                <c:pt idx="645">
                  <c:v>-89.532745264091162</c:v>
                </c:pt>
                <c:pt idx="646">
                  <c:v>-89.813508501057285</c:v>
                </c:pt>
                <c:pt idx="647">
                  <c:v>-90.091433204039774</c:v>
                </c:pt>
                <c:pt idx="648">
                  <c:v>-90.36657987090274</c:v>
                </c:pt>
                <c:pt idx="649">
                  <c:v>-90.639006831620463</c:v>
                </c:pt>
                <c:pt idx="650">
                  <c:v>-90.908770360092802</c:v>
                </c:pt>
                <c:pt idx="651">
                  <c:v>-91.175924778715896</c:v>
                </c:pt>
                <c:pt idx="652">
                  <c:v>-91.440522556251665</c:v>
                </c:pt>
                <c:pt idx="653">
                  <c:v>-91.702614399492845</c:v>
                </c:pt>
                <c:pt idx="654">
                  <c:v>-91.962249339181014</c:v>
                </c:pt>
                <c:pt idx="655">
                  <c:v>-92.219474810595457</c:v>
                </c:pt>
                <c:pt idx="656">
                  <c:v>-92.474336729198669</c:v>
                </c:pt>
                <c:pt idx="657">
                  <c:v>-92.726879561691817</c:v>
                </c:pt>
                <c:pt idx="658">
                  <c:v>-92.977146392806262</c:v>
                </c:pt>
                <c:pt idx="659">
                  <c:v>-93.225178988130182</c:v>
                </c:pt>
                <c:pt idx="660">
                  <c:v>-93.471017853247645</c:v>
                </c:pt>
                <c:pt idx="661">
                  <c:v>-93.714702289443892</c:v>
                </c:pt>
                <c:pt idx="662">
                  <c:v>-93.956270446212471</c:v>
                </c:pt>
                <c:pt idx="663">
                  <c:v>-94.195759370780863</c:v>
                </c:pt>
                <c:pt idx="664">
                  <c:v>-94.433205054855705</c:v>
                </c:pt>
                <c:pt idx="665">
                  <c:v>-94.668642478772114</c:v>
                </c:pt>
                <c:pt idx="666">
                  <c:v>-94.902105653219607</c:v>
                </c:pt>
                <c:pt idx="667">
                  <c:v>-95.133627658702608</c:v>
                </c:pt>
              </c:numCache>
            </c:numRef>
          </c:yVal>
          <c:smooth val="1"/>
          <c:extLst>
            <c:ext xmlns:c16="http://schemas.microsoft.com/office/drawing/2014/chart" uri="{C3380CC4-5D6E-409C-BE32-E72D297353CC}">
              <c16:uniqueId val="{00000001-C323-45F5-AD89-2A9969707A73}"/>
            </c:ext>
          </c:extLst>
        </c:ser>
        <c:dLbls>
          <c:showLegendKey val="0"/>
          <c:showVal val="0"/>
          <c:showCatName val="0"/>
          <c:showSerName val="0"/>
          <c:showPercent val="0"/>
          <c:showBubbleSize val="0"/>
        </c:dLbls>
        <c:axId val="177420544"/>
        <c:axId val="177426816"/>
      </c:scatterChart>
      <c:scatterChart>
        <c:scatterStyle val="lineMarker"/>
        <c:varyColors val="0"/>
        <c:ser>
          <c:idx val="1"/>
          <c:order val="1"/>
          <c:tx>
            <c:v>PhaseMargin</c:v>
          </c:tx>
          <c:spPr>
            <a:ln w="12700">
              <a:solidFill>
                <a:srgbClr val="000000"/>
              </a:solidFill>
              <a:prstDash val="lgDash"/>
            </a:ln>
          </c:spPr>
          <c:marker>
            <c:symbol val="square"/>
            <c:size val="3"/>
            <c:spPr>
              <a:noFill/>
              <a:ln w="9525">
                <a:noFill/>
              </a:ln>
            </c:spPr>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Calculations'!$Z$9:$Z$676</c:f>
              <c:numCache>
                <c:formatCode>General</c:formatCode>
                <c:ptCount val="668"/>
                <c:pt idx="0">
                  <c:v>90.018991248472446</c:v>
                </c:pt>
                <c:pt idx="1">
                  <c:v>90.037982493003653</c:v>
                </c:pt>
                <c:pt idx="2">
                  <c:v>90.05697372965254</c:v>
                </c:pt>
                <c:pt idx="3">
                  <c:v>90.075964954477854</c:v>
                </c:pt>
                <c:pt idx="4">
                  <c:v>90.094956163538427</c:v>
                </c:pt>
                <c:pt idx="5">
                  <c:v>90.113947352893121</c:v>
                </c:pt>
                <c:pt idx="6">
                  <c:v>90.132938518600696</c:v>
                </c:pt>
                <c:pt idx="7">
                  <c:v>90.151929656719986</c:v>
                </c:pt>
                <c:pt idx="8">
                  <c:v>90.17092076330988</c:v>
                </c:pt>
                <c:pt idx="9">
                  <c:v>90.189911834429125</c:v>
                </c:pt>
                <c:pt idx="10">
                  <c:v>90.379819727682204</c:v>
                </c:pt>
                <c:pt idx="11">
                  <c:v>90.569719738614594</c:v>
                </c:pt>
                <c:pt idx="12">
                  <c:v>90.759607926144426</c:v>
                </c:pt>
                <c:pt idx="13">
                  <c:v>90.949480349283817</c:v>
                </c:pt>
                <c:pt idx="14">
                  <c:v>91.139333067169915</c:v>
                </c:pt>
                <c:pt idx="15">
                  <c:v>91.329162139095729</c:v>
                </c:pt>
                <c:pt idx="16">
                  <c:v>91.518963624540746</c:v>
                </c:pt>
                <c:pt idx="17">
                  <c:v>91.708733583200953</c:v>
                </c:pt>
                <c:pt idx="18">
                  <c:v>91.898468075018783</c:v>
                </c:pt>
                <c:pt idx="19">
                  <c:v>93.792995737231507</c:v>
                </c:pt>
                <c:pt idx="20">
                  <c:v>95.679645522110732</c:v>
                </c:pt>
                <c:pt idx="21">
                  <c:v>97.554485279189564</c:v>
                </c:pt>
                <c:pt idx="22">
                  <c:v>99.413589375986007</c:v>
                </c:pt>
                <c:pt idx="23">
                  <c:v>101.2530381659938</c:v>
                </c:pt>
                <c:pt idx="24">
                  <c:v>103.06891515216522</c:v>
                </c:pt>
                <c:pt idx="25">
                  <c:v>104.85730128020988</c:v>
                </c:pt>
                <c:pt idx="26">
                  <c:v>106.61426579272508</c:v>
                </c:pt>
                <c:pt idx="27">
                  <c:v>108.33585306132953</c:v>
                </c:pt>
                <c:pt idx="28">
                  <c:v>116.27022710472635</c:v>
                </c:pt>
                <c:pt idx="29">
                  <c:v>122.66344063264168</c:v>
                </c:pt>
                <c:pt idx="30">
                  <c:v>126.74722022632966</c:v>
                </c:pt>
                <c:pt idx="31">
                  <c:v>127.14522317905434</c:v>
                </c:pt>
                <c:pt idx="32">
                  <c:v>120.98655990263302</c:v>
                </c:pt>
                <c:pt idx="33">
                  <c:v>103.2663476111663</c:v>
                </c:pt>
                <c:pt idx="34">
                  <c:v>75.471017041210033</c:v>
                </c:pt>
                <c:pt idx="35">
                  <c:v>54.388486389432302</c:v>
                </c:pt>
                <c:pt idx="36">
                  <c:v>44.308697091919527</c:v>
                </c:pt>
                <c:pt idx="37">
                  <c:v>40.227898214832777</c:v>
                </c:pt>
                <c:pt idx="38">
                  <c:v>38.959032657429532</c:v>
                </c:pt>
                <c:pt idx="39">
                  <c:v>39.047298502522239</c:v>
                </c:pt>
                <c:pt idx="40">
                  <c:v>39.812776095272284</c:v>
                </c:pt>
                <c:pt idx="41">
                  <c:v>40.915686197789768</c:v>
                </c:pt>
                <c:pt idx="42">
                  <c:v>42.176117246538382</c:v>
                </c:pt>
                <c:pt idx="43">
                  <c:v>43.494838602550033</c:v>
                </c:pt>
                <c:pt idx="44">
                  <c:v>44.815832812476174</c:v>
                </c:pt>
                <c:pt idx="45">
                  <c:v>46.107332775877666</c:v>
                </c:pt>
                <c:pt idx="46">
                  <c:v>47.351666696062438</c:v>
                </c:pt>
                <c:pt idx="47">
                  <c:v>48.539562662911749</c:v>
                </c:pt>
                <c:pt idx="48">
                  <c:v>49.666832999402175</c:v>
                </c:pt>
                <c:pt idx="49">
                  <c:v>50.732385765929934</c:v>
                </c:pt>
                <c:pt idx="50">
                  <c:v>51.737004211623685</c:v>
                </c:pt>
                <c:pt idx="51">
                  <c:v>52.682584470217421</c:v>
                </c:pt>
                <c:pt idx="52">
                  <c:v>53.571653765942685</c:v>
                </c:pt>
                <c:pt idx="53">
                  <c:v>54.407063974048611</c:v>
                </c:pt>
                <c:pt idx="54">
                  <c:v>55.191796677976541</c:v>
                </c:pt>
                <c:pt idx="55">
                  <c:v>55.928840070383274</c:v>
                </c:pt>
                <c:pt idx="56">
                  <c:v>56.621112604144244</c:v>
                </c:pt>
                <c:pt idx="57">
                  <c:v>57.271417256517225</c:v>
                </c:pt>
                <c:pt idx="58">
                  <c:v>57.882415890073219</c:v>
                </c:pt>
                <c:pt idx="59">
                  <c:v>58.456616781930464</c:v>
                </c:pt>
                <c:pt idx="60">
                  <c:v>58.996370717752924</c:v>
                </c:pt>
                <c:pt idx="61">
                  <c:v>59.503872573057265</c:v>
                </c:pt>
                <c:pt idx="62">
                  <c:v>59.981166317189931</c:v>
                </c:pt>
                <c:pt idx="63">
                  <c:v>60.430152053763834</c:v>
                </c:pt>
                <c:pt idx="64">
                  <c:v>60.852594169215038</c:v>
                </c:pt>
                <c:pt idx="65">
                  <c:v>61.250129971965549</c:v>
                </c:pt>
                <c:pt idx="66">
                  <c:v>61.62427841653313</c:v>
                </c:pt>
                <c:pt idx="67">
                  <c:v>61.976448651636701</c:v>
                </c:pt>
                <c:pt idx="68">
                  <c:v>62.30794823017925</c:v>
                </c:pt>
                <c:pt idx="69">
                  <c:v>62.619990886316174</c:v>
                </c:pt>
                <c:pt idx="70">
                  <c:v>62.913703830402184</c:v>
                </c:pt>
                <c:pt idx="71">
                  <c:v>63.190134543161676</c:v>
                </c:pt>
                <c:pt idx="72">
                  <c:v>63.450257070559985</c:v>
                </c:pt>
                <c:pt idx="73">
                  <c:v>63.694977833777287</c:v>
                </c:pt>
                <c:pt idx="74">
                  <c:v>63.925140976624974</c:v>
                </c:pt>
                <c:pt idx="75">
                  <c:v>64.141533277267385</c:v>
                </c:pt>
                <c:pt idx="76">
                  <c:v>64.344888653298128</c:v>
                </c:pt>
                <c:pt idx="77">
                  <c:v>64.535892289844952</c:v>
                </c:pt>
                <c:pt idx="78">
                  <c:v>64.715184419965652</c:v>
                </c:pt>
                <c:pt idx="79">
                  <c:v>64.88336378553592</c:v>
                </c:pt>
                <c:pt idx="80">
                  <c:v>65.040990805363464</c:v>
                </c:pt>
                <c:pt idx="81">
                  <c:v>65.188590475585443</c:v>
                </c:pt>
                <c:pt idx="82">
                  <c:v>65.326655025629734</c:v>
                </c:pt>
                <c:pt idx="83">
                  <c:v>65.455646351232659</c:v>
                </c:pt>
                <c:pt idx="84">
                  <c:v>65.575998244259708</c:v>
                </c:pt>
                <c:pt idx="85">
                  <c:v>65.688118437404754</c:v>
                </c:pt>
                <c:pt idx="86">
                  <c:v>65.792390480266647</c:v>
                </c:pt>
                <c:pt idx="87">
                  <c:v>65.889175461832934</c:v>
                </c:pt>
                <c:pt idx="88">
                  <c:v>65.978813593038936</c:v>
                </c:pt>
                <c:pt idx="89">
                  <c:v>66.061625661821495</c:v>
                </c:pt>
                <c:pt idx="90">
                  <c:v>66.137914371937953</c:v>
                </c:pt>
                <c:pt idx="91">
                  <c:v>66.207965575778914</c:v>
                </c:pt>
                <c:pt idx="92">
                  <c:v>66.2720494104518</c:v>
                </c:pt>
                <c:pt idx="93">
                  <c:v>66.330421345547677</c:v>
                </c:pt>
                <c:pt idx="94">
                  <c:v>66.383323150224356</c:v>
                </c:pt>
                <c:pt idx="95">
                  <c:v>66.430983786528671</c:v>
                </c:pt>
                <c:pt idx="96">
                  <c:v>66.473620235239736</c:v>
                </c:pt>
                <c:pt idx="97">
                  <c:v>66.511438259938828</c:v>
                </c:pt>
                <c:pt idx="98">
                  <c:v>66.544633114483489</c:v>
                </c:pt>
                <c:pt idx="99">
                  <c:v>66.573390198595604</c:v>
                </c:pt>
                <c:pt idx="100">
                  <c:v>66.597885665841076</c:v>
                </c:pt>
                <c:pt idx="101">
                  <c:v>66.618286987895559</c:v>
                </c:pt>
                <c:pt idx="102">
                  <c:v>66.634753478641272</c:v>
                </c:pt>
                <c:pt idx="103">
                  <c:v>66.647436781321673</c:v>
                </c:pt>
                <c:pt idx="104">
                  <c:v>66.656481321699218</c:v>
                </c:pt>
                <c:pt idx="105">
                  <c:v>66.662024729899244</c:v>
                </c:pt>
                <c:pt idx="106">
                  <c:v>66.664198233391332</c:v>
                </c:pt>
                <c:pt idx="107">
                  <c:v>66.663127023346533</c:v>
                </c:pt>
                <c:pt idx="108">
                  <c:v>66.658930596417534</c:v>
                </c:pt>
                <c:pt idx="109">
                  <c:v>66.651723073812974</c:v>
                </c:pt>
                <c:pt idx="110">
                  <c:v>66.641613499380966</c:v>
                </c:pt>
                <c:pt idx="111">
                  <c:v>66.628706118271282</c:v>
                </c:pt>
                <c:pt idx="112">
                  <c:v>66.613100637617308</c:v>
                </c:pt>
                <c:pt idx="113">
                  <c:v>66.594892470556999</c:v>
                </c:pt>
                <c:pt idx="114">
                  <c:v>66.574172964808383</c:v>
                </c:pt>
                <c:pt idx="115">
                  <c:v>66.551029616911748</c:v>
                </c:pt>
                <c:pt idx="116">
                  <c:v>66.525546273165588</c:v>
                </c:pt>
                <c:pt idx="117">
                  <c:v>66.497803318198294</c:v>
                </c:pt>
                <c:pt idx="118">
                  <c:v>66.46787785204485</c:v>
                </c:pt>
                <c:pt idx="119">
                  <c:v>66.435843856528905</c:v>
                </c:pt>
                <c:pt idx="120">
                  <c:v>66.401772351688166</c:v>
                </c:pt>
                <c:pt idx="121">
                  <c:v>66.365731542924749</c:v>
                </c:pt>
                <c:pt idx="122">
                  <c:v>66.327786959509083</c:v>
                </c:pt>
                <c:pt idx="123">
                  <c:v>66.288001585019657</c:v>
                </c:pt>
                <c:pt idx="124">
                  <c:v>66.246435980254262</c:v>
                </c:pt>
                <c:pt idx="125">
                  <c:v>66.203148399112862</c:v>
                </c:pt>
                <c:pt idx="126">
                  <c:v>66.158194897910363</c:v>
                </c:pt>
                <c:pt idx="127">
                  <c:v>66.111629438547396</c:v>
                </c:pt>
                <c:pt idx="128">
                  <c:v>66.063503985934148</c:v>
                </c:pt>
                <c:pt idx="129">
                  <c:v>66.013868600034499</c:v>
                </c:pt>
                <c:pt idx="130">
                  <c:v>65.962771522871819</c:v>
                </c:pt>
                <c:pt idx="131">
                  <c:v>65.910259260811785</c:v>
                </c:pt>
                <c:pt idx="132">
                  <c:v>65.85637666241746</c:v>
                </c:pt>
                <c:pt idx="133">
                  <c:v>65.801166992150016</c:v>
                </c:pt>
                <c:pt idx="134">
                  <c:v>65.744672000169388</c:v>
                </c:pt>
                <c:pt idx="135">
                  <c:v>65.686931988471997</c:v>
                </c:pt>
                <c:pt idx="136">
                  <c:v>65.627985873587164</c:v>
                </c:pt>
                <c:pt idx="137">
                  <c:v>65.567871246037186</c:v>
                </c:pt>
                <c:pt idx="138">
                  <c:v>65.50662442675349</c:v>
                </c:pt>
                <c:pt idx="139">
                  <c:v>65.444280520628155</c:v>
                </c:pt>
                <c:pt idx="140">
                  <c:v>65.380873467368247</c:v>
                </c:pt>
                <c:pt idx="141">
                  <c:v>65.316436089809145</c:v>
                </c:pt>
                <c:pt idx="142">
                  <c:v>65.251000139832684</c:v>
                </c:pt>
                <c:pt idx="143">
                  <c:v>65.184596342027746</c:v>
                </c:pt>
                <c:pt idx="144">
                  <c:v>65.117254435220175</c:v>
                </c:pt>
                <c:pt idx="145">
                  <c:v>65.049003211992343</c:v>
                </c:pt>
                <c:pt idx="146">
                  <c:v>64.979870556304434</c:v>
                </c:pt>
                <c:pt idx="147">
                  <c:v>64.909883479322147</c:v>
                </c:pt>
                <c:pt idx="148">
                  <c:v>64.839068153550244</c:v>
                </c:pt>
                <c:pt idx="149">
                  <c:v>64.767449945363467</c:v>
                </c:pt>
                <c:pt idx="150">
                  <c:v>64.695053446021916</c:v>
                </c:pt>
                <c:pt idx="151">
                  <c:v>64.621902501252748</c:v>
                </c:pt>
                <c:pt idx="152">
                  <c:v>64.548020239474042</c:v>
                </c:pt>
                <c:pt idx="153">
                  <c:v>64.473429098733163</c:v>
                </c:pt>
                <c:pt idx="154">
                  <c:v>64.398150852427278</c:v>
                </c:pt>
                <c:pt idx="155">
                  <c:v>64.322206633869342</c:v>
                </c:pt>
                <c:pt idx="156">
                  <c:v>64.245616959759715</c:v>
                </c:pt>
                <c:pt idx="157">
                  <c:v>64.168401752619715</c:v>
                </c:pt>
                <c:pt idx="158">
                  <c:v>64.090580362239535</c:v>
                </c:pt>
                <c:pt idx="159">
                  <c:v>64.012171586192068</c:v>
                </c:pt>
                <c:pt idx="160">
                  <c:v>63.933193689458008</c:v>
                </c:pt>
                <c:pt idx="161">
                  <c:v>63.853664423208173</c:v>
                </c:pt>
                <c:pt idx="162">
                  <c:v>63.773601042783525</c:v>
                </c:pt>
                <c:pt idx="163">
                  <c:v>63.693020324914386</c:v>
                </c:pt>
                <c:pt idx="164">
                  <c:v>63.611938584214116</c:v>
                </c:pt>
                <c:pt idx="165">
                  <c:v>63.530371688984559</c:v>
                </c:pt>
                <c:pt idx="166">
                  <c:v>63.448335076364657</c:v>
                </c:pt>
                <c:pt idx="167">
                  <c:v>63.365843766856003</c:v>
                </c:pt>
                <c:pt idx="168">
                  <c:v>63.282912378252945</c:v>
                </c:pt>
                <c:pt idx="169">
                  <c:v>63.199555139006847</c:v>
                </c:pt>
                <c:pt idx="170">
                  <c:v>63.115785901051041</c:v>
                </c:pt>
                <c:pt idx="171">
                  <c:v>63.031618152111164</c:v>
                </c:pt>
                <c:pt idx="172">
                  <c:v>62.947065027525753</c:v>
                </c:pt>
                <c:pt idx="173">
                  <c:v>62.862139321598534</c:v>
                </c:pt>
                <c:pt idx="174">
                  <c:v>62.776853498505147</c:v>
                </c:pt>
                <c:pt idx="175">
                  <c:v>62.691219702774234</c:v>
                </c:pt>
                <c:pt idx="176">
                  <c:v>62.605249769361308</c:v>
                </c:pt>
                <c:pt idx="177">
                  <c:v>62.518955233335774</c:v>
                </c:pt>
                <c:pt idx="178">
                  <c:v>62.432347339196269</c:v>
                </c:pt>
                <c:pt idx="179">
                  <c:v>62.345437049832185</c:v>
                </c:pt>
                <c:pt idx="180">
                  <c:v>62.258235055147011</c:v>
                </c:pt>
                <c:pt idx="181">
                  <c:v>62.170751780357904</c:v>
                </c:pt>
                <c:pt idx="182">
                  <c:v>62.082997393985451</c:v>
                </c:pt>
                <c:pt idx="183">
                  <c:v>61.994981815548201</c:v>
                </c:pt>
                <c:pt idx="184">
                  <c:v>61.906714722973462</c:v>
                </c:pt>
                <c:pt idx="185">
                  <c:v>61.818205559737748</c:v>
                </c:pt>
                <c:pt idx="186">
                  <c:v>61.729463541746568</c:v>
                </c:pt>
                <c:pt idx="187">
                  <c:v>61.640497663967466</c:v>
                </c:pt>
                <c:pt idx="188">
                  <c:v>61.551316706823798</c:v>
                </c:pt>
                <c:pt idx="189">
                  <c:v>61.461929242361293</c:v>
                </c:pt>
                <c:pt idx="190">
                  <c:v>61.372343640195865</c:v>
                </c:pt>
                <c:pt idx="191">
                  <c:v>61.282568073252222</c:v>
                </c:pt>
                <c:pt idx="192">
                  <c:v>61.192610523301767</c:v>
                </c:pt>
                <c:pt idx="193">
                  <c:v>61.10247878630787</c:v>
                </c:pt>
                <c:pt idx="194">
                  <c:v>61.012180477586611</c:v>
                </c:pt>
                <c:pt idx="195">
                  <c:v>60.921723036790041</c:v>
                </c:pt>
                <c:pt idx="196">
                  <c:v>60.831113732720354</c:v>
                </c:pt>
                <c:pt idx="197">
                  <c:v>60.740359667979533</c:v>
                </c:pt>
                <c:pt idx="198">
                  <c:v>60.649467783463365</c:v>
                </c:pt>
                <c:pt idx="199">
                  <c:v>60.558444862704448</c:v>
                </c:pt>
                <c:pt idx="200">
                  <c:v>60.467297536070717</c:v>
                </c:pt>
                <c:pt idx="201">
                  <c:v>60.376032284825499</c:v>
                </c:pt>
                <c:pt idx="202">
                  <c:v>60.284655445053104</c:v>
                </c:pt>
                <c:pt idx="203">
                  <c:v>60.19317321145752</c:v>
                </c:pt>
                <c:pt idx="204">
                  <c:v>60.101591641036634</c:v>
                </c:pt>
                <c:pt idx="205">
                  <c:v>60.009916656638083</c:v>
                </c:pt>
                <c:pt idx="206">
                  <c:v>59.918154050401554</c:v>
                </c:pt>
                <c:pt idx="207">
                  <c:v>59.826309487090668</c:v>
                </c:pt>
                <c:pt idx="208">
                  <c:v>59.734388507319579</c:v>
                </c:pt>
                <c:pt idx="209">
                  <c:v>59.642396530677814</c:v>
                </c:pt>
                <c:pt idx="210">
                  <c:v>59.550338858757428</c:v>
                </c:pt>
                <c:pt idx="211">
                  <c:v>59.458220678085695</c:v>
                </c:pt>
                <c:pt idx="212">
                  <c:v>59.366047062967354</c:v>
                </c:pt>
                <c:pt idx="213">
                  <c:v>59.27382297823894</c:v>
                </c:pt>
                <c:pt idx="214">
                  <c:v>59.181553281939642</c:v>
                </c:pt>
                <c:pt idx="215">
                  <c:v>59.089242727900213</c:v>
                </c:pt>
                <c:pt idx="216">
                  <c:v>58.996895968254464</c:v>
                </c:pt>
                <c:pt idx="217">
                  <c:v>58.904517555874932</c:v>
                </c:pt>
                <c:pt idx="218">
                  <c:v>58.812111946735385</c:v>
                </c:pt>
                <c:pt idx="219">
                  <c:v>58.719683502204362</c:v>
                </c:pt>
                <c:pt idx="220">
                  <c:v>58.627236491270111</c:v>
                </c:pt>
                <c:pt idx="221">
                  <c:v>58.534775092700855</c:v>
                </c:pt>
                <c:pt idx="222">
                  <c:v>58.442303397141458</c:v>
                </c:pt>
                <c:pt idx="223">
                  <c:v>58.349825409150526</c:v>
                </c:pt>
                <c:pt idx="224">
                  <c:v>58.257345049177204</c:v>
                </c:pt>
                <c:pt idx="225">
                  <c:v>58.164866155482841</c:v>
                </c:pt>
                <c:pt idx="226">
                  <c:v>57.240947100938726</c:v>
                </c:pt>
                <c:pt idx="227">
                  <c:v>56.320852144870912</c:v>
                </c:pt>
                <c:pt idx="228">
                  <c:v>55.407312668015734</c:v>
                </c:pt>
                <c:pt idx="229">
                  <c:v>54.502545652542125</c:v>
                </c:pt>
                <c:pt idx="230">
                  <c:v>53.608347267553313</c:v>
                </c:pt>
                <c:pt idx="231">
                  <c:v>52.726166426134725</c:v>
                </c:pt>
                <c:pt idx="232">
                  <c:v>51.857163377351696</c:v>
                </c:pt>
                <c:pt idx="233">
                  <c:v>51.002256953036465</c:v>
                </c:pt>
                <c:pt idx="234">
                  <c:v>50.162163093254151</c:v>
                </c:pt>
                <c:pt idx="235">
                  <c:v>49.337426577670897</c:v>
                </c:pt>
                <c:pt idx="236">
                  <c:v>48.528447396460905</c:v>
                </c:pt>
                <c:pt idx="237">
                  <c:v>47.735502840469906</c:v>
                </c:pt>
                <c:pt idx="238">
                  <c:v>46.958766133687845</c:v>
                </c:pt>
                <c:pt idx="239">
                  <c:v>46.198322242913974</c:v>
                </c:pt>
                <c:pt idx="240">
                  <c:v>45.454181360080042</c:v>
                </c:pt>
                <c:pt idx="241">
                  <c:v>44.726290448328569</c:v>
                </c:pt>
                <c:pt idx="242">
                  <c:v>44.014543164001793</c:v>
                </c:pt>
                <c:pt idx="243">
                  <c:v>43.318788406375717</c:v>
                </c:pt>
                <c:pt idx="244">
                  <c:v>42.638837700402661</c:v>
                </c:pt>
                <c:pt idx="245">
                  <c:v>41.974471581398916</c:v>
                </c:pt>
                <c:pt idx="246">
                  <c:v>41.325445121978618</c:v>
                </c:pt>
                <c:pt idx="247">
                  <c:v>40.691492718738232</c:v>
                </c:pt>
                <c:pt idx="248">
                  <c:v>40.072332237852123</c:v>
                </c:pt>
                <c:pt idx="249">
                  <c:v>39.467668603838547</c:v>
                </c:pt>
                <c:pt idx="250">
                  <c:v>38.877196903533104</c:v>
                </c:pt>
                <c:pt idx="251">
                  <c:v>38.300605067186694</c:v>
                </c:pt>
                <c:pt idx="252">
                  <c:v>37.737576180158129</c:v>
                </c:pt>
                <c:pt idx="253">
                  <c:v>37.187790471564028</c:v>
                </c:pt>
                <c:pt idx="254">
                  <c:v>36.650927020219825</c:v>
                </c:pt>
                <c:pt idx="255">
                  <c:v>36.126665213066019</c:v>
                </c:pt>
                <c:pt idx="256">
                  <c:v>35.614685986860479</c:v>
                </c:pt>
                <c:pt idx="257">
                  <c:v>35.114672880111556</c:v>
                </c:pt>
                <c:pt idx="258">
                  <c:v>34.626312918927681</c:v>
                </c:pt>
                <c:pt idx="259">
                  <c:v>34.149297357590683</c:v>
                </c:pt>
                <c:pt idx="260">
                  <c:v>33.683322292155879</c:v>
                </c:pt>
                <c:pt idx="261">
                  <c:v>33.228089163191044</c:v>
                </c:pt>
                <c:pt idx="262">
                  <c:v>32.783305161843771</c:v>
                </c:pt>
                <c:pt idx="263">
                  <c:v>32.348683551737423</c:v>
                </c:pt>
                <c:pt idx="264">
                  <c:v>31.923943917710005</c:v>
                </c:pt>
                <c:pt idx="265">
                  <c:v>31.508812351097475</c:v>
                </c:pt>
                <c:pt idx="266">
                  <c:v>31.103021580109214</c:v>
                </c:pt>
                <c:pt idx="267">
                  <c:v>30.706311052820382</c:v>
                </c:pt>
                <c:pt idx="268">
                  <c:v>30.31842697940499</c:v>
                </c:pt>
                <c:pt idx="269">
                  <c:v>29.939122339436466</c:v>
                </c:pt>
                <c:pt idx="270">
                  <c:v>29.568156859376813</c:v>
                </c:pt>
                <c:pt idx="271">
                  <c:v>29.205296964752904</c:v>
                </c:pt>
                <c:pt idx="272">
                  <c:v>28.850315710967607</c:v>
                </c:pt>
                <c:pt idx="273">
                  <c:v>28.50299269620632</c:v>
                </c:pt>
                <c:pt idx="274">
                  <c:v>28.163113959466756</c:v>
                </c:pt>
                <c:pt idx="275">
                  <c:v>27.830471866363212</c:v>
                </c:pt>
                <c:pt idx="276">
                  <c:v>27.50486498501553</c:v>
                </c:pt>
                <c:pt idx="277">
                  <c:v>27.186097954038956</c:v>
                </c:pt>
                <c:pt idx="278">
                  <c:v>26.873981344388085</c:v>
                </c:pt>
                <c:pt idx="279">
                  <c:v>26.568331516575114</c:v>
                </c:pt>
                <c:pt idx="280">
                  <c:v>26.268970474580328</c:v>
                </c:pt>
                <c:pt idx="281">
                  <c:v>25.975725717591672</c:v>
                </c:pt>
                <c:pt idx="282">
                  <c:v>25.688430090551918</c:v>
                </c:pt>
                <c:pt idx="283">
                  <c:v>25.406921634352159</c:v>
                </c:pt>
                <c:pt idx="284">
                  <c:v>25.131043436388126</c:v>
                </c:pt>
                <c:pt idx="285">
                  <c:v>24.860643482087141</c:v>
                </c:pt>
                <c:pt idx="286">
                  <c:v>24.59557450792019</c:v>
                </c:pt>
                <c:pt idx="287">
                  <c:v>24.33569385632893</c:v>
                </c:pt>
                <c:pt idx="288">
                  <c:v>24.080863332926214</c:v>
                </c:pt>
                <c:pt idx="289">
                  <c:v>23.83094906626431</c:v>
                </c:pt>
                <c:pt idx="290">
                  <c:v>23.58582137040986</c:v>
                </c:pt>
                <c:pt idx="291">
                  <c:v>23.34535461051675</c:v>
                </c:pt>
                <c:pt idx="292">
                  <c:v>23.109427071544417</c:v>
                </c:pt>
                <c:pt idx="293">
                  <c:v>22.877920830235155</c:v>
                </c:pt>
                <c:pt idx="294">
                  <c:v>22.650721630429501</c:v>
                </c:pt>
                <c:pt idx="295">
                  <c:v>22.427718761774827</c:v>
                </c:pt>
                <c:pt idx="296">
                  <c:v>22.208804941854709</c:v>
                </c:pt>
                <c:pt idx="297">
                  <c:v>21.993876201751192</c:v>
                </c:pt>
                <c:pt idx="298">
                  <c:v>21.782831775030928</c:v>
                </c:pt>
                <c:pt idx="299">
                  <c:v>21.575573990133591</c:v>
                </c:pt>
                <c:pt idx="300">
                  <c:v>21.372008166129007</c:v>
                </c:pt>
                <c:pt idx="301">
                  <c:v>21.172042511797429</c:v>
                </c:pt>
                <c:pt idx="302">
                  <c:v>20.975588027980393</c:v>
                </c:pt>
                <c:pt idx="303">
                  <c:v>20.78255841314197</c:v>
                </c:pt>
                <c:pt idx="304">
                  <c:v>20.592869972074453</c:v>
                </c:pt>
                <c:pt idx="305">
                  <c:v>20.406441527677686</c:v>
                </c:pt>
                <c:pt idx="306">
                  <c:v>20.223194335739123</c:v>
                </c:pt>
                <c:pt idx="307">
                  <c:v>20.043052002636443</c:v>
                </c:pt>
                <c:pt idx="308">
                  <c:v>19.865940405885596</c:v>
                </c:pt>
                <c:pt idx="309">
                  <c:v>19.691787617453656</c:v>
                </c:pt>
                <c:pt idx="310">
                  <c:v>19.520523829756542</c:v>
                </c:pt>
                <c:pt idx="311">
                  <c:v>19.352081284259583</c:v>
                </c:pt>
                <c:pt idx="312">
                  <c:v>19.186394202602827</c:v>
                </c:pt>
                <c:pt idx="313">
                  <c:v>19.023398720168672</c:v>
                </c:pt>
                <c:pt idx="314">
                  <c:v>18.863032822013992</c:v>
                </c:pt>
                <c:pt idx="315">
                  <c:v>18.705236281088361</c:v>
                </c:pt>
                <c:pt idx="316">
                  <c:v>18.549950598662093</c:v>
                </c:pt>
                <c:pt idx="317">
                  <c:v>18.39711894688773</c:v>
                </c:pt>
                <c:pt idx="318">
                  <c:v>18.246686113422413</c:v>
                </c:pt>
                <c:pt idx="319">
                  <c:v>18.098598448038416</c:v>
                </c:pt>
                <c:pt idx="320">
                  <c:v>17.952803811151966</c:v>
                </c:pt>
                <c:pt idx="321">
                  <c:v>17.809251524201812</c:v>
                </c:pt>
                <c:pt idx="322">
                  <c:v>17.667892321810797</c:v>
                </c:pt>
                <c:pt idx="323">
                  <c:v>17.528678305666773</c:v>
                </c:pt>
                <c:pt idx="324">
                  <c:v>17.391562900058631</c:v>
                </c:pt>
                <c:pt idx="325">
                  <c:v>17.25650080900877</c:v>
                </c:pt>
                <c:pt idx="326">
                  <c:v>17.123447974941314</c:v>
                </c:pt>
                <c:pt idx="327">
                  <c:v>16.992361538830437</c:v>
                </c:pt>
                <c:pt idx="328">
                  <c:v>16.863199801773362</c:v>
                </c:pt>
                <c:pt idx="329">
                  <c:v>16.735922187935216</c:v>
                </c:pt>
                <c:pt idx="330">
                  <c:v>16.610489208814016</c:v>
                </c:pt>
                <c:pt idx="331">
                  <c:v>16.486862428776789</c:v>
                </c:pt>
                <c:pt idx="332">
                  <c:v>16.365004431819159</c:v>
                </c:pt>
                <c:pt idx="333">
                  <c:v>16.244878789501882</c:v>
                </c:pt>
                <c:pt idx="334">
                  <c:v>16.126450030020578</c:v>
                </c:pt>
                <c:pt idx="335">
                  <c:v>16.009683608365862</c:v>
                </c:pt>
                <c:pt idx="336">
                  <c:v>15.894545877532693</c:v>
                </c:pt>
                <c:pt idx="337">
                  <c:v>15.781004060739264</c:v>
                </c:pt>
                <c:pt idx="338">
                  <c:v>15.669026224617681</c:v>
                </c:pt>
                <c:pt idx="339">
                  <c:v>15.558581253339696</c:v>
                </c:pt>
                <c:pt idx="340">
                  <c:v>15.449638823642317</c:v>
                </c:pt>
                <c:pt idx="341">
                  <c:v>15.342169380718872</c:v>
                </c:pt>
                <c:pt idx="342">
                  <c:v>15.236144114944125</c:v>
                </c:pt>
                <c:pt idx="343">
                  <c:v>15.131534939401007</c:v>
                </c:pt>
                <c:pt idx="344">
                  <c:v>15.028314468179161</c:v>
                </c:pt>
                <c:pt idx="345">
                  <c:v>14.926455995416944</c:v>
                </c:pt>
                <c:pt idx="346">
                  <c:v>14.825933475058321</c:v>
                </c:pt>
                <c:pt idx="347">
                  <c:v>14.726721501298073</c:v>
                </c:pt>
                <c:pt idx="348">
                  <c:v>14.628795289690373</c:v>
                </c:pt>
                <c:pt idx="349">
                  <c:v>14.532130658894772</c:v>
                </c:pt>
                <c:pt idx="350">
                  <c:v>14.436704013036973</c:v>
                </c:pt>
                <c:pt idx="351">
                  <c:v>14.342492324661407</c:v>
                </c:pt>
                <c:pt idx="352">
                  <c:v>14.249473118253036</c:v>
                </c:pt>
                <c:pt idx="353">
                  <c:v>14.157624454308149</c:v>
                </c:pt>
                <c:pt idx="354">
                  <c:v>14.066924913933718</c:v>
                </c:pt>
                <c:pt idx="355">
                  <c:v>13.977353583955733</c:v>
                </c:pt>
                <c:pt idx="356">
                  <c:v>13.888890042517858</c:v>
                </c:pt>
                <c:pt idx="357">
                  <c:v>13.80151434515264</c:v>
                </c:pt>
                <c:pt idx="358">
                  <c:v>13.715207011308223</c:v>
                </c:pt>
                <c:pt idx="359">
                  <c:v>13.629949011313528</c:v>
                </c:pt>
                <c:pt idx="360">
                  <c:v>13.545721753766202</c:v>
                </c:pt>
                <c:pt idx="361">
                  <c:v>13.462507073328368</c:v>
                </c:pt>
                <c:pt idx="362">
                  <c:v>13.380287218915129</c:v>
                </c:pt>
                <c:pt idx="363">
                  <c:v>13.299044842261623</c:v>
                </c:pt>
                <c:pt idx="364">
                  <c:v>13.218762986855495</c:v>
                </c:pt>
                <c:pt idx="365">
                  <c:v>13.139425077221546</c:v>
                </c:pt>
                <c:pt idx="366">
                  <c:v>13.06101490854553</c:v>
                </c:pt>
                <c:pt idx="367">
                  <c:v>12.983516636626035</c:v>
                </c:pt>
                <c:pt idx="368">
                  <c:v>12.90691476814186</c:v>
                </c:pt>
                <c:pt idx="369">
                  <c:v>12.831194151224821</c:v>
                </c:pt>
                <c:pt idx="370">
                  <c:v>12.756339966325584</c:v>
                </c:pt>
                <c:pt idx="371">
                  <c:v>12.682337717364703</c:v>
                </c:pt>
                <c:pt idx="372">
                  <c:v>12.609173223156091</c:v>
                </c:pt>
                <c:pt idx="373">
                  <c:v>12.536832609096138</c:v>
                </c:pt>
                <c:pt idx="374">
                  <c:v>12.465302299106867</c:v>
                </c:pt>
                <c:pt idx="375">
                  <c:v>12.394569007826448</c:v>
                </c:pt>
                <c:pt idx="376">
                  <c:v>12.324619733036684</c:v>
                </c:pt>
                <c:pt idx="377">
                  <c:v>12.255441748321232</c:v>
                </c:pt>
                <c:pt idx="378">
                  <c:v>12.18702259594437</c:v>
                </c:pt>
                <c:pt idx="379">
                  <c:v>12.11935007994532</c:v>
                </c:pt>
                <c:pt idx="380">
                  <c:v>12.052412259438768</c:v>
                </c:pt>
                <c:pt idx="381">
                  <c:v>11.986197442115582</c:v>
                </c:pt>
                <c:pt idx="382">
                  <c:v>11.920694177937094</c:v>
                </c:pt>
                <c:pt idx="383">
                  <c:v>11.855891253015272</c:v>
                </c:pt>
                <c:pt idx="384">
                  <c:v>11.791777683674781</c:v>
                </c:pt>
                <c:pt idx="385">
                  <c:v>11.728342710687912</c:v>
                </c:pt>
                <c:pt idx="386">
                  <c:v>11.665575793679437</c:v>
                </c:pt>
                <c:pt idx="387">
                  <c:v>11.603466605693882</c:v>
                </c:pt>
                <c:pt idx="388">
                  <c:v>11.542005027920681</c:v>
                </c:pt>
                <c:pt idx="389">
                  <c:v>11.481181144571877</c:v>
                </c:pt>
                <c:pt idx="390">
                  <c:v>11.420985237907132</c:v>
                </c:pt>
                <c:pt idx="391">
                  <c:v>11.361407783401688</c:v>
                </c:pt>
                <c:pt idx="392">
                  <c:v>11.302439445052045</c:v>
                </c:pt>
                <c:pt idx="393">
                  <c:v>11.244071070815636</c:v>
                </c:pt>
                <c:pt idx="394">
                  <c:v>11.186293688179177</c:v>
                </c:pt>
                <c:pt idx="395">
                  <c:v>11.129098499852631</c:v>
                </c:pt>
                <c:pt idx="396">
                  <c:v>11.072476879583945</c:v>
                </c:pt>
                <c:pt idx="397">
                  <c:v>11.016420368091048</c:v>
                </c:pt>
                <c:pt idx="398">
                  <c:v>10.960920669107168</c:v>
                </c:pt>
                <c:pt idx="399">
                  <c:v>10.905969645536516</c:v>
                </c:pt>
                <c:pt idx="400">
                  <c:v>10.85155931571569</c:v>
                </c:pt>
                <c:pt idx="401">
                  <c:v>10.797681849778598</c:v>
                </c:pt>
                <c:pt idx="402">
                  <c:v>10.744329566120967</c:v>
                </c:pt>
                <c:pt idx="403">
                  <c:v>10.6914949279616</c:v>
                </c:pt>
                <c:pt idx="404">
                  <c:v>10.639170539997451</c:v>
                </c:pt>
                <c:pt idx="405">
                  <c:v>10.587349145148977</c:v>
                </c:pt>
                <c:pt idx="406">
                  <c:v>10.536023621394122</c:v>
                </c:pt>
                <c:pt idx="407">
                  <c:v>10.48518697868704</c:v>
                </c:pt>
                <c:pt idx="408">
                  <c:v>10.434832355959571</c:v>
                </c:pt>
                <c:pt idx="409">
                  <c:v>10.384953018203078</c:v>
                </c:pt>
                <c:pt idx="410">
                  <c:v>10.335542353627375</c:v>
                </c:pt>
                <c:pt idx="411">
                  <c:v>10.286593870895558</c:v>
                </c:pt>
                <c:pt idx="412">
                  <c:v>10.238101196431444</c:v>
                </c:pt>
                <c:pt idx="413">
                  <c:v>10.190058071798177</c:v>
                </c:pt>
                <c:pt idx="414">
                  <c:v>10.142458351145024</c:v>
                </c:pt>
                <c:pt idx="415">
                  <c:v>10.095295998721326</c:v>
                </c:pt>
                <c:pt idx="416">
                  <c:v>10.048565086454687</c:v>
                </c:pt>
                <c:pt idx="417">
                  <c:v>10.002259791592309</c:v>
                </c:pt>
                <c:pt idx="418">
                  <c:v>9.9563743944026157</c:v>
                </c:pt>
                <c:pt idx="419">
                  <c:v>9.9109032759366755</c:v>
                </c:pt>
                <c:pt idx="420">
                  <c:v>9.8658409158460927</c:v>
                </c:pt>
                <c:pt idx="421">
                  <c:v>9.8211818902573498</c:v>
                </c:pt>
                <c:pt idx="422">
                  <c:v>9.7769208696998646</c:v>
                </c:pt>
                <c:pt idx="423">
                  <c:v>9.7330526170863436</c:v>
                </c:pt>
                <c:pt idx="424">
                  <c:v>9.6895719857441236</c:v>
                </c:pt>
                <c:pt idx="425">
                  <c:v>9.6464739174963654</c:v>
                </c:pt>
                <c:pt idx="426">
                  <c:v>9.603753440790598</c:v>
                </c:pt>
                <c:pt idx="427">
                  <c:v>9.5614056688747553</c:v>
                </c:pt>
                <c:pt idx="428">
                  <c:v>9.5194257980178918</c:v>
                </c:pt>
                <c:pt idx="429">
                  <c:v>9.4778091057749521</c:v>
                </c:pt>
                <c:pt idx="430">
                  <c:v>9.4365509492949968</c:v>
                </c:pt>
                <c:pt idx="431">
                  <c:v>9.3956467636701575</c:v>
                </c:pt>
                <c:pt idx="432">
                  <c:v>9.3550920603254895</c:v>
                </c:pt>
                <c:pt idx="433">
                  <c:v>9.3148824254483316</c:v>
                </c:pt>
                <c:pt idx="434">
                  <c:v>9.2750135184547844</c:v>
                </c:pt>
                <c:pt idx="435">
                  <c:v>9.2354810704948989</c:v>
                </c:pt>
                <c:pt idx="436">
                  <c:v>9.1962808829924256</c:v>
                </c:pt>
                <c:pt idx="437">
                  <c:v>9.1574088262206317</c:v>
                </c:pt>
                <c:pt idx="438">
                  <c:v>9.1188608379118534</c:v>
                </c:pt>
                <c:pt idx="439">
                  <c:v>9.080632921900019</c:v>
                </c:pt>
                <c:pt idx="440">
                  <c:v>9.0427211467961968</c:v>
                </c:pt>
                <c:pt idx="441">
                  <c:v>9.0051216446945546</c:v>
                </c:pt>
                <c:pt idx="442">
                  <c:v>8.9678306099096403</c:v>
                </c:pt>
                <c:pt idx="443">
                  <c:v>8.9308442977428513</c:v>
                </c:pt>
                <c:pt idx="444">
                  <c:v>8.8941590232782062</c:v>
                </c:pt>
                <c:pt idx="445">
                  <c:v>8.8577711602059424</c:v>
                </c:pt>
                <c:pt idx="446">
                  <c:v>8.8216771396735112</c:v>
                </c:pt>
                <c:pt idx="447">
                  <c:v>8.7858734491636028</c:v>
                </c:pt>
                <c:pt idx="448">
                  <c:v>8.7503566313974943</c:v>
                </c:pt>
                <c:pt idx="449">
                  <c:v>8.7151232832640062</c:v>
                </c:pt>
                <c:pt idx="450">
                  <c:v>8.6801700547730718</c:v>
                </c:pt>
                <c:pt idx="451">
                  <c:v>8.6454936480330673</c:v>
                </c:pt>
                <c:pt idx="452">
                  <c:v>8.6110908162515045</c:v>
                </c:pt>
                <c:pt idx="453">
                  <c:v>8.5769583627583472</c:v>
                </c:pt>
                <c:pt idx="454">
                  <c:v>8.5430931400516386</c:v>
                </c:pt>
                <c:pt idx="455">
                  <c:v>8.5094920488643311</c:v>
                </c:pt>
                <c:pt idx="456">
                  <c:v>8.4761520372521488</c:v>
                </c:pt>
                <c:pt idx="457">
                  <c:v>8.4430700997023962</c:v>
                </c:pt>
                <c:pt idx="458">
                  <c:v>8.410243276261582</c:v>
                </c:pt>
                <c:pt idx="459">
                  <c:v>8.3776686516836492</c:v>
                </c:pt>
                <c:pt idx="460">
                  <c:v>8.3453433545961673</c:v>
                </c:pt>
                <c:pt idx="461">
                  <c:v>8.313264556685283</c:v>
                </c:pt>
                <c:pt idx="462">
                  <c:v>8.2814294718987753</c:v>
                </c:pt>
                <c:pt idx="463">
                  <c:v>8.2498353556662494</c:v>
                </c:pt>
                <c:pt idx="464">
                  <c:v>8.2184795041365817</c:v>
                </c:pt>
                <c:pt idx="465">
                  <c:v>8.1873592534319073</c:v>
                </c:pt>
                <c:pt idx="466">
                  <c:v>8.1564719789179208</c:v>
                </c:pt>
                <c:pt idx="467">
                  <c:v>8.1258150944897807</c:v>
                </c:pt>
                <c:pt idx="468">
                  <c:v>8.0953860518733336</c:v>
                </c:pt>
                <c:pt idx="469">
                  <c:v>8.0651823399421403</c:v>
                </c:pt>
                <c:pt idx="470">
                  <c:v>8.0352014840476329</c:v>
                </c:pt>
                <c:pt idx="471">
                  <c:v>8.0054410453651599</c:v>
                </c:pt>
                <c:pt idx="472">
                  <c:v>7.9758986202531048</c:v>
                </c:pt>
                <c:pt idx="473">
                  <c:v>7.9465718396253351</c:v>
                </c:pt>
                <c:pt idx="474">
                  <c:v>7.9174583683378614</c:v>
                </c:pt>
                <c:pt idx="475">
                  <c:v>7.8885559045875766</c:v>
                </c:pt>
                <c:pt idx="476">
                  <c:v>7.8598621793239545</c:v>
                </c:pt>
                <c:pt idx="477">
                  <c:v>7.8313749556730556</c:v>
                </c:pt>
                <c:pt idx="478">
                  <c:v>7.8030920283734986</c:v>
                </c:pt>
                <c:pt idx="479">
                  <c:v>7.7750112232243396</c:v>
                </c:pt>
                <c:pt idx="480">
                  <c:v>7.7471303965439517</c:v>
                </c:pt>
                <c:pt idx="481">
                  <c:v>7.7194474346406707</c:v>
                </c:pt>
                <c:pt idx="482">
                  <c:v>7.6919602532936722</c:v>
                </c:pt>
                <c:pt idx="483">
                  <c:v>7.6646667972453884</c:v>
                </c:pt>
                <c:pt idx="484">
                  <c:v>7.6375650397032473</c:v>
                </c:pt>
                <c:pt idx="485">
                  <c:v>7.6106529818526667</c:v>
                </c:pt>
                <c:pt idx="486">
                  <c:v>7.5839286523789156</c:v>
                </c:pt>
                <c:pt idx="487">
                  <c:v>7.5573901069994349</c:v>
                </c:pt>
                <c:pt idx="488">
                  <c:v>7.531035428005282</c:v>
                </c:pt>
                <c:pt idx="489">
                  <c:v>7.5048627238117831</c:v>
                </c:pt>
                <c:pt idx="490">
                  <c:v>7.4788701285185084</c:v>
                </c:pt>
                <c:pt idx="491">
                  <c:v>7.453055801477376</c:v>
                </c:pt>
                <c:pt idx="492">
                  <c:v>7.4274179268702767</c:v>
                </c:pt>
                <c:pt idx="493">
                  <c:v>7.4019547132943728</c:v>
                </c:pt>
                <c:pt idx="494">
                  <c:v>7.3766643933559521</c:v>
                </c:pt>
                <c:pt idx="495">
                  <c:v>7.3515452232722964</c:v>
                </c:pt>
                <c:pt idx="496">
                  <c:v>7.3265954824810535</c:v>
                </c:pt>
                <c:pt idx="497">
                  <c:v>7.3018134732580222</c:v>
                </c:pt>
                <c:pt idx="498">
                  <c:v>7.2771975203415877</c:v>
                </c:pt>
                <c:pt idx="499">
                  <c:v>7.2527459705649449</c:v>
                </c:pt>
                <c:pt idx="500">
                  <c:v>7.2284571924955401</c:v>
                </c:pt>
                <c:pt idx="501">
                  <c:v>7.2043295760810793</c:v>
                </c:pt>
                <c:pt idx="502">
                  <c:v>7.1803615323028964</c:v>
                </c:pt>
                <c:pt idx="503">
                  <c:v>7.1565514928356322</c:v>
                </c:pt>
                <c:pt idx="504">
                  <c:v>7.1328979097135914</c:v>
                </c:pt>
                <c:pt idx="505">
                  <c:v>7.1093992550036091</c:v>
                </c:pt>
                <c:pt idx="506">
                  <c:v>7.0860540204839424</c:v>
                </c:pt>
                <c:pt idx="507">
                  <c:v>7.0628607173292153</c:v>
                </c:pt>
                <c:pt idx="508">
                  <c:v>7.0398178758019583</c:v>
                </c:pt>
                <c:pt idx="509">
                  <c:v>7.0169240449490644</c:v>
                </c:pt>
                <c:pt idx="510">
                  <c:v>6.994177792304697</c:v>
                </c:pt>
                <c:pt idx="511">
                  <c:v>6.9715777035985695</c:v>
                </c:pt>
                <c:pt idx="512">
                  <c:v>6.9491223824694544</c:v>
                </c:pt>
                <c:pt idx="513">
                  <c:v>6.9268104501845187</c:v>
                </c:pt>
                <c:pt idx="514">
                  <c:v>6.9046405453634918</c:v>
                </c:pt>
                <c:pt idx="515">
                  <c:v>6.8826113237080904</c:v>
                </c:pt>
                <c:pt idx="516">
                  <c:v>6.8607214577365596</c:v>
                </c:pt>
                <c:pt idx="517">
                  <c:v>6.8389696365230463</c:v>
                </c:pt>
                <c:pt idx="518">
                  <c:v>6.817354565441633</c:v>
                </c:pt>
                <c:pt idx="519">
                  <c:v>6.7958749659154591</c:v>
                </c:pt>
                <c:pt idx="520">
                  <c:v>6.7745295751699928</c:v>
                </c:pt>
                <c:pt idx="521">
                  <c:v>6.7533171459910193</c:v>
                </c:pt>
                <c:pt idx="522">
                  <c:v>6.7322364464871782</c:v>
                </c:pt>
                <c:pt idx="523">
                  <c:v>6.7112862598565357</c:v>
                </c:pt>
                <c:pt idx="524">
                  <c:v>6.6904653841575339</c:v>
                </c:pt>
                <c:pt idx="525">
                  <c:v>6.6697726320841468</c:v>
                </c:pt>
                <c:pt idx="526">
                  <c:v>6.6492068307447596</c:v>
                </c:pt>
                <c:pt idx="527">
                  <c:v>6.6287668214456232</c:v>
                </c:pt>
                <c:pt idx="528">
                  <c:v>6.608451459477493</c:v>
                </c:pt>
                <c:pt idx="529">
                  <c:v>6.5882596139065583</c:v>
                </c:pt>
                <c:pt idx="530">
                  <c:v>6.5681901673689822</c:v>
                </c:pt>
                <c:pt idx="531">
                  <c:v>6.5482420158688512</c:v>
                </c:pt>
                <c:pt idx="532">
                  <c:v>6.528414068580048</c:v>
                </c:pt>
                <c:pt idx="533">
                  <c:v>6.5087052476515339</c:v>
                </c:pt>
                <c:pt idx="534">
                  <c:v>6.4891144880157015</c:v>
                </c:pt>
                <c:pt idx="535">
                  <c:v>6.4696407372007343</c:v>
                </c:pt>
                <c:pt idx="536">
                  <c:v>6.4502829551455818</c:v>
                </c:pt>
                <c:pt idx="537">
                  <c:v>6.4310401140188276</c:v>
                </c:pt>
                <c:pt idx="538">
                  <c:v>6.4119111980400589</c:v>
                </c:pt>
                <c:pt idx="539">
                  <c:v>6.3928952033046755</c:v>
                </c:pt>
                <c:pt idx="540">
                  <c:v>6.3739911376119665</c:v>
                </c:pt>
                <c:pt idx="541">
                  <c:v>6.3551980202955747</c:v>
                </c:pt>
                <c:pt idx="542">
                  <c:v>6.3365148820572301</c:v>
                </c:pt>
                <c:pt idx="543">
                  <c:v>6.3179407648035806</c:v>
                </c:pt>
                <c:pt idx="544">
                  <c:v>6.2994747214851259</c:v>
                </c:pt>
                <c:pt idx="545">
                  <c:v>6.2811158159385911</c:v>
                </c:pt>
                <c:pt idx="546">
                  <c:v>6.2628631227316873</c:v>
                </c:pt>
                <c:pt idx="547">
                  <c:v>6.2447157270103446</c:v>
                </c:pt>
                <c:pt idx="548">
                  <c:v>6.2266727243488162</c:v>
                </c:pt>
                <c:pt idx="549">
                  <c:v>6.208733220602312</c:v>
                </c:pt>
                <c:pt idx="550">
                  <c:v>6.1908963317617633</c:v>
                </c:pt>
                <c:pt idx="551">
                  <c:v>6.1731611838115157</c:v>
                </c:pt>
                <c:pt idx="552">
                  <c:v>6.1555269125890391</c:v>
                </c:pt>
                <c:pt idx="553">
                  <c:v>6.1379926636469975</c:v>
                </c:pt>
                <c:pt idx="554">
                  <c:v>6.1205575921180468</c:v>
                </c:pt>
                <c:pt idx="555">
                  <c:v>6.1032208625811393</c:v>
                </c:pt>
                <c:pt idx="556">
                  <c:v>6.0859816489308685</c:v>
                </c:pt>
                <c:pt idx="557">
                  <c:v>6.0688391342482078</c:v>
                </c:pt>
                <c:pt idx="558">
                  <c:v>6.0517925106740051</c:v>
                </c:pt>
                <c:pt idx="559">
                  <c:v>6.0348409792840698</c:v>
                </c:pt>
                <c:pt idx="560">
                  <c:v>6.0179837499667883</c:v>
                </c:pt>
                <c:pt idx="561">
                  <c:v>6.001220041302247</c:v>
                </c:pt>
                <c:pt idx="562">
                  <c:v>5.9845490804435144</c:v>
                </c:pt>
                <c:pt idx="563">
                  <c:v>5.9679701030002832</c:v>
                </c:pt>
                <c:pt idx="564">
                  <c:v>5.9514823529235059</c:v>
                </c:pt>
                <c:pt idx="565">
                  <c:v>5.9350850823928738</c:v>
                </c:pt>
                <c:pt idx="566">
                  <c:v>5.9187775517052046</c:v>
                </c:pt>
                <c:pt idx="567">
                  <c:v>5.9025590291654737</c:v>
                </c:pt>
                <c:pt idx="568">
                  <c:v>5.8864287909789823</c:v>
                </c:pt>
                <c:pt idx="569">
                  <c:v>5.8703861211453727</c:v>
                </c:pt>
                <c:pt idx="570">
                  <c:v>5.8544303113547187</c:v>
                </c:pt>
                <c:pt idx="571">
                  <c:v>5.8385606608845535</c:v>
                </c:pt>
                <c:pt idx="572">
                  <c:v>5.8227764764994561</c:v>
                </c:pt>
                <c:pt idx="573">
                  <c:v>5.8070770723512908</c:v>
                </c:pt>
                <c:pt idx="574">
                  <c:v>5.791461769881721</c:v>
                </c:pt>
                <c:pt idx="575">
                  <c:v>5.7759298977258879</c:v>
                </c:pt>
                <c:pt idx="576">
                  <c:v>5.7604807916178231</c:v>
                </c:pt>
                <c:pt idx="577">
                  <c:v>5.7451137942970831</c:v>
                </c:pt>
                <c:pt idx="578">
                  <c:v>5.7298282554172033</c:v>
                </c:pt>
                <c:pt idx="579">
                  <c:v>5.7146235314551745</c:v>
                </c:pt>
                <c:pt idx="580">
                  <c:v>5.6994989856226539</c:v>
                </c:pt>
                <c:pt idx="581">
                  <c:v>5.684453987778511</c:v>
                </c:pt>
                <c:pt idx="582">
                  <c:v>5.6694879143424544</c:v>
                </c:pt>
                <c:pt idx="583">
                  <c:v>5.6546001482103065</c:v>
                </c:pt>
                <c:pt idx="584">
                  <c:v>5.6397900786705861</c:v>
                </c:pt>
                <c:pt idx="585">
                  <c:v>5.6250571013219997</c:v>
                </c:pt>
                <c:pt idx="586">
                  <c:v>5.6104006179926387</c:v>
                </c:pt>
                <c:pt idx="587">
                  <c:v>5.5958200366602284</c:v>
                </c:pt>
                <c:pt idx="588">
                  <c:v>5.5813147713735134</c:v>
                </c:pt>
                <c:pt idx="589">
                  <c:v>5.5668842421750924</c:v>
                </c:pt>
                <c:pt idx="590">
                  <c:v>5.5525278750249072</c:v>
                </c:pt>
                <c:pt idx="591">
                  <c:v>5.5382451017256358</c:v>
                </c:pt>
                <c:pt idx="592">
                  <c:v>5.5240353598487104</c:v>
                </c:pt>
                <c:pt idx="593">
                  <c:v>5.5098980926613592</c:v>
                </c:pt>
                <c:pt idx="594">
                  <c:v>5.4958327490552108</c:v>
                </c:pt>
                <c:pt idx="595">
                  <c:v>5.4818387834754105</c:v>
                </c:pt>
                <c:pt idx="596">
                  <c:v>5.467915655851499</c:v>
                </c:pt>
                <c:pt idx="597">
                  <c:v>5.4540628315285176</c:v>
                </c:pt>
                <c:pt idx="598">
                  <c:v>5.4402797811997061</c:v>
                </c:pt>
                <c:pt idx="599">
                  <c:v>5.4265659808402233</c:v>
                </c:pt>
                <c:pt idx="600">
                  <c:v>5.4129209116411232</c:v>
                </c:pt>
                <c:pt idx="601">
                  <c:v>5.399344059945463</c:v>
                </c:pt>
                <c:pt idx="602">
                  <c:v>5.3858349171843258</c:v>
                </c:pt>
                <c:pt idx="603">
                  <c:v>5.3723929798144638</c:v>
                </c:pt>
                <c:pt idx="604">
                  <c:v>5.3590177492562248</c:v>
                </c:pt>
                <c:pt idx="605">
                  <c:v>5.3457087318331844</c:v>
                </c:pt>
                <c:pt idx="606">
                  <c:v>4.7550358031916744</c:v>
                </c:pt>
                <c:pt idx="607">
                  <c:v>4.2816575936889762</c:v>
                </c:pt>
                <c:pt idx="608">
                  <c:v>3.8938477032789081</c:v>
                </c:pt>
                <c:pt idx="609">
                  <c:v>3.5703596990389599</c:v>
                </c:pt>
                <c:pt idx="610">
                  <c:v>3.2964351343585179</c:v>
                </c:pt>
                <c:pt idx="611">
                  <c:v>3.0615052179790894</c:v>
                </c:pt>
                <c:pt idx="612">
                  <c:v>2.8578039595340954</c:v>
                </c:pt>
                <c:pt idx="613">
                  <c:v>2.6794975586474834</c:v>
                </c:pt>
                <c:pt idx="614">
                  <c:v>2.522119100063037</c:v>
                </c:pt>
                <c:pt idx="615">
                  <c:v>2.3821906229500485</c:v>
                </c:pt>
                <c:pt idx="616">
                  <c:v>2.2569639415177107</c:v>
                </c:pt>
                <c:pt idx="617">
                  <c:v>2.1442388734252233</c:v>
                </c:pt>
                <c:pt idx="618">
                  <c:v>2.1022383693982079</c:v>
                </c:pt>
                <c:pt idx="619">
                  <c:v>2.0618508405090665</c:v>
                </c:pt>
                <c:pt idx="620">
                  <c:v>2.0229851641753385</c:v>
                </c:pt>
                <c:pt idx="621">
                  <c:v>1.9855569516455205</c:v>
                </c:pt>
                <c:pt idx="622">
                  <c:v>1.949487937526726</c:v>
                </c:pt>
                <c:pt idx="623">
                  <c:v>1.9147054345136212</c:v>
                </c:pt>
                <c:pt idx="624">
                  <c:v>1.8811418453411193</c:v>
                </c:pt>
                <c:pt idx="625">
                  <c:v>1.8487342250766972</c:v>
                </c:pt>
                <c:pt idx="626">
                  <c:v>1.8174238877997482</c:v>
                </c:pt>
                <c:pt idx="627">
                  <c:v>1.7871560525055941</c:v>
                </c:pt>
                <c:pt idx="628">
                  <c:v>1.7578795237470786</c:v>
                </c:pt>
                <c:pt idx="629">
                  <c:v>1.7295464031026881</c:v>
                </c:pt>
                <c:pt idx="630">
                  <c:v>1.7021118280561893</c:v>
                </c:pt>
                <c:pt idx="631">
                  <c:v>1.6755337352980462</c:v>
                </c:pt>
                <c:pt idx="632">
                  <c:v>1.6497726458250668</c:v>
                </c:pt>
                <c:pt idx="633">
                  <c:v>1.624791469532596</c:v>
                </c:pt>
                <c:pt idx="634">
                  <c:v>1.6005553272684097</c:v>
                </c:pt>
                <c:pt idx="635">
                  <c:v>1.5770313885537348</c:v>
                </c:pt>
                <c:pt idx="636">
                  <c:v>1.5541887233873979</c:v>
                </c:pt>
                <c:pt idx="637">
                  <c:v>1.5319981667267086</c:v>
                </c:pt>
                <c:pt idx="638">
                  <c:v>1.5104321943989021</c:v>
                </c:pt>
                <c:pt idx="639">
                  <c:v>1.4894648093334695</c:v>
                </c:pt>
                <c:pt idx="640">
                  <c:v>1.4690714371286049</c:v>
                </c:pt>
                <c:pt idx="641">
                  <c:v>1.4492288300700693</c:v>
                </c:pt>
                <c:pt idx="642">
                  <c:v>1.4299149788150487</c:v>
                </c:pt>
                <c:pt idx="643">
                  <c:v>1.4111090310370287</c:v>
                </c:pt>
                <c:pt idx="644">
                  <c:v>1.3927912163994733</c:v>
                </c:pt>
                <c:pt idx="645">
                  <c:v>1.3749427772913521</c:v>
                </c:pt>
                <c:pt idx="646">
                  <c:v>1.3575459048153959</c:v>
                </c:pt>
                <c:pt idx="647">
                  <c:v>1.3405836795701589</c:v>
                </c:pt>
                <c:pt idx="648">
                  <c:v>1.3240400168112103</c:v>
                </c:pt>
                <c:pt idx="649">
                  <c:v>1.307899615620272</c:v>
                </c:pt>
                <c:pt idx="650">
                  <c:v>1.2921479117430863</c:v>
                </c:pt>
                <c:pt idx="651">
                  <c:v>1.2767710337913627</c:v>
                </c:pt>
                <c:pt idx="652">
                  <c:v>1.2617557625325446</c:v>
                </c:pt>
                <c:pt idx="653">
                  <c:v>1.2470894930159488</c:v>
                </c:pt>
                <c:pt idx="654">
                  <c:v>1.2327601993073358</c:v>
                </c:pt>
                <c:pt idx="655">
                  <c:v>1.2187564016254555</c:v>
                </c:pt>
                <c:pt idx="656">
                  <c:v>1.2050671356909675</c:v>
                </c:pt>
                <c:pt idx="657">
                  <c:v>1.1916819241164092</c:v>
                </c:pt>
                <c:pt idx="658">
                  <c:v>1.1785907496806942</c:v>
                </c:pt>
                <c:pt idx="659">
                  <c:v>1.1657840303440423</c:v>
                </c:pt>
                <c:pt idx="660">
                  <c:v>1.153252595873397</c:v>
                </c:pt>
                <c:pt idx="661">
                  <c:v>1.1409876659583347</c:v>
                </c:pt>
                <c:pt idx="662">
                  <c:v>1.1289808297071886</c:v>
                </c:pt>
                <c:pt idx="663">
                  <c:v>1.1172240264238837</c:v>
                </c:pt>
                <c:pt idx="664">
                  <c:v>1.1057095275721451</c:v>
                </c:pt>
                <c:pt idx="665">
                  <c:v>1.0944299198430087</c:v>
                </c:pt>
                <c:pt idx="666">
                  <c:v>1.0833780892477591</c:v>
                </c:pt>
                <c:pt idx="667">
                  <c:v>1.072547206164046</c:v>
                </c:pt>
              </c:numCache>
            </c:numRef>
          </c:yVal>
          <c:smooth val="0"/>
          <c:extLst>
            <c:ext xmlns:c16="http://schemas.microsoft.com/office/drawing/2014/chart" uri="{C3380CC4-5D6E-409C-BE32-E72D297353CC}">
              <c16:uniqueId val="{00000002-C323-45F5-AD89-2A9969707A73}"/>
            </c:ext>
          </c:extLst>
        </c:ser>
        <c:ser>
          <c:idx val="3"/>
          <c:order val="3"/>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Calculations'!$BI$9:$BI$676</c:f>
              <c:numCache>
                <c:formatCode>General</c:formatCode>
                <c:ptCount val="668"/>
                <c:pt idx="0">
                  <c:v>139.23423671421966</c:v>
                </c:pt>
                <c:pt idx="1">
                  <c:v>120.13311687461301</c:v>
                </c:pt>
                <c:pt idx="2">
                  <c:v>111.18232931863913</c:v>
                </c:pt>
                <c:pt idx="3">
                  <c:v>106.23655598412353</c:v>
                </c:pt>
                <c:pt idx="4">
                  <c:v>103.14692183571024</c:v>
                </c:pt>
                <c:pt idx="5">
                  <c:v>101.04795077811195</c:v>
                </c:pt>
                <c:pt idx="6">
                  <c:v>99.535010028006099</c:v>
                </c:pt>
                <c:pt idx="7">
                  <c:v>98.395951082043339</c:v>
                </c:pt>
                <c:pt idx="8">
                  <c:v>97.50946595797528</c:v>
                </c:pt>
                <c:pt idx="9">
                  <c:v>96.801383231037434</c:v>
                </c:pt>
                <c:pt idx="10">
                  <c:v>93.696024655469529</c:v>
                </c:pt>
                <c:pt idx="11">
                  <c:v>92.781258738132408</c:v>
                </c:pt>
                <c:pt idx="12">
                  <c:v>92.41795394843966</c:v>
                </c:pt>
                <c:pt idx="13">
                  <c:v>92.275602593123153</c:v>
                </c:pt>
                <c:pt idx="14">
                  <c:v>92.243794438080755</c:v>
                </c:pt>
                <c:pt idx="15">
                  <c:v>92.275164458264996</c:v>
                </c:pt>
                <c:pt idx="16">
                  <c:v>92.346016446974318</c:v>
                </c:pt>
                <c:pt idx="17">
                  <c:v>92.443180187250235</c:v>
                </c:pt>
                <c:pt idx="18">
                  <c:v>92.558750450347333</c:v>
                </c:pt>
                <c:pt idx="19">
                  <c:v>94.117412182150375</c:v>
                </c:pt>
                <c:pt idx="20">
                  <c:v>95.889551192863678</c:v>
                </c:pt>
                <c:pt idx="21">
                  <c:v>97.705222678052834</c:v>
                </c:pt>
                <c:pt idx="22">
                  <c:v>99.527295707226216</c:v>
                </c:pt>
                <c:pt idx="23">
                  <c:v>101.34078191915636</c:v>
                </c:pt>
                <c:pt idx="24">
                  <c:v>103.13702100130313</c:v>
                </c:pt>
                <c:pt idx="25">
                  <c:v>104.90972194805127</c:v>
                </c:pt>
                <c:pt idx="26">
                  <c:v>106.65363621905895</c:v>
                </c:pt>
                <c:pt idx="27">
                  <c:v>108.36401748920017</c:v>
                </c:pt>
                <c:pt idx="28">
                  <c:v>116.25710926093923</c:v>
                </c:pt>
                <c:pt idx="29">
                  <c:v>122.62008556607267</c:v>
                </c:pt>
                <c:pt idx="30">
                  <c:v>126.67802369794302</c:v>
                </c:pt>
                <c:pt idx="31">
                  <c:v>127.05235923990588</c:v>
                </c:pt>
                <c:pt idx="32">
                  <c:v>120.87124593137875</c:v>
                </c:pt>
                <c:pt idx="33">
                  <c:v>103.12931871822504</c:v>
                </c:pt>
                <c:pt idx="34">
                  <c:v>75.312736930719936</c:v>
                </c:pt>
                <c:pt idx="35">
                  <c:v>54.209252806426392</c:v>
                </c:pt>
                <c:pt idx="36">
                  <c:v>44.108699355611037</c:v>
                </c:pt>
                <c:pt idx="37">
                  <c:v>40.00725079670832</c:v>
                </c:pt>
                <c:pt idx="38">
                  <c:v>38.717795862000315</c:v>
                </c:pt>
                <c:pt idx="39">
                  <c:v>38.785491779647373</c:v>
                </c:pt>
                <c:pt idx="40">
                  <c:v>39.53038693279575</c:v>
                </c:pt>
                <c:pt idx="41">
                  <c:v>40.612676253146134</c:v>
                </c:pt>
                <c:pt idx="42">
                  <c:v>41.852426692994101</c:v>
                </c:pt>
                <c:pt idx="43">
                  <c:v>43.150389286308155</c:v>
                </c:pt>
                <c:pt idx="44">
                  <c:v>44.450530597197087</c:v>
                </c:pt>
                <c:pt idx="45">
                  <c:v>45.721069319361106</c:v>
                </c:pt>
                <c:pt idx="46">
                  <c:v>46.944320822242702</c:v>
                </c:pt>
                <c:pt idx="47">
                  <c:v>48.11100144039068</c:v>
                </c:pt>
                <c:pt idx="48">
                  <c:v>49.216912603883657</c:v>
                </c:pt>
                <c:pt idx="49">
                  <c:v>50.26095218133824</c:v>
                </c:pt>
                <c:pt idx="50">
                  <c:v>51.243893809339056</c:v>
                </c:pt>
                <c:pt idx="51">
                  <c:v>52.167624495230456</c:v>
                </c:pt>
                <c:pt idx="52">
                  <c:v>53.034662751249328</c:v>
                </c:pt>
                <c:pt idx="53">
                  <c:v>53.847852099264088</c:v>
                </c:pt>
                <c:pt idx="54">
                  <c:v>54.61016608427677</c:v>
                </c:pt>
                <c:pt idx="55">
                  <c:v>55.324585141043428</c:v>
                </c:pt>
                <c:pt idx="56">
                  <c:v>55.994020217837601</c:v>
                </c:pt>
                <c:pt idx="57">
                  <c:v>56.621267018958719</c:v>
                </c:pt>
                <c:pt idx="58">
                  <c:v>57.208980348393609</c:v>
                </c:pt>
                <c:pt idx="59">
                  <c:v>57.75966162525097</c:v>
                </c:pt>
                <c:pt idx="60">
                  <c:v>58.275654966724204</c:v>
                </c:pt>
                <c:pt idx="61">
                  <c:v>58.759148760576039</c:v>
                </c:pt>
                <c:pt idx="62">
                  <c:v>59.212180662074942</c:v>
                </c:pt>
                <c:pt idx="63">
                  <c:v>59.6366446288324</c:v>
                </c:pt>
                <c:pt idx="64">
                  <c:v>60.034299064930039</c:v>
                </c:pt>
                <c:pt idx="65">
                  <c:v>60.406775456606013</c:v>
                </c:pt>
                <c:pt idx="66">
                  <c:v>60.755587093665767</c:v>
                </c:pt>
                <c:pt idx="67">
                  <c:v>61.0821376155249</c:v>
                </c:pt>
                <c:pt idx="68">
                  <c:v>61.38772921964997</c:v>
                </c:pt>
                <c:pt idx="69">
                  <c:v>61.673570437510122</c:v>
                </c:pt>
                <c:pt idx="70">
                  <c:v>61.940783428755523</c:v>
                </c:pt>
                <c:pt idx="71">
                  <c:v>62.190410774901665</c:v>
                </c:pt>
                <c:pt idx="72">
                  <c:v>62.423421773944895</c:v>
                </c:pt>
                <c:pt idx="73">
                  <c:v>62.640718250264015</c:v>
                </c:pt>
                <c:pt idx="74">
                  <c:v>62.843139902112213</c:v>
                </c:pt>
                <c:pt idx="75">
                  <c:v>63.031469213528922</c:v>
                </c:pt>
                <c:pt idx="76">
                  <c:v>63.206435959695114</c:v>
                </c:pt>
                <c:pt idx="77">
                  <c:v>63.368721335382148</c:v>
                </c:pt>
                <c:pt idx="78">
                  <c:v>63.51896173573877</c:v>
                </c:pt>
                <c:pt idx="79">
                  <c:v>63.65775221759921</c:v>
                </c:pt>
                <c:pt idx="80">
                  <c:v>63.785649668033514</c:v>
                </c:pt>
                <c:pt idx="81">
                  <c:v>63.903175705184509</c:v>
                </c:pt>
                <c:pt idx="82">
                  <c:v>64.010819334661534</c:v>
                </c:pt>
                <c:pt idx="83">
                  <c:v>64.109039382974728</c:v>
                </c:pt>
                <c:pt idx="84">
                  <c:v>64.198266727748575</c:v>
                </c:pt>
                <c:pt idx="85">
                  <c:v>64.278906342783003</c:v>
                </c:pt>
                <c:pt idx="86">
                  <c:v>64.35133917445593</c:v>
                </c:pt>
                <c:pt idx="87">
                  <c:v>64.415923864490878</c:v>
                </c:pt>
                <c:pt idx="88">
                  <c:v>64.472998332754869</c:v>
                </c:pt>
                <c:pt idx="89">
                  <c:v>64.522881232500367</c:v>
                </c:pt>
                <c:pt idx="90">
                  <c:v>64.56587328932028</c:v>
                </c:pt>
                <c:pt idx="91">
                  <c:v>64.602258534040686</c:v>
                </c:pt>
                <c:pt idx="92">
                  <c:v>64.632305438825952</c:v>
                </c:pt>
                <c:pt idx="93">
                  <c:v>64.656267964907386</c:v>
                </c:pt>
                <c:pt idx="94">
                  <c:v>64.674386529565481</c:v>
                </c:pt>
                <c:pt idx="95">
                  <c:v>64.686888899288093</c:v>
                </c:pt>
                <c:pt idx="96">
                  <c:v>64.69399101538518</c:v>
                </c:pt>
                <c:pt idx="97">
                  <c:v>64.695897757763632</c:v>
                </c:pt>
                <c:pt idx="98">
                  <c:v>64.692803652040652</c:v>
                </c:pt>
                <c:pt idx="99">
                  <c:v>64.684893524703142</c:v>
                </c:pt>
                <c:pt idx="100">
                  <c:v>64.672343110591441</c:v>
                </c:pt>
                <c:pt idx="101">
                  <c:v>64.65531961660146</c:v>
                </c:pt>
                <c:pt idx="102">
                  <c:v>64.633982245149085</c:v>
                </c:pt>
                <c:pt idx="103">
                  <c:v>64.608482680625187</c:v>
                </c:pt>
                <c:pt idx="104">
                  <c:v>64.578965541785266</c:v>
                </c:pt>
                <c:pt idx="105">
                  <c:v>64.545568802757288</c:v>
                </c:pt>
                <c:pt idx="106">
                  <c:v>64.508424185120262</c:v>
                </c:pt>
                <c:pt idx="107">
                  <c:v>64.467657523290939</c:v>
                </c:pt>
                <c:pt idx="108">
                  <c:v>64.423389105267319</c:v>
                </c:pt>
                <c:pt idx="109">
                  <c:v>64.375733990600423</c:v>
                </c:pt>
                <c:pt idx="110">
                  <c:v>64.324802307309724</c:v>
                </c:pt>
                <c:pt idx="111">
                  <c:v>64.270699529313404</c:v>
                </c:pt>
                <c:pt idx="112">
                  <c:v>64.213526735813716</c:v>
                </c:pt>
                <c:pt idx="113">
                  <c:v>64.153380853959987</c:v>
                </c:pt>
                <c:pt idx="114">
                  <c:v>64.09035488600307</c:v>
                </c:pt>
                <c:pt idx="115">
                  <c:v>64.024538122056569</c:v>
                </c:pt>
                <c:pt idx="116">
                  <c:v>63.956016339491796</c:v>
                </c:pt>
                <c:pt idx="117">
                  <c:v>63.884871989910152</c:v>
                </c:pt>
                <c:pt idx="118">
                  <c:v>63.81118437456297</c:v>
                </c:pt>
                <c:pt idx="119">
                  <c:v>63.735029809020801</c:v>
                </c:pt>
                <c:pt idx="120">
                  <c:v>63.656481777831232</c:v>
                </c:pt>
                <c:pt idx="121">
                  <c:v>63.575611079847917</c:v>
                </c:pt>
                <c:pt idx="122">
                  <c:v>63.492485964861544</c:v>
                </c:pt>
                <c:pt idx="123">
                  <c:v>63.407172262115267</c:v>
                </c:pt>
                <c:pt idx="124">
                  <c:v>63.319733501243434</c:v>
                </c:pt>
                <c:pt idx="125">
                  <c:v>63.230231026133126</c:v>
                </c:pt>
                <c:pt idx="126">
                  <c:v>63.138724102170045</c:v>
                </c:pt>
                <c:pt idx="127">
                  <c:v>63.045270017297668</c:v>
                </c:pt>
                <c:pt idx="128">
                  <c:v>62.949924177286007</c:v>
                </c:pt>
                <c:pt idx="129">
                  <c:v>62.852740195579884</c:v>
                </c:pt>
                <c:pt idx="130">
                  <c:v>62.753769978068448</c:v>
                </c:pt>
                <c:pt idx="131">
                  <c:v>62.653063803093772</c:v>
                </c:pt>
                <c:pt idx="132">
                  <c:v>62.550670396995343</c:v>
                </c:pt>
                <c:pt idx="133">
                  <c:v>62.446637005465107</c:v>
                </c:pt>
                <c:pt idx="134">
                  <c:v>62.341009460969744</c:v>
                </c:pt>
                <c:pt idx="135">
                  <c:v>62.233832246478599</c:v>
                </c:pt>
                <c:pt idx="136">
                  <c:v>62.125148555720415</c:v>
                </c:pt>
                <c:pt idx="137">
                  <c:v>62.015000350176351</c:v>
                </c:pt>
                <c:pt idx="138">
                  <c:v>61.903428413002658</c:v>
                </c:pt>
                <c:pt idx="139">
                  <c:v>61.790472400064772</c:v>
                </c:pt>
                <c:pt idx="140">
                  <c:v>61.676170888251619</c:v>
                </c:pt>
                <c:pt idx="141">
                  <c:v>61.56056142122786</c:v>
                </c:pt>
                <c:pt idx="142">
                  <c:v>61.443680552772733</c:v>
                </c:pt>
                <c:pt idx="143">
                  <c:v>61.3255638878436</c:v>
                </c:pt>
                <c:pt idx="144">
                  <c:v>61.206246121493706</c:v>
                </c:pt>
                <c:pt idx="145">
                  <c:v>61.085761075766371</c:v>
                </c:pt>
                <c:pt idx="146">
                  <c:v>60.964141734678336</c:v>
                </c:pt>
                <c:pt idx="147">
                  <c:v>60.841420277400502</c:v>
                </c:pt>
                <c:pt idx="148">
                  <c:v>60.717628109735529</c:v>
                </c:pt>
                <c:pt idx="149">
                  <c:v>60.592795893986704</c:v>
                </c:pt>
                <c:pt idx="150">
                  <c:v>60.466953577306555</c:v>
                </c:pt>
                <c:pt idx="151">
                  <c:v>60.340130418608553</c:v>
                </c:pt>
                <c:pt idx="152">
                  <c:v>60.212355014120078</c:v>
                </c:pt>
                <c:pt idx="153">
                  <c:v>60.083655321649942</c:v>
                </c:pt>
                <c:pt idx="154">
                  <c:v>59.95405868364044</c:v>
                </c:pt>
                <c:pt idx="155">
                  <c:v>59.823591849068663</c:v>
                </c:pt>
                <c:pt idx="156">
                  <c:v>59.692280994258596</c:v>
                </c:pt>
                <c:pt idx="157">
                  <c:v>59.560151742662129</c:v>
                </c:pt>
                <c:pt idx="158">
                  <c:v>59.427229183664167</c:v>
                </c:pt>
                <c:pt idx="159">
                  <c:v>59.293537890462119</c:v>
                </c:pt>
                <c:pt idx="160">
                  <c:v>59.159101937069778</c:v>
                </c:pt>
                <c:pt idx="161">
                  <c:v>59.023944914491082</c:v>
                </c:pt>
                <c:pt idx="162">
                  <c:v>58.888089946106774</c:v>
                </c:pt>
                <c:pt idx="163">
                  <c:v>58.751559702315959</c:v>
                </c:pt>
                <c:pt idx="164">
                  <c:v>58.614376414470257</c:v>
                </c:pt>
                <c:pt idx="165">
                  <c:v>58.476561888138448</c:v>
                </c:pt>
                <c:pt idx="166">
                  <c:v>58.338137515735369</c:v>
                </c:pt>
                <c:pt idx="167">
                  <c:v>58.19912428854829</c:v>
                </c:pt>
                <c:pt idx="168">
                  <c:v>58.05954280819212</c:v>
                </c:pt>
                <c:pt idx="169">
                  <c:v>57.91941329752278</c:v>
                </c:pt>
                <c:pt idx="170">
                  <c:v>57.778755611036345</c:v>
                </c:pt>
                <c:pt idx="171">
                  <c:v>57.637589244780884</c:v>
                </c:pt>
                <c:pt idx="172">
                  <c:v>57.495933345805952</c:v>
                </c:pt>
                <c:pt idx="173">
                  <c:v>57.353806721173314</c:v>
                </c:pt>
                <c:pt idx="174">
                  <c:v>57.211227846551992</c:v>
                </c:pt>
                <c:pt idx="175">
                  <c:v>57.068214874418317</c:v>
                </c:pt>
                <c:pt idx="176">
                  <c:v>56.924785641881797</c:v>
                </c:pt>
                <c:pt idx="177">
                  <c:v>56.780957678156241</c:v>
                </c:pt>
                <c:pt idx="178">
                  <c:v>56.63674821169397</c:v>
                </c:pt>
                <c:pt idx="179">
                  <c:v>56.492174177000763</c:v>
                </c:pt>
                <c:pt idx="180">
                  <c:v>56.347252221147883</c:v>
                </c:pt>
                <c:pt idx="181">
                  <c:v>56.201998709997554</c:v>
                </c:pt>
                <c:pt idx="182">
                  <c:v>56.056429734155486</c:v>
                </c:pt>
                <c:pt idx="183">
                  <c:v>55.910561114665995</c:v>
                </c:pt>
                <c:pt idx="184">
                  <c:v>55.764408408462259</c:v>
                </c:pt>
                <c:pt idx="185">
                  <c:v>55.617986913585042</c:v>
                </c:pt>
                <c:pt idx="186">
                  <c:v>55.471311674181237</c:v>
                </c:pt>
                <c:pt idx="187">
                  <c:v>55.324397485295322</c:v>
                </c:pt>
                <c:pt idx="188">
                  <c:v>55.177258897462593</c:v>
                </c:pt>
                <c:pt idx="189">
                  <c:v>55.029910221117063</c:v>
                </c:pt>
                <c:pt idx="190">
                  <c:v>54.882365530821161</c:v>
                </c:pt>
                <c:pt idx="191">
                  <c:v>54.734638669329598</c:v>
                </c:pt>
                <c:pt idx="192">
                  <c:v>54.586743251494113</c:v>
                </c:pt>
                <c:pt idx="193">
                  <c:v>54.438692668018547</c:v>
                </c:pt>
                <c:pt idx="194">
                  <c:v>54.290500089072822</c:v>
                </c:pt>
                <c:pt idx="195">
                  <c:v>54.142178467771913</c:v>
                </c:pt>
                <c:pt idx="196">
                  <c:v>53.993740543529512</c:v>
                </c:pt>
                <c:pt idx="197">
                  <c:v>53.845198845291009</c:v>
                </c:pt>
                <c:pt idx="198">
                  <c:v>53.696565694653827</c:v>
                </c:pt>
                <c:pt idx="199">
                  <c:v>53.547853208881122</c:v>
                </c:pt>
                <c:pt idx="200">
                  <c:v>53.399073303814433</c:v>
                </c:pt>
                <c:pt idx="201">
                  <c:v>53.250237696691414</c:v>
                </c:pt>
                <c:pt idx="202">
                  <c:v>53.101357908873538</c:v>
                </c:pt>
                <c:pt idx="203">
                  <c:v>52.95244526848964</c:v>
                </c:pt>
                <c:pt idx="204">
                  <c:v>52.803510912999343</c:v>
                </c:pt>
                <c:pt idx="205">
                  <c:v>52.654565791681165</c:v>
                </c:pt>
                <c:pt idx="206">
                  <c:v>52.505620668050085</c:v>
                </c:pt>
                <c:pt idx="207">
                  <c:v>52.356686122208643</c:v>
                </c:pt>
                <c:pt idx="208">
                  <c:v>52.20777255313439</c:v>
                </c:pt>
                <c:pt idx="209">
                  <c:v>52.058890180909259</c:v>
                </c:pt>
                <c:pt idx="210">
                  <c:v>51.910049048892859</c:v>
                </c:pt>
                <c:pt idx="211">
                  <c:v>51.761259025843628</c:v>
                </c:pt>
                <c:pt idx="212">
                  <c:v>51.612529807991081</c:v>
                </c:pt>
                <c:pt idx="213">
                  <c:v>51.463870921061556</c:v>
                </c:pt>
                <c:pt idx="214">
                  <c:v>51.315291722261406</c:v>
                </c:pt>
                <c:pt idx="215">
                  <c:v>51.166801402218596</c:v>
                </c:pt>
                <c:pt idx="216">
                  <c:v>51.018408986887266</c:v>
                </c:pt>
                <c:pt idx="217">
                  <c:v>50.870123339415642</c:v>
                </c:pt>
                <c:pt idx="218">
                  <c:v>50.721953161980736</c:v>
                </c:pt>
                <c:pt idx="219">
                  <c:v>50.573906997591934</c:v>
                </c:pt>
                <c:pt idx="220">
                  <c:v>50.425993231864538</c:v>
                </c:pt>
                <c:pt idx="221">
                  <c:v>50.278220094766482</c:v>
                </c:pt>
                <c:pt idx="222">
                  <c:v>50.13059566233818</c:v>
                </c:pt>
                <c:pt idx="223">
                  <c:v>49.983127858389452</c:v>
                </c:pt>
                <c:pt idx="224">
                  <c:v>49.835824456172389</c:v>
                </c:pt>
                <c:pt idx="225">
                  <c:v>49.688693080034227</c:v>
                </c:pt>
                <c:pt idx="226">
                  <c:v>48.228414858285277</c:v>
                </c:pt>
                <c:pt idx="227">
                  <c:v>46.792681204768996</c:v>
                </c:pt>
                <c:pt idx="228">
                  <c:v>45.386901718860514</c:v>
                </c:pt>
                <c:pt idx="229">
                  <c:v>44.01532508156896</c:v>
                </c:pt>
                <c:pt idx="230">
                  <c:v>42.681175869748387</c:v>
                </c:pt>
                <c:pt idx="231">
                  <c:v>41.386784987078215</c:v>
                </c:pt>
                <c:pt idx="232">
                  <c:v>40.133713072198361</c:v>
                </c:pt>
                <c:pt idx="233">
                  <c:v>38.922865761539242</c:v>
                </c:pt>
                <c:pt idx="234">
                  <c:v>37.754599724984473</c:v>
                </c:pt>
                <c:pt idx="235">
                  <c:v>36.628818695643389</c:v>
                </c:pt>
                <c:pt idx="236">
                  <c:v>35.545059112501718</c:v>
                </c:pt>
                <c:pt idx="237">
                  <c:v>34.502565386010048</c:v>
                </c:pt>
                <c:pt idx="238">
                  <c:v>33.500355128724408</c:v>
                </c:pt>
                <c:pt idx="239">
                  <c:v>32.537274944471278</c:v>
                </c:pt>
                <c:pt idx="240">
                  <c:v>31.612047538208998</c:v>
                </c:pt>
                <c:pt idx="241">
                  <c:v>30.723311003573656</c:v>
                </c:pt>
                <c:pt idx="242">
                  <c:v>29.869651179633877</c:v>
                </c:pt>
                <c:pt idx="243">
                  <c:v>29.049627957317909</c:v>
                </c:pt>
                <c:pt idx="244">
                  <c:v>28.261796372970537</c:v>
                </c:pt>
                <c:pt idx="245">
                  <c:v>27.504723263123623</c:v>
                </c:pt>
                <c:pt idx="246">
                  <c:v>26.777000180020508</c:v>
                </c:pt>
                <c:pt idx="247">
                  <c:v>26.07725318860895</c:v>
                </c:pt>
                <c:pt idx="248">
                  <c:v>25.404150087488489</c:v>
                </c:pt>
                <c:pt idx="249">
                  <c:v>24.75640552189202</c:v>
                </c:pt>
                <c:pt idx="250">
                  <c:v>24.132784388158314</c:v>
                </c:pt>
                <c:pt idx="251">
                  <c:v>23.532103867310383</c:v>
                </c:pt>
                <c:pt idx="252">
                  <c:v>22.953234370639734</c:v>
                </c:pt>
                <c:pt idx="253">
                  <c:v>22.395099632488098</c:v>
                </c:pt>
                <c:pt idx="254">
                  <c:v>21.85667614432532</c:v>
                </c:pt>
                <c:pt idx="255">
                  <c:v>21.336992089180455</c:v>
                </c:pt>
                <c:pt idx="256">
                  <c:v>20.835125905866562</c:v>
                </c:pt>
                <c:pt idx="257">
                  <c:v>20.350204587590838</c:v>
                </c:pt>
                <c:pt idx="258">
                  <c:v>19.881401798836549</c:v>
                </c:pt>
                <c:pt idx="259">
                  <c:v>19.42793587725285</c:v>
                </c:pt>
                <c:pt idx="260">
                  <c:v>18.989067773164862</c:v>
                </c:pt>
                <c:pt idx="261">
                  <c:v>18.564098967741131</c:v>
                </c:pt>
                <c:pt idx="262">
                  <c:v>18.152369401426057</c:v>
                </c:pt>
                <c:pt idx="263">
                  <c:v>17.753255436593747</c:v>
                </c:pt>
                <c:pt idx="264">
                  <c:v>17.36616787221331</c:v>
                </c:pt>
                <c:pt idx="265">
                  <c:v>16.990550023367206</c:v>
                </c:pt>
                <c:pt idx="266">
                  <c:v>16.625875874519949</c:v>
                </c:pt>
                <c:pt idx="267">
                  <c:v>16.271648312315307</c:v>
                </c:pt>
                <c:pt idx="268">
                  <c:v>15.927397441226475</c:v>
                </c:pt>
                <c:pt idx="269">
                  <c:v>15.592678983478919</c:v>
                </c:pt>
                <c:pt idx="270">
                  <c:v>15.267072763200076</c:v>
                </c:pt>
                <c:pt idx="271">
                  <c:v>14.950181273637298</c:v>
                </c:pt>
                <c:pt idx="272">
                  <c:v>14.6416283254635</c:v>
                </c:pt>
                <c:pt idx="273">
                  <c:v>14.341057773590165</c:v>
                </c:pt>
                <c:pt idx="274">
                  <c:v>14.048132319489469</c:v>
                </c:pt>
                <c:pt idx="275">
                  <c:v>13.762532385756828</c:v>
                </c:pt>
                <c:pt idx="276">
                  <c:v>13.48395505947849</c:v>
                </c:pt>
                <c:pt idx="277">
                  <c:v>13.212113100896772</c:v>
                </c:pt>
                <c:pt idx="278">
                  <c:v>12.946734013854638</c:v>
                </c:pt>
                <c:pt idx="279">
                  <c:v>12.68755917454385</c:v>
                </c:pt>
                <c:pt idx="280">
                  <c:v>12.434343015160522</c:v>
                </c:pt>
                <c:pt idx="281">
                  <c:v>12.186852259177357</c:v>
                </c:pt>
                <c:pt idx="282">
                  <c:v>11.944865205068197</c:v>
                </c:pt>
                <c:pt idx="283">
                  <c:v>11.708171055459133</c:v>
                </c:pt>
                <c:pt idx="284">
                  <c:v>11.47656928882455</c:v>
                </c:pt>
                <c:pt idx="285">
                  <c:v>11.249869070997647</c:v>
                </c:pt>
                <c:pt idx="286">
                  <c:v>11.027888703914044</c:v>
                </c:pt>
                <c:pt idx="287">
                  <c:v>10.810455109155527</c:v>
                </c:pt>
                <c:pt idx="288">
                  <c:v>10.597403344007006</c:v>
                </c:pt>
                <c:pt idx="289">
                  <c:v>10.388576147878638</c:v>
                </c:pt>
                <c:pt idx="290">
                  <c:v>10.183823517082544</c:v>
                </c:pt>
                <c:pt idx="291">
                  <c:v>9.9830023060802375</c:v>
                </c:pt>
                <c:pt idx="292">
                  <c:v>9.7859758534423804</c:v>
                </c:pt>
                <c:pt idx="293">
                  <c:v>9.5926136308766843</c:v>
                </c:pt>
                <c:pt idx="294">
                  <c:v>9.4027909137911081</c:v>
                </c:pt>
                <c:pt idx="295">
                  <c:v>9.2163884719625173</c:v>
                </c:pt>
                <c:pt idx="296">
                  <c:v>9.0332922789781094</c:v>
                </c:pt>
                <c:pt idx="297">
                  <c:v>8.8533932392082306</c:v>
                </c:pt>
                <c:pt idx="298">
                  <c:v>8.6765869311539063</c:v>
                </c:pt>
                <c:pt idx="299">
                  <c:v>8.5027733660929812</c:v>
                </c:pt>
                <c:pt idx="300">
                  <c:v>8.3318567610218111</c:v>
                </c:pt>
                <c:pt idx="301">
                  <c:v>8.1637453249599901</c:v>
                </c:pt>
                <c:pt idx="302">
                  <c:v>7.9983510577488346</c:v>
                </c:pt>
                <c:pt idx="303">
                  <c:v>7.8355895605355386</c:v>
                </c:pt>
                <c:pt idx="304">
                  <c:v>7.6753798571895118</c:v>
                </c:pt>
                <c:pt idx="305">
                  <c:v>7.5176442259511305</c:v>
                </c:pt>
                <c:pt idx="306">
                  <c:v>7.3623080406589452</c:v>
                </c:pt>
                <c:pt idx="307">
                  <c:v>7.2092996209481441</c:v>
                </c:pt>
                <c:pt idx="308">
                  <c:v>7.0585500908543963</c:v>
                </c:pt>
                <c:pt idx="309">
                  <c:v>6.9099932452947712</c:v>
                </c:pt>
                <c:pt idx="310">
                  <c:v>6.7635654239344944</c:v>
                </c:pt>
                <c:pt idx="311">
                  <c:v>6.6192053919812395</c:v>
                </c:pt>
                <c:pt idx="312">
                  <c:v>6.4768542274796062</c:v>
                </c:pt>
                <c:pt idx="313">
                  <c:v>6.3364552147072004</c:v>
                </c:pt>
                <c:pt idx="314">
                  <c:v>6.1979537432997631</c:v>
                </c:pt>
                <c:pt idx="315">
                  <c:v>6.0612972127598539</c:v>
                </c:pt>
                <c:pt idx="316">
                  <c:v>5.9264349420231213</c:v>
                </c:pt>
                <c:pt idx="317">
                  <c:v>5.7933180837808322</c:v>
                </c:pt>
                <c:pt idx="318">
                  <c:v>5.6618995432756378</c:v>
                </c:pt>
                <c:pt idx="319">
                  <c:v>5.5321339013060253</c:v>
                </c:pt>
                <c:pt idx="320">
                  <c:v>5.403977341192558</c:v>
                </c:pt>
                <c:pt idx="321">
                  <c:v>5.2773875794750609</c:v>
                </c:pt>
                <c:pt idx="322">
                  <c:v>5.1523238001243783</c:v>
                </c:pt>
                <c:pt idx="323">
                  <c:v>5.0287465920662839</c:v>
                </c:pt>
                <c:pt idx="324">
                  <c:v>4.9066178898283397</c:v>
                </c:pt>
                <c:pt idx="325">
                  <c:v>4.7859009171320963</c:v>
                </c:pt>
                <c:pt idx="326">
                  <c:v>4.6665601332645394</c:v>
                </c:pt>
                <c:pt idx="327">
                  <c:v>4.5485611820724614</c:v>
                </c:pt>
                <c:pt idx="328">
                  <c:v>4.4318708434342682</c:v>
                </c:pt>
                <c:pt idx="329">
                  <c:v>4.3164569870717742</c:v>
                </c:pt>
                <c:pt idx="330">
                  <c:v>4.2022885285730922</c:v>
                </c:pt>
                <c:pt idx="331">
                  <c:v>4.0893353875061678</c:v>
                </c:pt>
                <c:pt idx="332">
                  <c:v>3.9775684475095261</c:v>
                </c:pt>
                <c:pt idx="333">
                  <c:v>3.866959518253509</c:v>
                </c:pt>
                <c:pt idx="334">
                  <c:v>3.7574812991716158</c:v>
                </c:pt>
                <c:pt idx="335">
                  <c:v>3.6491073448680993</c:v>
                </c:pt>
                <c:pt idx="336">
                  <c:v>3.5418120321131994</c:v>
                </c:pt>
                <c:pt idx="337">
                  <c:v>3.435570528342538</c:v>
                </c:pt>
                <c:pt idx="338">
                  <c:v>3.3303587615817207</c:v>
                </c:pt>
                <c:pt idx="339">
                  <c:v>3.2261533917236136</c:v>
                </c:pt>
                <c:pt idx="340">
                  <c:v>3.1229317830867558</c:v>
                </c:pt>
                <c:pt idx="341">
                  <c:v>3.0206719781911602</c:v>
                </c:pt>
                <c:pt idx="342">
                  <c:v>2.9193526726885182</c:v>
                </c:pt>
                <c:pt idx="343">
                  <c:v>2.8189531913886015</c:v>
                </c:pt>
                <c:pt idx="344">
                  <c:v>2.7194534653274047</c:v>
                </c:pt>
                <c:pt idx="345">
                  <c:v>2.6208340098245912</c:v>
                </c:pt>
                <c:pt idx="346">
                  <c:v>2.5230759034813559</c:v>
                </c:pt>
                <c:pt idx="347">
                  <c:v>2.4261607680722364</c:v>
                </c:pt>
                <c:pt idx="348">
                  <c:v>2.3300707492878985</c:v>
                </c:pt>
                <c:pt idx="349">
                  <c:v>2.2347884982862638</c:v>
                </c:pt>
                <c:pt idx="350">
                  <c:v>2.1402971540141209</c:v>
                </c:pt>
                <c:pt idx="351">
                  <c:v>2.0465803262615623</c:v>
                </c:pt>
                <c:pt idx="352">
                  <c:v>1.9536220794146288</c:v>
                </c:pt>
                <c:pt idx="353">
                  <c:v>1.8614069168727951</c:v>
                </c:pt>
                <c:pt idx="354">
                  <c:v>1.7699197661000028</c:v>
                </c:pt>
                <c:pt idx="355">
                  <c:v>1.6791459642800248</c:v>
                </c:pt>
                <c:pt idx="356">
                  <c:v>1.5890712445475685</c:v>
                </c:pt>
                <c:pt idx="357">
                  <c:v>1.4996817227683437</c:v>
                </c:pt>
                <c:pt idx="358">
                  <c:v>1.4109638848435964</c:v>
                </c:pt>
                <c:pt idx="359">
                  <c:v>1.3229045745146664</c:v>
                </c:pt>
                <c:pt idx="360">
                  <c:v>1.2354909816443467</c:v>
                </c:pt>
                <c:pt idx="361">
                  <c:v>1.1487106309549233</c:v>
                </c:pt>
                <c:pt idx="362">
                  <c:v>1.0625513712012093</c:v>
                </c:pt>
                <c:pt idx="363">
                  <c:v>0.97700136475921795</c:v>
                </c:pt>
                <c:pt idx="364">
                  <c:v>0.8920490776130805</c:v>
                </c:pt>
                <c:pt idx="365">
                  <c:v>0.80768326972147975</c:v>
                </c:pt>
                <c:pt idx="366">
                  <c:v>0.72389298574751137</c:v>
                </c:pt>
                <c:pt idx="367">
                  <c:v>0.64066754613645571</c:v>
                </c:pt>
                <c:pt idx="368">
                  <c:v>0.55799653852565712</c:v>
                </c:pt>
                <c:pt idx="369">
                  <c:v>0.47586980947281177</c:v>
                </c:pt>
                <c:pt idx="370">
                  <c:v>0.39427745648899304</c:v>
                </c:pt>
                <c:pt idx="371">
                  <c:v>0.31320982036291412</c:v>
                </c:pt>
                <c:pt idx="372">
                  <c:v>0.23265747776503076</c:v>
                </c:pt>
                <c:pt idx="373">
                  <c:v>0.15261123411877975</c:v>
                </c:pt>
                <c:pt idx="374">
                  <c:v>7.3062116728294768E-2</c:v>
                </c:pt>
                <c:pt idx="375">
                  <c:v>-5.9986318478877365E-3</c:v>
                </c:pt>
                <c:pt idx="376">
                  <c:v>-8.4579560187762581E-2</c:v>
                </c:pt>
                <c:pt idx="377">
                  <c:v>-0.16268901417112147</c:v>
                </c:pt>
                <c:pt idx="378">
                  <c:v>-0.24033514292761993</c:v>
                </c:pt>
                <c:pt idx="379">
                  <c:v>-0.31752590457739416</c:v>
                </c:pt>
                <c:pt idx="380">
                  <c:v>-0.39426907177215753</c:v>
                </c:pt>
                <c:pt idx="381">
                  <c:v>-0.47057223704481999</c:v>
                </c:pt>
                <c:pt idx="382">
                  <c:v>-0.54644281797521899</c:v>
                </c:pt>
                <c:pt idx="383">
                  <c:v>-0.62188806217952219</c:v>
                </c:pt>
                <c:pt idx="384">
                  <c:v>-0.69691505213006621</c:v>
                </c:pt>
                <c:pt idx="385">
                  <c:v>-0.7715307098123958</c:v>
                </c:pt>
                <c:pt idx="386">
                  <c:v>-0.84574180122564258</c:v>
                </c:pt>
                <c:pt idx="387">
                  <c:v>-0.91955494073272348</c:v>
                </c:pt>
                <c:pt idx="388">
                  <c:v>-0.9929765952660432</c:v>
                </c:pt>
                <c:pt idx="389">
                  <c:v>-1.0660130883937882</c:v>
                </c:pt>
                <c:pt idx="390">
                  <c:v>-1.1386706042528658</c:v>
                </c:pt>
                <c:pt idx="391">
                  <c:v>-1.2109551913533778</c:v>
                </c:pt>
                <c:pt idx="392">
                  <c:v>-1.2828727662588051</c:v>
                </c:pt>
                <c:pt idx="393">
                  <c:v>-1.3544291171477028</c:v>
                </c:pt>
                <c:pt idx="394">
                  <c:v>-1.4256299072604008</c:v>
                </c:pt>
                <c:pt idx="395">
                  <c:v>-1.4964806782357414</c:v>
                </c:pt>
                <c:pt idx="396">
                  <c:v>-1.5669868533410636</c:v>
                </c:pt>
                <c:pt idx="397">
                  <c:v>-1.6371537406004109</c:v>
                </c:pt>
                <c:pt idx="398">
                  <c:v>-1.7069865358236314</c:v>
                </c:pt>
                <c:pt idx="399">
                  <c:v>-1.7764903255412321</c:v>
                </c:pt>
                <c:pt idx="400">
                  <c:v>-1.8456700898467204</c:v>
                </c:pt>
                <c:pt idx="401">
                  <c:v>-1.9145307051517761</c:v>
                </c:pt>
                <c:pt idx="402">
                  <c:v>-1.9830769468555616</c:v>
                </c:pt>
                <c:pt idx="403">
                  <c:v>-2.0513134919326035</c:v>
                </c:pt>
                <c:pt idx="404">
                  <c:v>-2.1192449214412363</c:v>
                </c:pt>
                <c:pt idx="405">
                  <c:v>-2.186875722955989</c:v>
                </c:pt>
                <c:pt idx="406">
                  <c:v>-2.2542102929263024</c:v>
                </c:pt>
                <c:pt idx="407">
                  <c:v>-2.3212529389641361</c:v>
                </c:pt>
                <c:pt idx="408">
                  <c:v>-2.3880078820633344</c:v>
                </c:pt>
                <c:pt idx="409">
                  <c:v>-2.4544792587526842</c:v>
                </c:pt>
                <c:pt idx="410">
                  <c:v>-2.5206711231847692</c:v>
                </c:pt>
                <c:pt idx="411">
                  <c:v>-2.5865874491640284</c:v>
                </c:pt>
                <c:pt idx="412">
                  <c:v>-2.6522321321144489</c:v>
                </c:pt>
                <c:pt idx="413">
                  <c:v>-2.7176089909899872</c:v>
                </c:pt>
                <c:pt idx="414">
                  <c:v>-2.7827217701295979</c:v>
                </c:pt>
                <c:pt idx="415">
                  <c:v>-2.8475741410583453</c:v>
                </c:pt>
                <c:pt idx="416">
                  <c:v>-2.9121697042368453</c:v>
                </c:pt>
                <c:pt idx="417">
                  <c:v>-2.9765119907602866</c:v>
                </c:pt>
                <c:pt idx="418">
                  <c:v>-3.0406044640091352</c:v>
                </c:pt>
                <c:pt idx="419">
                  <c:v>-3.1044505212529714</c:v>
                </c:pt>
                <c:pt idx="420">
                  <c:v>-3.1680534952088806</c:v>
                </c:pt>
                <c:pt idx="421">
                  <c:v>-3.231416655556103</c:v>
                </c:pt>
                <c:pt idx="422">
                  <c:v>-3.2945432104081362</c:v>
                </c:pt>
                <c:pt idx="423">
                  <c:v>-3.3574363077440239</c:v>
                </c:pt>
                <c:pt idx="424">
                  <c:v>-3.4200990367995132</c:v>
                </c:pt>
                <c:pt idx="425">
                  <c:v>-3.4825344294204683</c:v>
                </c:pt>
                <c:pt idx="426">
                  <c:v>-3.5447454613783691</c:v>
                </c:pt>
                <c:pt idx="427">
                  <c:v>-3.6067350536500271</c:v>
                </c:pt>
                <c:pt idx="428">
                  <c:v>-3.6685060736629111</c:v>
                </c:pt>
                <c:pt idx="429">
                  <c:v>-3.7300613365059121</c:v>
                </c:pt>
                <c:pt idx="430">
                  <c:v>-3.7914036061080481</c:v>
                </c:pt>
                <c:pt idx="431">
                  <c:v>-3.8525355963850814</c:v>
                </c:pt>
                <c:pt idx="432">
                  <c:v>-3.9134599723556676</c:v>
                </c:pt>
                <c:pt idx="433">
                  <c:v>-3.9741793512278321</c:v>
                </c:pt>
                <c:pt idx="434">
                  <c:v>-4.0346963034563714</c:v>
                </c:pt>
                <c:pt idx="435">
                  <c:v>-4.0950133537726003</c:v>
                </c:pt>
                <c:pt idx="436">
                  <c:v>-4.1551329821867569</c:v>
                </c:pt>
                <c:pt idx="437">
                  <c:v>-4.2150576249644587</c:v>
                </c:pt>
                <c:pt idx="438">
                  <c:v>-4.2747896755774661</c:v>
                </c:pt>
                <c:pt idx="439">
                  <c:v>-4.334331485630031</c:v>
                </c:pt>
                <c:pt idx="440">
                  <c:v>-4.3936853657608594</c:v>
                </c:pt>
                <c:pt idx="441">
                  <c:v>-4.4528535865225933</c:v>
                </c:pt>
                <c:pt idx="442">
                  <c:v>-4.5118383792379007</c:v>
                </c:pt>
                <c:pt idx="443">
                  <c:v>-4.5706419368345053</c:v>
                </c:pt>
                <c:pt idx="444">
                  <c:v>-4.6292664146584173</c:v>
                </c:pt>
                <c:pt idx="445">
                  <c:v>-4.6877139312670693</c:v>
                </c:pt>
                <c:pt idx="446">
                  <c:v>-4.7459865692019321</c:v>
                </c:pt>
                <c:pt idx="447">
                  <c:v>-4.8040863757424574</c:v>
                </c:pt>
                <c:pt idx="448">
                  <c:v>-4.8620153636405803</c:v>
                </c:pt>
                <c:pt idx="449">
                  <c:v>-4.9197755118370878</c:v>
                </c:pt>
                <c:pt idx="450">
                  <c:v>-4.9773687661605948</c:v>
                </c:pt>
                <c:pt idx="451">
                  <c:v>-5.0347970400088116</c:v>
                </c:pt>
                <c:pt idx="452">
                  <c:v>-5.0920622150132999</c:v>
                </c:pt>
                <c:pt idx="453">
                  <c:v>-5.1491661416879708</c:v>
                </c:pt>
                <c:pt idx="454">
                  <c:v>-5.2061106400618087</c:v>
                </c:pt>
                <c:pt idx="455">
                  <c:v>-5.2628975002960487</c:v>
                </c:pt>
                <c:pt idx="456">
                  <c:v>-5.3195284832868026</c:v>
                </c:pt>
                <c:pt idx="457">
                  <c:v>-5.3760053212525349</c:v>
                </c:pt>
                <c:pt idx="458">
                  <c:v>-5.4323297183082957</c:v>
                </c:pt>
                <c:pt idx="459">
                  <c:v>-5.4885033510256847</c:v>
                </c:pt>
                <c:pt idx="460">
                  <c:v>-5.5445278689793724</c:v>
                </c:pt>
                <c:pt idx="461">
                  <c:v>-5.6004048952812582</c:v>
                </c:pt>
                <c:pt idx="462">
                  <c:v>-5.6561360271014678</c:v>
                </c:pt>
                <c:pt idx="463">
                  <c:v>-5.7117228361775574</c:v>
                </c:pt>
                <c:pt idx="464">
                  <c:v>-5.7671668693110689</c:v>
                </c:pt>
                <c:pt idx="465">
                  <c:v>-5.8224696488536836</c:v>
                </c:pt>
                <c:pt idx="466">
                  <c:v>-5.8776326731807842</c:v>
                </c:pt>
                <c:pt idx="467">
                  <c:v>-5.9326574171550703</c:v>
                </c:pt>
                <c:pt idx="468">
                  <c:v>-5.9875453325788612</c:v>
                </c:pt>
                <c:pt idx="469">
                  <c:v>-6.0422978486362808</c:v>
                </c:pt>
                <c:pt idx="470">
                  <c:v>-6.0969163723254098</c:v>
                </c:pt>
                <c:pt idx="471">
                  <c:v>-6.1514022888802913</c:v>
                </c:pt>
                <c:pt idx="472">
                  <c:v>-6.2057569621835285</c:v>
                </c:pt>
                <c:pt idx="473">
                  <c:v>-6.2599817351696743</c:v>
                </c:pt>
                <c:pt idx="474">
                  <c:v>-6.3140779302193835</c:v>
                </c:pt>
                <c:pt idx="475">
                  <c:v>-6.3680468495445552</c:v>
                </c:pt>
                <c:pt idx="476">
                  <c:v>-6.4218897755653188</c:v>
                </c:pt>
                <c:pt idx="477">
                  <c:v>-6.4756079712781798</c:v>
                </c:pt>
                <c:pt idx="478">
                  <c:v>-6.5292026806162085</c:v>
                </c:pt>
                <c:pt idx="479">
                  <c:v>-6.5826751288010996</c:v>
                </c:pt>
                <c:pt idx="480">
                  <c:v>-6.6360265226877857</c:v>
                </c:pt>
                <c:pt idx="481">
                  <c:v>-6.6892580511011772</c:v>
                </c:pt>
                <c:pt idx="482">
                  <c:v>-6.7423708851657977</c:v>
                </c:pt>
                <c:pt idx="483">
                  <c:v>-6.7953661786277735</c:v>
                </c:pt>
                <c:pt idx="484">
                  <c:v>-6.8482450681705132</c:v>
                </c:pt>
                <c:pt idx="485">
                  <c:v>-6.9010086737229415</c:v>
                </c:pt>
                <c:pt idx="486">
                  <c:v>-6.9536580987614514</c:v>
                </c:pt>
                <c:pt idx="487">
                  <c:v>-7.0061944306052624</c:v>
                </c:pt>
                <c:pt idx="488">
                  <c:v>-7.0586187407053842</c:v>
                </c:pt>
                <c:pt idx="489">
                  <c:v>-7.1109320849276685</c:v>
                </c:pt>
                <c:pt idx="490">
                  <c:v>-7.163135503829352</c:v>
                </c:pt>
                <c:pt idx="491">
                  <c:v>-7.2152300229304274</c:v>
                </c:pt>
                <c:pt idx="492">
                  <c:v>-7.2672166529786182</c:v>
                </c:pt>
                <c:pt idx="493">
                  <c:v>-7.3190963902092676</c:v>
                </c:pt>
                <c:pt idx="494">
                  <c:v>-7.3708702165995135</c:v>
                </c:pt>
                <c:pt idx="495">
                  <c:v>-7.4225391001172909</c:v>
                </c:pt>
                <c:pt idx="496">
                  <c:v>-7.4741039949651054</c:v>
                </c:pt>
                <c:pt idx="497">
                  <c:v>-7.5255658418186897</c:v>
                </c:pt>
                <c:pt idx="498">
                  <c:v>-7.5769255680609149</c:v>
                </c:pt>
                <c:pt idx="499">
                  <c:v>-7.6281840880105847</c:v>
                </c:pt>
                <c:pt idx="500">
                  <c:v>-7.6793423031469672</c:v>
                </c:pt>
                <c:pt idx="501">
                  <c:v>-7.7304011023291821</c:v>
                </c:pt>
                <c:pt idx="502">
                  <c:v>-7.7813613620116939</c:v>
                </c:pt>
                <c:pt idx="503">
                  <c:v>-7.8322239464549739</c:v>
                </c:pt>
                <c:pt idx="504">
                  <c:v>-7.8829897079321256</c:v>
                </c:pt>
                <c:pt idx="505">
                  <c:v>-7.9336594869313615</c:v>
                </c:pt>
                <c:pt idx="506">
                  <c:v>-7.9842341123542155</c:v>
                </c:pt>
                <c:pt idx="507">
                  <c:v>-8.0347144017100049</c:v>
                </c:pt>
                <c:pt idx="508">
                  <c:v>-8.0851011613062553</c:v>
                </c:pt>
                <c:pt idx="509">
                  <c:v>-8.1353951864354883</c:v>
                </c:pt>
                <c:pt idx="510">
                  <c:v>-8.1855972615581152</c:v>
                </c:pt>
                <c:pt idx="511">
                  <c:v>-8.2357081604817779</c:v>
                </c:pt>
                <c:pt idx="512">
                  <c:v>-8.2857286465373079</c:v>
                </c:pt>
                <c:pt idx="513">
                  <c:v>-8.3356594727511322</c:v>
                </c:pt>
                <c:pt idx="514">
                  <c:v>-8.3855013820139561</c:v>
                </c:pt>
                <c:pt idx="515">
                  <c:v>-8.4352551072468316</c:v>
                </c:pt>
                <c:pt idx="516">
                  <c:v>-8.4849213715637575</c:v>
                </c:pt>
                <c:pt idx="517">
                  <c:v>-8.5345008884303297</c:v>
                </c:pt>
                <c:pt idx="518">
                  <c:v>-8.5839943618208849</c:v>
                </c:pt>
                <c:pt idx="519">
                  <c:v>-8.6334024863710113</c:v>
                </c:pt>
                <c:pt idx="520">
                  <c:v>-8.6827259475284109</c:v>
                </c:pt>
                <c:pt idx="521">
                  <c:v>-8.7319654216998686</c:v>
                </c:pt>
                <c:pt idx="522">
                  <c:v>-8.7811215763962025</c:v>
                </c:pt>
                <c:pt idx="523">
                  <c:v>-8.8301950703739465</c:v>
                </c:pt>
                <c:pt idx="524">
                  <c:v>-8.8791865537747299</c:v>
                </c:pt>
                <c:pt idx="525">
                  <c:v>-8.9280966682615315</c:v>
                </c:pt>
                <c:pt idx="526">
                  <c:v>-8.9769260471529435</c:v>
                </c:pt>
                <c:pt idx="527">
                  <c:v>-9.0256753155543947</c:v>
                </c:pt>
                <c:pt idx="528">
                  <c:v>-9.0743450904873555</c:v>
                </c:pt>
                <c:pt idx="529">
                  <c:v>-9.1229359810158428</c:v>
                </c:pt>
                <c:pt idx="530">
                  <c:v>-9.1714485883705379</c:v>
                </c:pt>
                <c:pt idx="531">
                  <c:v>-9.2198835060709996</c:v>
                </c:pt>
                <c:pt idx="532">
                  <c:v>-9.2682413200450924</c:v>
                </c:pt>
                <c:pt idx="533">
                  <c:v>-9.3165226087465385</c:v>
                </c:pt>
                <c:pt idx="534">
                  <c:v>-9.3647279432703954</c:v>
                </c:pt>
                <c:pt idx="535">
                  <c:v>-9.4128578874659468</c:v>
                </c:pt>
                <c:pt idx="536">
                  <c:v>-9.4609129980481157</c:v>
                </c:pt>
                <c:pt idx="537">
                  <c:v>-9.5088938247064334</c:v>
                </c:pt>
                <c:pt idx="538">
                  <c:v>-9.5568009102122744</c:v>
                </c:pt>
                <c:pt idx="539">
                  <c:v>-9.6046347905239884</c:v>
                </c:pt>
                <c:pt idx="540">
                  <c:v>-9.6523959948901847</c:v>
                </c:pt>
                <c:pt idx="541">
                  <c:v>-9.7000850459511696</c:v>
                </c:pt>
                <c:pt idx="542">
                  <c:v>-9.7477024598386492</c:v>
                </c:pt>
                <c:pt idx="543">
                  <c:v>-9.795248746273586</c:v>
                </c:pt>
                <c:pt idx="544">
                  <c:v>-9.8427244086620931</c:v>
                </c:pt>
                <c:pt idx="545">
                  <c:v>-9.890129944190079</c:v>
                </c:pt>
                <c:pt idx="546">
                  <c:v>-9.9374658439158168</c:v>
                </c:pt>
                <c:pt idx="547">
                  <c:v>-9.9847325928610076</c:v>
                </c:pt>
                <c:pt idx="548">
                  <c:v>-10.031930670100394</c:v>
                </c:pt>
                <c:pt idx="549">
                  <c:v>-10.079060548849526</c:v>
                </c:pt>
                <c:pt idx="550">
                  <c:v>-10.126122696551192</c:v>
                </c:pt>
                <c:pt idx="551">
                  <c:v>-10.17311757496023</c:v>
                </c:pt>
                <c:pt idx="552">
                  <c:v>-10.220045640227056</c:v>
                </c:pt>
                <c:pt idx="553">
                  <c:v>-10.266907342979351</c:v>
                </c:pt>
                <c:pt idx="554">
                  <c:v>-10.313703128402835</c:v>
                </c:pt>
                <c:pt idx="555">
                  <c:v>-10.360433436320108</c:v>
                </c:pt>
                <c:pt idx="556">
                  <c:v>-10.407098701268723</c:v>
                </c:pt>
                <c:pt idx="557">
                  <c:v>-10.453699352577445</c:v>
                </c:pt>
                <c:pt idx="558">
                  <c:v>-10.500235814441282</c:v>
                </c:pt>
                <c:pt idx="559">
                  <c:v>-10.546708505995554</c:v>
                </c:pt>
                <c:pt idx="560">
                  <c:v>-10.593117841388363</c:v>
                </c:pt>
                <c:pt idx="561">
                  <c:v>-10.639464229851939</c:v>
                </c:pt>
                <c:pt idx="562">
                  <c:v>-10.685748075772722</c:v>
                </c:pt>
                <c:pt idx="563">
                  <c:v>-10.73196977876043</c:v>
                </c:pt>
                <c:pt idx="564">
                  <c:v>-10.778129733715957</c:v>
                </c:pt>
                <c:pt idx="565">
                  <c:v>-10.824228330897768</c:v>
                </c:pt>
                <c:pt idx="566">
                  <c:v>-10.870265955987662</c:v>
                </c:pt>
                <c:pt idx="567">
                  <c:v>-10.916242990155098</c:v>
                </c:pt>
                <c:pt idx="568">
                  <c:v>-10.96215981012071</c:v>
                </c:pt>
                <c:pt idx="569">
                  <c:v>-11.008016788218669</c:v>
                </c:pt>
                <c:pt idx="570">
                  <c:v>-11.05381429245773</c:v>
                </c:pt>
                <c:pt idx="571">
                  <c:v>-11.099552686581745</c:v>
                </c:pt>
                <c:pt idx="572">
                  <c:v>-11.145232330129033</c:v>
                </c:pt>
                <c:pt idx="573">
                  <c:v>-11.190853578490419</c:v>
                </c:pt>
                <c:pt idx="574">
                  <c:v>-11.236416782966842</c:v>
                </c:pt>
                <c:pt idx="575">
                  <c:v>-11.281922290825804</c:v>
                </c:pt>
                <c:pt idx="576">
                  <c:v>-11.327370445356621</c:v>
                </c:pt>
                <c:pt idx="577">
                  <c:v>-11.372761585925446</c:v>
                </c:pt>
                <c:pt idx="578">
                  <c:v>-11.418096048028701</c:v>
                </c:pt>
                <c:pt idx="579">
                  <c:v>-11.463374163345975</c:v>
                </c:pt>
                <c:pt idx="580">
                  <c:v>-11.508596259792228</c:v>
                </c:pt>
                <c:pt idx="581">
                  <c:v>-11.553762661568697</c:v>
                </c:pt>
                <c:pt idx="582">
                  <c:v>-11.598873689213519</c:v>
                </c:pt>
                <c:pt idx="583">
                  <c:v>-11.643929659651178</c:v>
                </c:pt>
                <c:pt idx="584">
                  <c:v>-11.688930886241167</c:v>
                </c:pt>
                <c:pt idx="585">
                  <c:v>-11.73387767882619</c:v>
                </c:pt>
                <c:pt idx="586">
                  <c:v>-11.778770343779229</c:v>
                </c:pt>
                <c:pt idx="587">
                  <c:v>-11.823609184050184</c:v>
                </c:pt>
                <c:pt idx="588">
                  <c:v>-11.868394499211348</c:v>
                </c:pt>
                <c:pt idx="589">
                  <c:v>-11.913126585502852</c:v>
                </c:pt>
                <c:pt idx="590">
                  <c:v>-11.95780573587669</c:v>
                </c:pt>
                <c:pt idx="591">
                  <c:v>-12.002432240040491</c:v>
                </c:pt>
                <c:pt idx="592">
                  <c:v>-12.047006384500264</c:v>
                </c:pt>
                <c:pt idx="593">
                  <c:v>-12.091528452603058</c:v>
                </c:pt>
                <c:pt idx="594">
                  <c:v>-12.135998724578258</c:v>
                </c:pt>
                <c:pt idx="595">
                  <c:v>-12.180417477578743</c:v>
                </c:pt>
                <c:pt idx="596">
                  <c:v>-12.224784985721271</c:v>
                </c:pt>
                <c:pt idx="597">
                  <c:v>-12.269101520125986</c:v>
                </c:pt>
                <c:pt idx="598">
                  <c:v>-12.313367348955921</c:v>
                </c:pt>
                <c:pt idx="599">
                  <c:v>-12.357582737455033</c:v>
                </c:pt>
                <c:pt idx="600">
                  <c:v>-12.401747947986706</c:v>
                </c:pt>
                <c:pt idx="601">
                  <c:v>-12.445863240070622</c:v>
                </c:pt>
                <c:pt idx="602">
                  <c:v>-12.48992887041976</c:v>
                </c:pt>
                <c:pt idx="603">
                  <c:v>-12.533945092976694</c:v>
                </c:pt>
                <c:pt idx="604">
                  <c:v>-12.577912158949147</c:v>
                </c:pt>
                <c:pt idx="605">
                  <c:v>-12.621830316845148</c:v>
                </c:pt>
                <c:pt idx="606">
                  <c:v>-14.760179416023476</c:v>
                </c:pt>
                <c:pt idx="607">
                  <c:v>-16.799943541201628</c:v>
                </c:pt>
                <c:pt idx="608">
                  <c:v>-18.756046752161154</c:v>
                </c:pt>
                <c:pt idx="609">
                  <c:v>-20.638018749745072</c:v>
                </c:pt>
                <c:pt idx="610">
                  <c:v>-22.452212836246503</c:v>
                </c:pt>
                <c:pt idx="611">
                  <c:v>-24.203060962262896</c:v>
                </c:pt>
                <c:pt idx="612">
                  <c:v>-25.893814663763692</c:v>
                </c:pt>
                <c:pt idx="613">
                  <c:v>-27.526996336239876</c:v>
                </c:pt>
                <c:pt idx="614">
                  <c:v>-29.104679961966241</c:v>
                </c:pt>
                <c:pt idx="615">
                  <c:v>-30.628667785390832</c:v>
                </c:pt>
                <c:pt idx="616">
                  <c:v>-32.100601705924873</c:v>
                </c:pt>
                <c:pt idx="617">
                  <c:v>-33.522032853088064</c:v>
                </c:pt>
                <c:pt idx="618">
                  <c:v>-34.112907929736451</c:v>
                </c:pt>
                <c:pt idx="619">
                  <c:v>-34.694840661220752</c:v>
                </c:pt>
                <c:pt idx="620">
                  <c:v>-35.267991477752048</c:v>
                </c:pt>
                <c:pt idx="621">
                  <c:v>-35.832515455334999</c:v>
                </c:pt>
                <c:pt idx="622">
                  <c:v>-36.388562877222739</c:v>
                </c:pt>
                <c:pt idx="623">
                  <c:v>-36.936279716773981</c:v>
                </c:pt>
                <c:pt idx="624">
                  <c:v>-37.475808052548643</c:v>
                </c:pt>
                <c:pt idx="625">
                  <c:v>-38.007286424961165</c:v>
                </c:pt>
                <c:pt idx="626">
                  <c:v>-38.530850142518972</c:v>
                </c:pt>
                <c:pt idx="627">
                  <c:v>-39.046631544571028</c:v>
                </c:pt>
                <c:pt idx="628">
                  <c:v>-39.554760226549917</c:v>
                </c:pt>
                <c:pt idx="629">
                  <c:v>-40.055363232882172</c:v>
                </c:pt>
                <c:pt idx="630">
                  <c:v>-40.548565222047472</c:v>
                </c:pt>
                <c:pt idx="631">
                  <c:v>-41.034488607668976</c:v>
                </c:pt>
                <c:pt idx="632">
                  <c:v>-41.513253679001252</c:v>
                </c:pt>
                <c:pt idx="633">
                  <c:v>-41.984978703734868</c:v>
                </c:pt>
                <c:pt idx="634">
                  <c:v>-42.449780015650589</c:v>
                </c:pt>
                <c:pt idx="635">
                  <c:v>-42.907772089321952</c:v>
                </c:pt>
                <c:pt idx="636">
                  <c:v>-43.359067603771592</c:v>
                </c:pt>
                <c:pt idx="637">
                  <c:v>-43.803777496734739</c:v>
                </c:pt>
                <c:pt idx="638">
                  <c:v>-44.242011010963239</c:v>
                </c:pt>
                <c:pt idx="639">
                  <c:v>-44.67387573381103</c:v>
                </c:pt>
                <c:pt idx="640">
                  <c:v>-45.09947763117404</c:v>
                </c:pt>
                <c:pt idx="641">
                  <c:v>-45.518921076712473</c:v>
                </c:pt>
                <c:pt idx="642">
                  <c:v>-45.93230887715626</c:v>
                </c:pt>
                <c:pt idx="643">
                  <c:v>-46.339742294382319</c:v>
                </c:pt>
                <c:pt idx="644">
                  <c:v>-46.741321064856152</c:v>
                </c:pt>
                <c:pt idx="645">
                  <c:v>-47.137143416945833</c:v>
                </c:pt>
                <c:pt idx="646">
                  <c:v>-47.527306086542154</c:v>
                </c:pt>
                <c:pt idx="647">
                  <c:v>-47.911904331354407</c:v>
                </c:pt>
                <c:pt idx="648">
                  <c:v>-48.291031944196163</c:v>
                </c:pt>
                <c:pt idx="649">
                  <c:v>-48.66478126552505</c:v>
                </c:pt>
                <c:pt idx="650">
                  <c:v>-49.033243195460045</c:v>
                </c:pt>
                <c:pt idx="651">
                  <c:v>-49.396507205460722</c:v>
                </c:pt>
                <c:pt idx="652">
                  <c:v>-49.754661349823238</c:v>
                </c:pt>
                <c:pt idx="653">
                  <c:v>-50.107792277118534</c:v>
                </c:pt>
                <c:pt idx="654">
                  <c:v>-50.455985241674966</c:v>
                </c:pt>
                <c:pt idx="655">
                  <c:v>-50.799324115186494</c:v>
                </c:pt>
                <c:pt idx="656">
                  <c:v>-51.137891398511215</c:v>
                </c:pt>
                <c:pt idx="657">
                  <c:v>-51.471768233707536</c:v>
                </c:pt>
                <c:pt idx="658">
                  <c:v>-51.801034416344805</c:v>
                </c:pt>
                <c:pt idx="659">
                  <c:v>-52.125768408112066</c:v>
                </c:pt>
                <c:pt idx="660">
                  <c:v>-52.44604734974061</c:v>
                </c:pt>
                <c:pt idx="661">
                  <c:v>-52.761947074247843</c:v>
                </c:pt>
                <c:pt idx="662">
                  <c:v>-53.073542120502935</c:v>
                </c:pt>
                <c:pt idx="663">
                  <c:v>-53.380905747109693</c:v>
                </c:pt>
                <c:pt idx="664">
                  <c:v>-53.684109946598028</c:v>
                </c:pt>
                <c:pt idx="665">
                  <c:v>-53.983225459910386</c:v>
                </c:pt>
                <c:pt idx="666">
                  <c:v>-54.278321791168395</c:v>
                </c:pt>
                <c:pt idx="667">
                  <c:v>-54.569467222701348</c:v>
                </c:pt>
              </c:numCache>
            </c:numRef>
          </c:yVal>
          <c:smooth val="0"/>
          <c:extLst>
            <c:ext xmlns:c16="http://schemas.microsoft.com/office/drawing/2014/chart" uri="{C3380CC4-5D6E-409C-BE32-E72D297353CC}">
              <c16:uniqueId val="{00000003-C323-45F5-AD89-2A9969707A73}"/>
            </c:ext>
          </c:extLst>
        </c:ser>
        <c:dLbls>
          <c:showLegendKey val="0"/>
          <c:showVal val="0"/>
          <c:showCatName val="0"/>
          <c:showSerName val="0"/>
          <c:showPercent val="0"/>
          <c:showBubbleSize val="0"/>
        </c:dLbls>
        <c:axId val="177428736"/>
        <c:axId val="177430528"/>
      </c:scatterChart>
      <c:valAx>
        <c:axId val="177420544"/>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8566911218015"/>
              <c:y val="0.88189196822838745"/>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6816"/>
        <c:crossesAt val="-80"/>
        <c:crossBetween val="midCat"/>
      </c:valAx>
      <c:valAx>
        <c:axId val="177426816"/>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2.9010238907849841E-2"/>
              <c:y val="0.4409459841141904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0544"/>
        <c:crosses val="autoZero"/>
        <c:crossBetween val="midCat"/>
      </c:valAx>
      <c:valAx>
        <c:axId val="177428736"/>
        <c:scaling>
          <c:logBase val="10"/>
          <c:orientation val="minMax"/>
        </c:scaling>
        <c:delete val="1"/>
        <c:axPos val="b"/>
        <c:numFmt formatCode="General" sourceLinked="1"/>
        <c:majorTickMark val="out"/>
        <c:minorTickMark val="none"/>
        <c:tickLblPos val="none"/>
        <c:crossAx val="177430528"/>
        <c:crosses val="autoZero"/>
        <c:crossBetween val="midCat"/>
      </c:valAx>
      <c:valAx>
        <c:axId val="177430528"/>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733860059302123"/>
              <c:y val="0.36483022299377932"/>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8736"/>
        <c:crosses val="max"/>
        <c:crossBetween val="midCat"/>
      </c:valAx>
      <c:spPr>
        <a:noFill/>
        <a:ln w="12700">
          <a:solidFill>
            <a:srgbClr val="808080"/>
          </a:solidFill>
          <a:prstDash val="solid"/>
        </a:ln>
      </c:spPr>
    </c:plotArea>
    <c:legend>
      <c:legendPos val="t"/>
      <c:layout>
        <c:manualLayout>
          <c:xMode val="edge"/>
          <c:yMode val="edge"/>
          <c:x val="0.78157068250427764"/>
          <c:y val="1.3123359580052583E-2"/>
          <c:w val="0.20307185151344131"/>
          <c:h val="0.14698190285269724"/>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FeedBack To Comp</a:t>
            </a:r>
          </a:p>
        </c:rich>
      </c:tx>
      <c:layout>
        <c:manualLayout>
          <c:xMode val="edge"/>
          <c:yMode val="edge"/>
          <c:x val="0.40108892921960942"/>
          <c:y val="3.3854166666666671E-2"/>
        </c:manualLayout>
      </c:layout>
      <c:overlay val="0"/>
      <c:spPr>
        <a:noFill/>
        <a:ln w="25400">
          <a:noFill/>
        </a:ln>
      </c:spPr>
    </c:title>
    <c:autoTitleDeleted val="0"/>
    <c:plotArea>
      <c:layout>
        <c:manualLayout>
          <c:layoutTarget val="inner"/>
          <c:xMode val="edge"/>
          <c:yMode val="edge"/>
          <c:x val="0.11615245009074388"/>
          <c:y val="0.20833386315374539"/>
          <c:w val="0.79128856624319865"/>
          <c:h val="0.60416820314586173"/>
        </c:manualLayout>
      </c:layout>
      <c:scatterChart>
        <c:scatterStyle val="smoothMarker"/>
        <c:varyColors val="0"/>
        <c:ser>
          <c:idx val="2"/>
          <c:order val="0"/>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Calculations'!$BB$9:$BB$676</c:f>
              <c:numCache>
                <c:formatCode>General</c:formatCode>
                <c:ptCount val="668"/>
                <c:pt idx="0">
                  <c:v>61.494256902563365</c:v>
                </c:pt>
                <c:pt idx="1">
                  <c:v>57.914749995713294</c:v>
                </c:pt>
                <c:pt idx="2">
                  <c:v>55.046372899042389</c:v>
                </c:pt>
                <c:pt idx="3">
                  <c:v>52.801699838246961</c:v>
                </c:pt>
                <c:pt idx="4">
                  <c:v>50.986344444534538</c:v>
                </c:pt>
                <c:pt idx="5">
                  <c:v>49.470938146613157</c:v>
                </c:pt>
                <c:pt idx="6">
                  <c:v>48.173662458711718</c:v>
                </c:pt>
                <c:pt idx="7">
                  <c:v>47.041080578892441</c:v>
                </c:pt>
                <c:pt idx="8">
                  <c:v>46.036819500119002</c:v>
                </c:pt>
                <c:pt idx="9">
                  <c:v>45.135162396785972</c:v>
                </c:pt>
                <c:pt idx="10">
                  <c:v>39.158083804972527</c:v>
                </c:pt>
                <c:pt idx="11">
                  <c:v>35.644546176724695</c:v>
                </c:pt>
                <c:pt idx="12">
                  <c:v>33.148888543565533</c:v>
                </c:pt>
                <c:pt idx="13">
                  <c:v>31.212365244900205</c:v>
                </c:pt>
                <c:pt idx="14">
                  <c:v>29.629899215084521</c:v>
                </c:pt>
                <c:pt idx="15">
                  <c:v>28.291920402829291</c:v>
                </c:pt>
                <c:pt idx="16">
                  <c:v>27.132968635702127</c:v>
                </c:pt>
                <c:pt idx="17">
                  <c:v>26.110798663279546</c:v>
                </c:pt>
                <c:pt idx="18">
                  <c:v>25.196555865993055</c:v>
                </c:pt>
                <c:pt idx="19">
                  <c:v>19.188543367526897</c:v>
                </c:pt>
                <c:pt idx="20">
                  <c:v>15.687004716032757</c:v>
                </c:pt>
                <c:pt idx="21">
                  <c:v>13.216453762329209</c:v>
                </c:pt>
                <c:pt idx="22">
                  <c:v>11.314361021025629</c:v>
                </c:pt>
                <c:pt idx="23">
                  <c:v>9.7746215100993279</c:v>
                </c:pt>
                <c:pt idx="24">
                  <c:v>8.4872142768477694</c:v>
                </c:pt>
                <c:pt idx="25">
                  <c:v>7.3863891843790164</c:v>
                </c:pt>
                <c:pt idx="26">
                  <c:v>6.4296597713206598</c:v>
                </c:pt>
                <c:pt idx="27">
                  <c:v>5.5879421171851877</c:v>
                </c:pt>
                <c:pt idx="28">
                  <c:v>2.5320922696018529</c:v>
                </c:pt>
                <c:pt idx="29">
                  <c:v>0.64099776067776193</c:v>
                </c:pt>
                <c:pt idx="30">
                  <c:v>-0.58047558249669351</c:v>
                </c:pt>
                <c:pt idx="31">
                  <c:v>-1.3690534313188532</c:v>
                </c:pt>
                <c:pt idx="32">
                  <c:v>-1.8609729372142292</c:v>
                </c:pt>
                <c:pt idx="33">
                  <c:v>-2.1430472870955479</c:v>
                </c:pt>
                <c:pt idx="34">
                  <c:v>-2.2739351877577807</c:v>
                </c:pt>
                <c:pt idx="35">
                  <c:v>-2.2947126655438517</c:v>
                </c:pt>
                <c:pt idx="36">
                  <c:v>-2.2348231307258866</c:v>
                </c:pt>
                <c:pt idx="37">
                  <c:v>-2.1157207526259962</c:v>
                </c:pt>
                <c:pt idx="38">
                  <c:v>-1.9532304401170888</c:v>
                </c:pt>
                <c:pt idx="39">
                  <c:v>-1.7591360125040634</c:v>
                </c:pt>
                <c:pt idx="40">
                  <c:v>-1.5422782705998332</c:v>
                </c:pt>
                <c:pt idx="41">
                  <c:v>-1.3093296611756353</c:v>
                </c:pt>
                <c:pt idx="42">
                  <c:v>-1.0653494642268984</c:v>
                </c:pt>
                <c:pt idx="43">
                  <c:v>-0.81418682751452864</c:v>
                </c:pt>
                <c:pt idx="44">
                  <c:v>-0.55877653012063122</c:v>
                </c:pt>
                <c:pt idx="45">
                  <c:v>-0.3013580676090758</c:v>
                </c:pt>
                <c:pt idx="46">
                  <c:v>-4.3639285125658706E-2</c:v>
                </c:pt>
                <c:pt idx="47">
                  <c:v>0.21308049714731531</c:v>
                </c:pt>
                <c:pt idx="48">
                  <c:v>0.46781721395113357</c:v>
                </c:pt>
                <c:pt idx="49">
                  <c:v>0.71983096614967201</c:v>
                </c:pt>
                <c:pt idx="50">
                  <c:v>0.96857153225687442</c:v>
                </c:pt>
                <c:pt idx="51">
                  <c:v>1.2136363872997227</c:v>
                </c:pt>
                <c:pt idx="52">
                  <c:v>1.454738204112821</c:v>
                </c:pt>
                <c:pt idx="53">
                  <c:v>1.6916795856559883</c:v>
                </c:pt>
                <c:pt idx="54">
                  <c:v>1.924333341592197</c:v>
                </c:pt>
                <c:pt idx="55">
                  <c:v>2.1526270375871084</c:v>
                </c:pt>
                <c:pt idx="56">
                  <c:v>2.3765308532243488</c:v>
                </c:pt>
                <c:pt idx="57">
                  <c:v>2.5960480135129451</c:v>
                </c:pt>
                <c:pt idx="58">
                  <c:v>2.8112072306940679</c:v>
                </c:pt>
                <c:pt idx="59">
                  <c:v>3.0220567225282045</c:v>
                </c:pt>
                <c:pt idx="60">
                  <c:v>3.2286594713899537</c:v>
                </c:pt>
                <c:pt idx="61">
                  <c:v>3.4310894632818725</c:v>
                </c:pt>
                <c:pt idx="62">
                  <c:v>3.6294287031441756</c:v>
                </c:pt>
                <c:pt idx="63">
                  <c:v>3.8237648468953784</c:v>
                </c:pt>
                <c:pt idx="64">
                  <c:v>4.0141893246892746</c:v>
                </c:pt>
                <c:pt idx="65">
                  <c:v>4.200795856304075</c:v>
                </c:pt>
                <c:pt idx="66">
                  <c:v>4.3836792801794928</c:v>
                </c:pt>
                <c:pt idx="67">
                  <c:v>4.5629346337374823</c:v>
                </c:pt>
                <c:pt idx="68">
                  <c:v>4.7386564352844225</c:v>
                </c:pt>
                <c:pt idx="69">
                  <c:v>4.9109381277738731</c:v>
                </c:pt>
                <c:pt idx="70">
                  <c:v>5.0798716526049601</c:v>
                </c:pt>
                <c:pt idx="71">
                  <c:v>5.2455471278979404</c:v>
                </c:pt>
                <c:pt idx="72">
                  <c:v>5.4080526106771352</c:v>
                </c:pt>
                <c:pt idx="73">
                  <c:v>5.5674739263750865</c:v>
                </c:pt>
                <c:pt idx="74">
                  <c:v>5.7238945522610072</c:v>
                </c:pt>
                <c:pt idx="75">
                  <c:v>5.8773955439576202</c:v>
                </c:pt>
                <c:pt idx="76">
                  <c:v>6.0280554962710298</c:v>
                </c:pt>
                <c:pt idx="77">
                  <c:v>6.1759505312208542</c:v>
                </c:pt>
                <c:pt idx="78">
                  <c:v>6.3211543075019154</c:v>
                </c:pt>
                <c:pt idx="79">
                  <c:v>6.4637380466970695</c:v>
                </c:pt>
                <c:pt idx="80">
                  <c:v>6.6037705724447733</c:v>
                </c:pt>
                <c:pt idx="81">
                  <c:v>6.7413183594825625</c:v>
                </c:pt>
                <c:pt idx="82">
                  <c:v>6.8764455900725334</c:v>
                </c:pt>
                <c:pt idx="83">
                  <c:v>7.0092142157913093</c:v>
                </c:pt>
                <c:pt idx="84">
                  <c:v>7.1396840230558194</c:v>
                </c:pt>
                <c:pt idx="85">
                  <c:v>7.2679127010735769</c:v>
                </c:pt>
                <c:pt idx="86">
                  <c:v>7.3939559111659561</c:v>
                </c:pt>
                <c:pt idx="87">
                  <c:v>7.5178673566248087</c:v>
                </c:pt>
                <c:pt idx="88">
                  <c:v>7.6396988524364389</c:v>
                </c:pt>
                <c:pt idx="89">
                  <c:v>7.7595003943486516</c:v>
                </c:pt>
                <c:pt idx="90">
                  <c:v>7.8773202268726141</c:v>
                </c:pt>
                <c:pt idx="91">
                  <c:v>7.9932049099057121</c:v>
                </c:pt>
                <c:pt idx="92">
                  <c:v>8.1071993837390384</c:v>
                </c:pt>
                <c:pt idx="93">
                  <c:v>8.2193470322755431</c:v>
                </c:pt>
                <c:pt idx="94">
                  <c:v>8.3296897443363722</c:v>
                </c:pt>
                <c:pt idx="95">
                  <c:v>8.4382679729737902</c:v>
                </c:pt>
                <c:pt idx="96">
                  <c:v>8.5451207927427113</c:v>
                </c:pt>
                <c:pt idx="97">
                  <c:v>8.6502859549094016</c:v>
                </c:pt>
                <c:pt idx="98">
                  <c:v>8.7537999405974016</c:v>
                </c:pt>
                <c:pt idx="99">
                  <c:v>8.8556980118874229</c:v>
                </c:pt>
                <c:pt idx="100">
                  <c:v>8.9560142609014033</c:v>
                </c:pt>
                <c:pt idx="101">
                  <c:v>9.0547816569109099</c:v>
                </c:pt>
                <c:pt idx="102">
                  <c:v>9.1520320915180271</c:v>
                </c:pt>
                <c:pt idx="103">
                  <c:v>9.247796421962482</c:v>
                </c:pt>
                <c:pt idx="104">
                  <c:v>9.3421045126129449</c:v>
                </c:pt>
                <c:pt idx="105">
                  <c:v>9.4349852747031946</c:v>
                </c:pt>
                <c:pt idx="106">
                  <c:v>9.526466704375423</c:v>
                </c:pt>
                <c:pt idx="107">
                  <c:v>9.6165759190939823</c:v>
                </c:pt>
                <c:pt idx="108">
                  <c:v>9.7053391924928007</c:v>
                </c:pt>
                <c:pt idx="109">
                  <c:v>9.7927819877192448</c:v>
                </c:pt>
                <c:pt idx="110">
                  <c:v>9.8789289893365861</c:v>
                </c:pt>
                <c:pt idx="111">
                  <c:v>9.9638041338456063</c:v>
                </c:pt>
                <c:pt idx="112">
                  <c:v>10.047430638884752</c:v>
                </c:pt>
                <c:pt idx="113">
                  <c:v>10.129831031166407</c:v>
                </c:pt>
                <c:pt idx="114">
                  <c:v>10.211027173205006</c:v>
                </c:pt>
                <c:pt idx="115">
                  <c:v>10.291040288890992</c:v>
                </c:pt>
                <c:pt idx="116">
                  <c:v>10.369890987962373</c:v>
                </c:pt>
                <c:pt idx="117">
                  <c:v>10.447599289423932</c:v>
                </c:pt>
                <c:pt idx="118">
                  <c:v>10.524184643961881</c:v>
                </c:pt>
                <c:pt idx="119">
                  <c:v>10.599665955399981</c:v>
                </c:pt>
                <c:pt idx="120">
                  <c:v>10.674061601240997</c:v>
                </c:pt>
                <c:pt idx="121">
                  <c:v>10.74738945233551</c:v>
                </c:pt>
                <c:pt idx="122">
                  <c:v>10.819666891718281</c:v>
                </c:pt>
                <c:pt idx="123">
                  <c:v>10.89091083265042</c:v>
                </c:pt>
                <c:pt idx="124">
                  <c:v>10.961137735903906</c:v>
                </c:pt>
                <c:pt idx="125">
                  <c:v>11.030363626323245</c:v>
                </c:pt>
                <c:pt idx="126">
                  <c:v>11.098604108697609</c:v>
                </c:pt>
                <c:pt idx="127">
                  <c:v>11.165874382974755</c:v>
                </c:pt>
                <c:pt idx="128">
                  <c:v>11.232189258847134</c:v>
                </c:pt>
                <c:pt idx="129">
                  <c:v>11.297563169738556</c:v>
                </c:pt>
                <c:pt idx="130">
                  <c:v>11.362010186218836</c:v>
                </c:pt>
                <c:pt idx="131">
                  <c:v>11.425544028872171</c:v>
                </c:pt>
                <c:pt idx="132">
                  <c:v>11.488178080644065</c:v>
                </c:pt>
                <c:pt idx="133">
                  <c:v>11.549925398690137</c:v>
                </c:pt>
                <c:pt idx="134">
                  <c:v>11.610798725749127</c:v>
                </c:pt>
                <c:pt idx="135">
                  <c:v>11.670810501061368</c:v>
                </c:pt>
                <c:pt idx="136">
                  <c:v>11.729972870852798</c:v>
                </c:pt>
                <c:pt idx="137">
                  <c:v>11.788297698403831</c:v>
                </c:pt>
                <c:pt idx="138">
                  <c:v>11.845796573721188</c:v>
                </c:pt>
                <c:pt idx="139">
                  <c:v>11.902480822830164</c:v>
                </c:pt>
                <c:pt idx="140">
                  <c:v>11.958361516703796</c:v>
                </c:pt>
                <c:pt idx="141">
                  <c:v>12.01344947984466</c:v>
                </c:pt>
                <c:pt idx="142">
                  <c:v>12.067755298534241</c:v>
                </c:pt>
                <c:pt idx="143">
                  <c:v>12.121289328764107</c:v>
                </c:pt>
                <c:pt idx="144">
                  <c:v>12.174061703862487</c:v>
                </c:pt>
                <c:pt idx="145">
                  <c:v>12.226082341829066</c:v>
                </c:pt>
                <c:pt idx="146">
                  <c:v>12.277360952390364</c:v>
                </c:pt>
                <c:pt idx="147">
                  <c:v>12.327907043787365</c:v>
                </c:pt>
                <c:pt idx="148">
                  <c:v>12.377729929306538</c:v>
                </c:pt>
                <c:pt idx="149">
                  <c:v>12.426838733564873</c:v>
                </c:pt>
                <c:pt idx="150">
                  <c:v>12.475242398559132</c:v>
                </c:pt>
                <c:pt idx="151">
                  <c:v>12.522949689488808</c:v>
                </c:pt>
                <c:pt idx="152">
                  <c:v>12.569969200362207</c:v>
                </c:pt>
                <c:pt idx="153">
                  <c:v>12.616309359394274</c:v>
                </c:pt>
                <c:pt idx="154">
                  <c:v>12.661978434204567</c:v>
                </c:pt>
                <c:pt idx="155">
                  <c:v>12.706984536823484</c:v>
                </c:pt>
                <c:pt idx="156">
                  <c:v>12.751335628514255</c:v>
                </c:pt>
                <c:pt idx="157">
                  <c:v>12.795039524418035</c:v>
                </c:pt>
                <c:pt idx="158">
                  <c:v>12.838103898029098</c:v>
                </c:pt>
                <c:pt idx="159">
                  <c:v>12.880536285506716</c:v>
                </c:pt>
                <c:pt idx="160">
                  <c:v>12.922344089830153</c:v>
                </c:pt>
                <c:pt idx="161">
                  <c:v>12.963534584802792</c:v>
                </c:pt>
                <c:pt idx="162">
                  <c:v>13.004114918911302</c:v>
                </c:pt>
                <c:pt idx="163">
                  <c:v>13.044092119045276</c:v>
                </c:pt>
                <c:pt idx="164">
                  <c:v>13.083473094082796</c:v>
                </c:pt>
                <c:pt idx="165">
                  <c:v>13.122264638346913</c:v>
                </c:pt>
                <c:pt idx="166">
                  <c:v>13.160473434938032</c:v>
                </c:pt>
                <c:pt idx="167">
                  <c:v>13.19810605894677</c:v>
                </c:pt>
                <c:pt idx="168">
                  <c:v>13.235168980551823</c:v>
                </c:pt>
                <c:pt idx="169">
                  <c:v>13.271668568007112</c:v>
                </c:pt>
                <c:pt idx="170">
                  <c:v>13.30761109052238</c:v>
                </c:pt>
                <c:pt idx="171">
                  <c:v>13.343002721041074</c:v>
                </c:pt>
                <c:pt idx="172">
                  <c:v>13.377849538919413</c:v>
                </c:pt>
                <c:pt idx="173">
                  <c:v>13.412157532510186</c:v>
                </c:pt>
                <c:pt idx="174">
                  <c:v>13.445932601654869</c:v>
                </c:pt>
                <c:pt idx="175">
                  <c:v>13.479180560087245</c:v>
                </c:pt>
                <c:pt idx="176">
                  <c:v>13.511907137751955</c:v>
                </c:pt>
                <c:pt idx="177">
                  <c:v>13.544117983040884</c:v>
                </c:pt>
                <c:pt idx="178">
                  <c:v>13.575818664950464</c:v>
                </c:pt>
                <c:pt idx="179">
                  <c:v>13.60701467516267</c:v>
                </c:pt>
                <c:pt idx="180">
                  <c:v>13.637711430052541</c:v>
                </c:pt>
                <c:pt idx="181">
                  <c:v>13.66791427262482</c:v>
                </c:pt>
                <c:pt idx="182">
                  <c:v>13.697628474382187</c:v>
                </c:pt>
                <c:pt idx="183">
                  <c:v>13.726859237127695</c:v>
                </c:pt>
                <c:pt idx="184">
                  <c:v>13.755611694703578</c:v>
                </c:pt>
                <c:pt idx="185">
                  <c:v>13.783890914668831</c:v>
                </c:pt>
                <c:pt idx="186">
                  <c:v>13.811701899917683</c:v>
                </c:pt>
                <c:pt idx="187">
                  <c:v>13.839049590241084</c:v>
                </c:pt>
                <c:pt idx="188">
                  <c:v>13.865938863833218</c:v>
                </c:pt>
                <c:pt idx="189">
                  <c:v>13.892374538745036</c:v>
                </c:pt>
                <c:pt idx="190">
                  <c:v>13.918361374286601</c:v>
                </c:pt>
                <c:pt idx="191">
                  <c:v>13.94390407238021</c:v>
                </c:pt>
                <c:pt idx="192">
                  <c:v>13.96900727886586</c:v>
                </c:pt>
                <c:pt idx="193">
                  <c:v>13.993675584760927</c:v>
                </c:pt>
                <c:pt idx="194">
                  <c:v>14.017913527475551</c:v>
                </c:pt>
                <c:pt idx="195">
                  <c:v>14.041725591985376</c:v>
                </c:pt>
                <c:pt idx="196">
                  <c:v>14.065116211963149</c:v>
                </c:pt>
                <c:pt idx="197">
                  <c:v>14.088089770870631</c:v>
                </c:pt>
                <c:pt idx="198">
                  <c:v>14.110650603012209</c:v>
                </c:pt>
                <c:pt idx="199">
                  <c:v>14.132802994551692</c:v>
                </c:pt>
                <c:pt idx="200">
                  <c:v>14.154551184493442</c:v>
                </c:pt>
                <c:pt idx="201">
                  <c:v>14.17589936562926</c:v>
                </c:pt>
                <c:pt idx="202">
                  <c:v>14.196851685452156</c:v>
                </c:pt>
                <c:pt idx="203">
                  <c:v>14.217412247038315</c:v>
                </c:pt>
                <c:pt idx="204">
                  <c:v>14.23758510989825</c:v>
                </c:pt>
                <c:pt idx="205">
                  <c:v>14.257374290798388</c:v>
                </c:pt>
                <c:pt idx="206">
                  <c:v>14.276783764554112</c:v>
                </c:pt>
                <c:pt idx="207">
                  <c:v>14.295817464795295</c:v>
                </c:pt>
                <c:pt idx="208">
                  <c:v>14.314479284705312</c:v>
                </c:pt>
                <c:pt idx="209">
                  <c:v>14.332773077734597</c:v>
                </c:pt>
                <c:pt idx="210">
                  <c:v>14.35070265828953</c:v>
                </c:pt>
                <c:pt idx="211">
                  <c:v>14.368271802397674</c:v>
                </c:pt>
                <c:pt idx="212">
                  <c:v>14.385484248350252</c:v>
                </c:pt>
                <c:pt idx="213">
                  <c:v>14.402343697322589</c:v>
                </c:pt>
                <c:pt idx="214">
                  <c:v>14.418853813973485</c:v>
                </c:pt>
                <c:pt idx="215">
                  <c:v>14.435018227024226</c:v>
                </c:pt>
                <c:pt idx="216">
                  <c:v>14.450840529817983</c:v>
                </c:pt>
                <c:pt idx="217">
                  <c:v>14.466324280860457</c:v>
                </c:pt>
                <c:pt idx="218">
                  <c:v>14.481473004342311</c:v>
                </c:pt>
                <c:pt idx="219">
                  <c:v>14.496290190644254</c:v>
                </c:pt>
                <c:pt idx="220">
                  <c:v>14.510779296825319</c:v>
                </c:pt>
                <c:pt idx="221">
                  <c:v>14.524943747095062</c:v>
                </c:pt>
                <c:pt idx="222">
                  <c:v>14.538786933270256</c:v>
                </c:pt>
                <c:pt idx="223">
                  <c:v>14.552312215216709</c:v>
                </c:pt>
                <c:pt idx="224">
                  <c:v>14.565522921276798</c:v>
                </c:pt>
                <c:pt idx="225">
                  <c:v>14.57842234868327</c:v>
                </c:pt>
                <c:pt idx="226">
                  <c:v>14.691000210306211</c:v>
                </c:pt>
                <c:pt idx="227">
                  <c:v>14.775860129454442</c:v>
                </c:pt>
                <c:pt idx="228">
                  <c:v>14.835838754796818</c:v>
                </c:pt>
                <c:pt idx="229">
                  <c:v>14.873526367689397</c:v>
                </c:pt>
                <c:pt idx="230">
                  <c:v>14.891286910568653</c:v>
                </c:pt>
                <c:pt idx="231">
                  <c:v>14.891274757962305</c:v>
                </c:pt>
                <c:pt idx="232">
                  <c:v>14.875449534658195</c:v>
                </c:pt>
                <c:pt idx="233">
                  <c:v>14.845589779126826</c:v>
                </c:pt>
                <c:pt idx="234">
                  <c:v>14.803305900971626</c:v>
                </c:pt>
                <c:pt idx="235">
                  <c:v>14.750052650453258</c:v>
                </c:pt>
                <c:pt idx="236">
                  <c:v>14.687141174604397</c:v>
                </c:pt>
                <c:pt idx="237">
                  <c:v>14.615750652865669</c:v>
                </c:pt>
                <c:pt idx="238">
                  <c:v>14.536939465736429</c:v>
                </c:pt>
                <c:pt idx="239">
                  <c:v>14.451655837636148</c:v>
                </c:pt>
                <c:pt idx="240">
                  <c:v>14.360747899056545</c:v>
                </c:pt>
                <c:pt idx="241">
                  <c:v>14.26497312549075</c:v>
                </c:pt>
                <c:pt idx="242">
                  <c:v>14.165007126459324</c:v>
                </c:pt>
                <c:pt idx="243">
                  <c:v>14.061451774037259</c:v>
                </c:pt>
                <c:pt idx="244">
                  <c:v>13.95484267481222</c:v>
                </c:pt>
                <c:pt idx="245">
                  <c:v>13.845656001297424</c:v>
                </c:pt>
                <c:pt idx="246">
                  <c:v>13.734314708210336</c:v>
                </c:pt>
                <c:pt idx="247">
                  <c:v>13.621194165799931</c:v>
                </c:pt>
                <c:pt idx="248">
                  <c:v>13.506627246846705</c:v>
                </c:pt>
                <c:pt idx="249">
                  <c:v>13.39090890644102</c:v>
                </c:pt>
                <c:pt idx="250">
                  <c:v>13.2743002945545</c:v>
                </c:pt>
                <c:pt idx="251">
                  <c:v>13.157032441119483</c:v>
                </c:pt>
                <c:pt idx="252">
                  <c:v>13.03930955214464</c:v>
                </c:pt>
                <c:pt idx="253">
                  <c:v>12.921311953588944</c:v>
                </c:pt>
                <c:pt idx="254">
                  <c:v>12.803198717511098</c:v>
                </c:pt>
                <c:pt idx="255">
                  <c:v>12.685110002577751</c:v>
                </c:pt>
                <c:pt idx="256">
                  <c:v>12.567169138482093</c:v>
                </c:pt>
                <c:pt idx="257">
                  <c:v>12.449484481291382</c:v>
                </c:pt>
                <c:pt idx="258">
                  <c:v>12.332151064274885</c:v>
                </c:pt>
                <c:pt idx="259">
                  <c:v>12.21525206641023</c:v>
                </c:pt>
                <c:pt idx="260">
                  <c:v>12.09886011855393</c:v>
                </c:pt>
                <c:pt idx="261">
                  <c:v>11.983038465208807</c:v>
                </c:pt>
                <c:pt idx="262">
                  <c:v>11.867841997932535</c:v>
                </c:pt>
                <c:pt idx="263">
                  <c:v>11.753318174708998</c:v>
                </c:pt>
                <c:pt idx="264">
                  <c:v>11.639507838041798</c:v>
                </c:pt>
                <c:pt idx="265">
                  <c:v>11.526445943120097</c:v>
                </c:pt>
                <c:pt idx="266">
                  <c:v>11.41416220614127</c:v>
                </c:pt>
                <c:pt idx="267">
                  <c:v>11.302681681741319</c:v>
                </c:pt>
                <c:pt idx="268">
                  <c:v>11.192025277472844</c:v>
                </c:pt>
                <c:pt idx="269">
                  <c:v>11.082210212368945</c:v>
                </c:pt>
                <c:pt idx="270">
                  <c:v>10.973250425831178</c:v>
                </c:pt>
                <c:pt idx="271">
                  <c:v>10.865156942368245</c:v>
                </c:pt>
                <c:pt idx="272">
                  <c:v>10.757938197082561</c:v>
                </c:pt>
                <c:pt idx="273">
                  <c:v>10.65160032624323</c:v>
                </c:pt>
                <c:pt idx="274">
                  <c:v>10.546147426790306</c:v>
                </c:pt>
                <c:pt idx="275">
                  <c:v>10.441581788178178</c:v>
                </c:pt>
                <c:pt idx="276">
                  <c:v>10.337904099579347</c:v>
                </c:pt>
                <c:pt idx="277">
                  <c:v>10.235113635128561</c:v>
                </c:pt>
                <c:pt idx="278">
                  <c:v>10.13320841958484</c:v>
                </c:pt>
                <c:pt idx="279">
                  <c:v>10.032185376522172</c:v>
                </c:pt>
                <c:pt idx="280">
                  <c:v>9.9320404609233996</c:v>
                </c:pt>
                <c:pt idx="281">
                  <c:v>9.8327687778430466</c:v>
                </c:pt>
                <c:pt idx="282">
                  <c:v>9.7343646886199693</c:v>
                </c:pt>
                <c:pt idx="283">
                  <c:v>9.6368219059573157</c:v>
                </c:pt>
                <c:pt idx="284">
                  <c:v>9.5401335790424859</c:v>
                </c:pt>
                <c:pt idx="285">
                  <c:v>9.4442923697514161</c:v>
                </c:pt>
                <c:pt idx="286">
                  <c:v>9.3492905208681005</c:v>
                </c:pt>
                <c:pt idx="287">
                  <c:v>9.2551199171492069</c:v>
                </c:pt>
                <c:pt idx="288">
                  <c:v>9.161772139974639</c:v>
                </c:pt>
                <c:pt idx="289">
                  <c:v>9.0692385162450133</c:v>
                </c:pt>
                <c:pt idx="290">
                  <c:v>8.9775101621171114</c:v>
                </c:pt>
                <c:pt idx="291">
                  <c:v>8.8865780221052422</c:v>
                </c:pt>
                <c:pt idx="292">
                  <c:v>8.7964329040210529</c:v>
                </c:pt>
                <c:pt idx="293">
                  <c:v>8.7070655101745977</c:v>
                </c:pt>
                <c:pt idx="294">
                  <c:v>8.6184664652153682</c:v>
                </c:pt>
                <c:pt idx="295">
                  <c:v>8.5306263409526331</c:v>
                </c:pt>
                <c:pt idx="296">
                  <c:v>8.4435356784594688</c:v>
                </c:pt>
                <c:pt idx="297">
                  <c:v>8.3571850077333529</c:v>
                </c:pt>
                <c:pt idx="298">
                  <c:v>8.271564865158572</c:v>
                </c:pt>
                <c:pt idx="299">
                  <c:v>8.1866658089903392</c:v>
                </c:pt>
                <c:pt idx="300">
                  <c:v>8.102478433058641</c:v>
                </c:pt>
                <c:pt idx="301">
                  <c:v>8.0189933788695136</c:v>
                </c:pt>
                <c:pt idx="302">
                  <c:v>7.9362013462637986</c:v>
                </c:pt>
                <c:pt idx="303">
                  <c:v>7.8540931027773455</c:v>
                </c:pt>
                <c:pt idx="304">
                  <c:v>7.7726594918323224</c:v>
                </c:pt>
                <c:pt idx="305">
                  <c:v>7.6918914398764207</c:v>
                </c:pt>
                <c:pt idx="306">
                  <c:v>7.6117799625751328</c:v>
                </c:pt>
                <c:pt idx="307">
                  <c:v>7.5323161701521837</c:v>
                </c:pt>
                <c:pt idx="308">
                  <c:v>7.4534912719634425</c:v>
                </c:pt>
                <c:pt idx="309">
                  <c:v>7.3752965803817503</c:v>
                </c:pt>
                <c:pt idx="310">
                  <c:v>7.2977235140622572</c:v>
                </c:pt>
                <c:pt idx="311">
                  <c:v>7.2207636006511855</c:v>
                </c:pt>
                <c:pt idx="312">
                  <c:v>7.1444084789949001</c:v>
                </c:pt>
                <c:pt idx="313">
                  <c:v>7.0686499009005734</c:v>
                </c:pt>
                <c:pt idx="314">
                  <c:v>6.9934797324948406</c:v>
                </c:pt>
                <c:pt idx="315">
                  <c:v>6.9188899552224026</c:v>
                </c:pt>
                <c:pt idx="316">
                  <c:v>6.844872666522404</c:v>
                </c:pt>
                <c:pt idx="317">
                  <c:v>6.7714200802168891</c:v>
                </c:pt>
                <c:pt idx="318">
                  <c:v>6.6985245266423208</c:v>
                </c:pt>
                <c:pt idx="319">
                  <c:v>6.6261784525521294</c:v>
                </c:pt>
                <c:pt idx="320">
                  <c:v>6.5543744208156376</c:v>
                </c:pt>
                <c:pt idx="321">
                  <c:v>6.4831051099362957</c:v>
                </c:pt>
                <c:pt idx="322">
                  <c:v>6.4123633134098927</c:v>
                </c:pt>
                <c:pt idx="323">
                  <c:v>6.3421419389414826</c:v>
                </c:pt>
                <c:pt idx="324">
                  <c:v>6.2724340075379832</c:v>
                </c:pt>
                <c:pt idx="325">
                  <c:v>6.2032326524917654</c:v>
                </c:pt>
                <c:pt idx="326">
                  <c:v>6.1345311182689501</c:v>
                </c:pt>
                <c:pt idx="327">
                  <c:v>6.0663227593150717</c:v>
                </c:pt>
                <c:pt idx="328">
                  <c:v>5.9986010387892925</c:v>
                </c:pt>
                <c:pt idx="329">
                  <c:v>5.9313595272374027</c:v>
                </c:pt>
                <c:pt idx="330">
                  <c:v>5.8645919012127381</c:v>
                </c:pt>
                <c:pt idx="331">
                  <c:v>5.7982919418534227</c:v>
                </c:pt>
                <c:pt idx="332">
                  <c:v>5.7324535334232953</c:v>
                </c:pt>
                <c:pt idx="333">
                  <c:v>5.6670706618233391</c:v>
                </c:pt>
                <c:pt idx="334">
                  <c:v>5.6021374130796122</c:v>
                </c:pt>
                <c:pt idx="335">
                  <c:v>5.5376479718131977</c:v>
                </c:pt>
                <c:pt idx="336">
                  <c:v>5.4735966196969645</c:v>
                </c:pt>
                <c:pt idx="337">
                  <c:v>5.4099777339036557</c:v>
                </c:pt>
                <c:pt idx="338">
                  <c:v>5.3467857855491294</c:v>
                </c:pt>
                <c:pt idx="339">
                  <c:v>5.2840153381343127</c:v>
                </c:pt>
                <c:pt idx="340">
                  <c:v>5.2216610459890491</c:v>
                </c:pt>
                <c:pt idx="341">
                  <c:v>5.1597176527205431</c:v>
                </c:pt>
                <c:pt idx="342">
                  <c:v>5.0981799896689797</c:v>
                </c:pt>
                <c:pt idx="343">
                  <c:v>5.0370429743724943</c:v>
                </c:pt>
                <c:pt idx="344">
                  <c:v>4.9763016090434284</c:v>
                </c:pt>
                <c:pt idx="345">
                  <c:v>4.9159509790576044</c:v>
                </c:pt>
                <c:pt idx="346">
                  <c:v>4.855986251458158</c:v>
                </c:pt>
                <c:pt idx="347">
                  <c:v>4.7964026734751739</c:v>
                </c:pt>
                <c:pt idx="348">
                  <c:v>4.7371955710623777</c:v>
                </c:pt>
                <c:pt idx="349">
                  <c:v>4.6783603474517523</c:v>
                </c:pt>
                <c:pt idx="350">
                  <c:v>4.6198924817270575</c:v>
                </c:pt>
                <c:pt idx="351">
                  <c:v>4.561787527416846</c:v>
                </c:pt>
                <c:pt idx="352">
                  <c:v>4.5040411111076786</c:v>
                </c:pt>
                <c:pt idx="353">
                  <c:v>4.4466489310780064</c:v>
                </c:pt>
                <c:pt idx="354">
                  <c:v>4.3896067559531122</c:v>
                </c:pt>
                <c:pt idx="355">
                  <c:v>4.3329104233814419</c:v>
                </c:pt>
                <c:pt idx="356">
                  <c:v>4.2765558387325884</c:v>
                </c:pt>
                <c:pt idx="357">
                  <c:v>4.2205389738170682</c:v>
                </c:pt>
                <c:pt idx="358">
                  <c:v>4.1648558656280574</c:v>
                </c:pt>
                <c:pt idx="359">
                  <c:v>4.1095026151050646</c:v>
                </c:pt>
                <c:pt idx="360">
                  <c:v>4.0544753859196492</c:v>
                </c:pt>
                <c:pt idx="361">
                  <c:v>3.9997704032830583</c:v>
                </c:pt>
                <c:pt idx="362">
                  <c:v>3.9453839527757695</c:v>
                </c:pt>
                <c:pt idx="363">
                  <c:v>3.8913123791987796</c:v>
                </c:pt>
                <c:pt idx="364">
                  <c:v>3.8375520854465228</c:v>
                </c:pt>
                <c:pt idx="365">
                  <c:v>3.7840995314012775</c:v>
                </c:pt>
                <c:pt idx="366">
                  <c:v>3.7309512328487831</c:v>
                </c:pt>
                <c:pt idx="367">
                  <c:v>3.6781037604149351</c:v>
                </c:pt>
                <c:pt idx="368">
                  <c:v>3.6255537385232595</c:v>
                </c:pt>
                <c:pt idx="369">
                  <c:v>3.573297844372965</c:v>
                </c:pt>
                <c:pt idx="370">
                  <c:v>3.521332806937294</c:v>
                </c:pt>
                <c:pt idx="371">
                  <c:v>3.4696554059818179</c:v>
                </c:pt>
                <c:pt idx="372">
                  <c:v>3.4182624711025378</c:v>
                </c:pt>
                <c:pt idx="373">
                  <c:v>3.3671508807833428</c:v>
                </c:pt>
                <c:pt idx="374">
                  <c:v>3.3163175614726459</c:v>
                </c:pt>
                <c:pt idx="375">
                  <c:v>3.2657594866787716</c:v>
                </c:pt>
                <c:pt idx="376">
                  <c:v>3.2154736760838647</c:v>
                </c:pt>
                <c:pt idx="377">
                  <c:v>3.1654571946759873</c:v>
                </c:pt>
                <c:pt idx="378">
                  <c:v>3.1157071518990493</c:v>
                </c:pt>
                <c:pt idx="379">
                  <c:v>3.066220700820304</c:v>
                </c:pt>
                <c:pt idx="380">
                  <c:v>3.0169950373149956</c:v>
                </c:pt>
                <c:pt idx="381">
                  <c:v>2.9680273992679829</c:v>
                </c:pt>
                <c:pt idx="382">
                  <c:v>2.9193150657918454</c:v>
                </c:pt>
                <c:pt idx="383">
                  <c:v>2.8708553564612971</c:v>
                </c:pt>
                <c:pt idx="384">
                  <c:v>2.8226456305634922</c:v>
                </c:pt>
                <c:pt idx="385">
                  <c:v>2.7746832863639641</c:v>
                </c:pt>
                <c:pt idx="386">
                  <c:v>2.7269657603878734</c:v>
                </c:pt>
                <c:pt idx="387">
                  <c:v>2.6794905267161861</c:v>
                </c:pt>
                <c:pt idx="388">
                  <c:v>2.63225509629661</c:v>
                </c:pt>
                <c:pt idx="389">
                  <c:v>2.5852570162688555</c:v>
                </c:pt>
                <c:pt idx="390">
                  <c:v>2.5384938693039851</c:v>
                </c:pt>
                <c:pt idx="391">
                  <c:v>2.4919632729575549</c:v>
                </c:pt>
                <c:pt idx="392">
                  <c:v>2.4456628790362296</c:v>
                </c:pt>
                <c:pt idx="393">
                  <c:v>2.3995903729776211</c:v>
                </c:pt>
                <c:pt idx="394">
                  <c:v>2.3537434732430134</c:v>
                </c:pt>
                <c:pt idx="395">
                  <c:v>2.3081199307227767</c:v>
                </c:pt>
                <c:pt idx="396">
                  <c:v>2.2627175281541012</c:v>
                </c:pt>
                <c:pt idx="397">
                  <c:v>2.2175340795508434</c:v>
                </c:pt>
                <c:pt idx="398">
                  <c:v>2.1725674296452526</c:v>
                </c:pt>
                <c:pt idx="399">
                  <c:v>2.1278154533412188</c:v>
                </c:pt>
                <c:pt idx="400">
                  <c:v>2.0832760551788327</c:v>
                </c:pt>
                <c:pt idx="401">
                  <c:v>2.0389471688101124</c:v>
                </c:pt>
                <c:pt idx="402">
                  <c:v>1.9948267564854449</c:v>
                </c:pt>
                <c:pt idx="403">
                  <c:v>1.9509128085506842</c:v>
                </c:pt>
                <c:pt idx="404">
                  <c:v>1.9072033429545987</c:v>
                </c:pt>
                <c:pt idx="405">
                  <c:v>1.8636964047664257</c:v>
                </c:pt>
                <c:pt idx="406">
                  <c:v>1.8203900657033283</c:v>
                </c:pt>
                <c:pt idx="407">
                  <c:v>1.7772824236675517</c:v>
                </c:pt>
                <c:pt idx="408">
                  <c:v>1.7343716022930324</c:v>
                </c:pt>
                <c:pt idx="409">
                  <c:v>1.69165575050122</c:v>
                </c:pt>
                <c:pt idx="410">
                  <c:v>1.6491330420660395</c:v>
                </c:pt>
                <c:pt idx="411">
                  <c:v>1.6068016751875871</c:v>
                </c:pt>
                <c:pt idx="412">
                  <c:v>1.564659872074559</c:v>
                </c:pt>
                <c:pt idx="413">
                  <c:v>1.5227058785350891</c:v>
                </c:pt>
                <c:pt idx="414">
                  <c:v>1.4809379635758622</c:v>
                </c:pt>
                <c:pt idx="415">
                  <c:v>1.4393544190093011</c:v>
                </c:pt>
                <c:pt idx="416">
                  <c:v>1.3979535590686718</c:v>
                </c:pt>
                <c:pt idx="417">
                  <c:v>1.356733720030874</c:v>
                </c:pt>
                <c:pt idx="418">
                  <c:v>1.3156932598468376</c:v>
                </c:pt>
                <c:pt idx="419">
                  <c:v>1.2748305577792183</c:v>
                </c:pt>
                <c:pt idx="420">
                  <c:v>1.2341440140474151</c:v>
                </c:pt>
                <c:pt idx="421">
                  <c:v>1.1936320494795414</c:v>
                </c:pt>
                <c:pt idx="422">
                  <c:v>1.1532931051713582</c:v>
                </c:pt>
                <c:pt idx="423">
                  <c:v>1.1131256421519373</c:v>
                </c:pt>
                <c:pt idx="424">
                  <c:v>1.0731281410559304</c:v>
                </c:pt>
                <c:pt idx="425">
                  <c:v>1.0332991018022313</c:v>
                </c:pt>
                <c:pt idx="426">
                  <c:v>0.9936370432790308</c:v>
                </c:pt>
                <c:pt idx="427">
                  <c:v>0.95414050303495568</c:v>
                </c:pt>
                <c:pt idx="428">
                  <c:v>0.91480803697630408</c:v>
                </c:pt>
                <c:pt idx="429">
                  <c:v>0.87563821907013895</c:v>
                </c:pt>
                <c:pt idx="430">
                  <c:v>0.83662964105314142</c:v>
                </c:pt>
                <c:pt idx="431">
                  <c:v>0.79778091214612445</c:v>
                </c:pt>
                <c:pt idx="432">
                  <c:v>0.75909065877407322</c:v>
                </c:pt>
                <c:pt idx="433">
                  <c:v>0.72055752429153197</c:v>
                </c:pt>
                <c:pt idx="434">
                  <c:v>0.68218016871331244</c:v>
                </c:pt>
                <c:pt idx="435">
                  <c:v>0.64395726845034762</c:v>
                </c:pt>
                <c:pt idx="436">
                  <c:v>0.60588751605057656</c:v>
                </c:pt>
                <c:pt idx="437">
                  <c:v>0.56796961994478745</c:v>
                </c:pt>
                <c:pt idx="438">
                  <c:v>0.5302023041972953</c:v>
                </c:pt>
                <c:pt idx="439">
                  <c:v>0.49258430826131372</c:v>
                </c:pt>
                <c:pt idx="440">
                  <c:v>0.45511438673897736</c:v>
                </c:pt>
                <c:pt idx="441">
                  <c:v>0.4177913091458727</c:v>
                </c:pt>
                <c:pt idx="442">
                  <c:v>0.3806138596800116</c:v>
                </c:pt>
                <c:pt idx="443">
                  <c:v>0.343580836995099</c:v>
                </c:pt>
                <c:pt idx="444">
                  <c:v>0.30669105397807533</c:v>
                </c:pt>
                <c:pt idx="445">
                  <c:v>0.2699433375307746</c:v>
                </c:pt>
                <c:pt idx="446">
                  <c:v>0.23333652835566748</c:v>
                </c:pt>
                <c:pt idx="447">
                  <c:v>0.19686948074552846</c:v>
                </c:pt>
                <c:pt idx="448">
                  <c:v>0.16054106237704319</c:v>
                </c:pt>
                <c:pt idx="449">
                  <c:v>0.12435015410818065</c:v>
                </c:pt>
                <c:pt idx="450">
                  <c:v>8.8295649779292926E-2</c:v>
                </c:pt>
                <c:pt idx="451">
                  <c:v>5.2376456017860978E-2</c:v>
                </c:pt>
                <c:pt idx="452">
                  <c:v>1.6591492046829529E-2</c:v>
                </c:pt>
                <c:pt idx="453">
                  <c:v>-1.9060310503630697E-2</c:v>
                </c:pt>
                <c:pt idx="454">
                  <c:v>-5.4580007780875371E-2</c:v>
                </c:pt>
                <c:pt idx="455">
                  <c:v>-8.9968643891239E-2</c:v>
                </c:pt>
                <c:pt idx="456">
                  <c:v>-0.12522725107817292</c:v>
                </c:pt>
                <c:pt idx="457">
                  <c:v>-0.16035684989723453</c:v>
                </c:pt>
                <c:pt idx="458">
                  <c:v>-0.19535844938787766</c:v>
                </c:pt>
                <c:pt idx="459">
                  <c:v>-0.23023304724221544</c:v>
                </c:pt>
                <c:pt idx="460">
                  <c:v>-0.26498162997071367</c:v>
                </c:pt>
                <c:pt idx="461">
                  <c:v>-0.29960517306502171</c:v>
                </c:pt>
                <c:pt idx="462">
                  <c:v>-0.334104641157838</c:v>
                </c:pt>
                <c:pt idx="463">
                  <c:v>-0.36848098817998332</c:v>
                </c:pt>
                <c:pt idx="464">
                  <c:v>-0.40273515751470434</c:v>
                </c:pt>
                <c:pt idx="465">
                  <c:v>-0.43686808214925354</c:v>
                </c:pt>
                <c:pt idx="466">
                  <c:v>-0.47088068482382922</c:v>
                </c:pt>
                <c:pt idx="467">
                  <c:v>-0.50477387817788988</c:v>
                </c:pt>
                <c:pt idx="468">
                  <c:v>-0.53854856489392233</c:v>
                </c:pt>
                <c:pt idx="469">
                  <c:v>-0.5722056378387369</c:v>
                </c:pt>
                <c:pt idx="470">
                  <c:v>-0.60574598020229697</c:v>
                </c:pt>
                <c:pt idx="471">
                  <c:v>-0.63917046563410995</c:v>
                </c:pt>
                <c:pt idx="472">
                  <c:v>-0.67247995837737351</c:v>
                </c:pt>
                <c:pt idx="473">
                  <c:v>-0.70567531340068923</c:v>
                </c:pt>
                <c:pt idx="474">
                  <c:v>-0.73875737652763096</c:v>
                </c:pt>
                <c:pt idx="475">
                  <c:v>-0.77172698456402644</c:v>
                </c:pt>
                <c:pt idx="476">
                  <c:v>-0.80458496542309854</c:v>
                </c:pt>
                <c:pt idx="477">
                  <c:v>-0.83733213824850594</c:v>
                </c:pt>
                <c:pt idx="478">
                  <c:v>-0.86996931353525719</c:v>
                </c:pt>
                <c:pt idx="479">
                  <c:v>-0.90249729324861416</c:v>
                </c:pt>
                <c:pt idx="480">
                  <c:v>-0.93491687094097919</c:v>
                </c:pt>
                <c:pt idx="481">
                  <c:v>-0.96722883186682773</c:v>
                </c:pt>
                <c:pt idx="482">
                  <c:v>-0.99943395309572747</c:v>
                </c:pt>
                <c:pt idx="483">
                  <c:v>-1.0315330036234547</c:v>
                </c:pt>
                <c:pt idx="484">
                  <c:v>-1.0635267444812599</c:v>
                </c:pt>
                <c:pt idx="485">
                  <c:v>-1.0954159288433516</c:v>
                </c:pt>
                <c:pt idx="486">
                  <c:v>-1.1272013021325682</c:v>
                </c:pt>
                <c:pt idx="487">
                  <c:v>-1.1588836021243212</c:v>
                </c:pt>
                <c:pt idx="488">
                  <c:v>-1.1904635590488333</c:v>
                </c:pt>
                <c:pt idx="489">
                  <c:v>-1.221941895691697</c:v>
                </c:pt>
                <c:pt idx="490">
                  <c:v>-1.2533193274927943</c:v>
                </c:pt>
                <c:pt idx="491">
                  <c:v>-1.2845965626435805</c:v>
                </c:pt>
                <c:pt idx="492">
                  <c:v>-1.3157743021828161</c:v>
                </c:pt>
                <c:pt idx="493">
                  <c:v>-1.3468532400907427</c:v>
                </c:pt>
                <c:pt idx="494">
                  <c:v>-1.3778340633817137</c:v>
                </c:pt>
                <c:pt idx="495">
                  <c:v>-1.4087174521953629</c:v>
                </c:pt>
                <c:pt idx="496">
                  <c:v>-1.4395040798862802</c:v>
                </c:pt>
                <c:pt idx="497">
                  <c:v>-1.4701946131122814</c:v>
                </c:pt>
                <c:pt idx="498">
                  <c:v>-1.5007897119212343</c:v>
                </c:pt>
                <c:pt idx="499">
                  <c:v>-1.5312900298365233</c:v>
                </c:pt>
                <c:pt idx="500">
                  <c:v>-1.5616962139411517</c:v>
                </c:pt>
                <c:pt idx="501">
                  <c:v>-1.5920089049605137</c:v>
                </c:pt>
                <c:pt idx="502">
                  <c:v>-1.6222287373438429</c:v>
                </c:pt>
                <c:pt idx="503">
                  <c:v>-1.6523563393444141</c:v>
                </c:pt>
                <c:pt idx="504">
                  <c:v>-1.6823923330984301</c:v>
                </c:pt>
                <c:pt idx="505">
                  <c:v>-1.7123373347027391</c:v>
                </c:pt>
                <c:pt idx="506">
                  <c:v>-1.7421919542912723</c:v>
                </c:pt>
                <c:pt idx="507">
                  <c:v>-1.7719567961103544</c:v>
                </c:pt>
                <c:pt idx="508">
                  <c:v>-1.8016324585927821</c:v>
                </c:pt>
                <c:pt idx="509">
                  <c:v>-1.8312195344308111</c:v>
                </c:pt>
                <c:pt idx="510">
                  <c:v>-1.8607186106479736</c:v>
                </c:pt>
                <c:pt idx="511">
                  <c:v>-1.8901302686698227</c:v>
                </c:pt>
                <c:pt idx="512">
                  <c:v>-1.9194550843935514</c:v>
                </c:pt>
                <c:pt idx="513">
                  <c:v>-1.9486936282565883</c:v>
                </c:pt>
                <c:pt idx="514">
                  <c:v>-1.9778464653041419</c:v>
                </c:pt>
                <c:pt idx="515">
                  <c:v>-2.0069141552556489</c:v>
                </c:pt>
                <c:pt idx="516">
                  <c:v>-2.0358972525703107</c:v>
                </c:pt>
                <c:pt idx="517">
                  <c:v>-2.0647963065115769</c:v>
                </c:pt>
                <c:pt idx="518">
                  <c:v>-2.0936118612106638</c:v>
                </c:pt>
                <c:pt idx="519">
                  <c:v>-2.1223444557291282</c:v>
                </c:pt>
                <c:pt idx="520">
                  <c:v>-2.1509946241204929</c:v>
                </c:pt>
                <c:pt idx="521">
                  <c:v>-2.1795628954909612</c:v>
                </c:pt>
                <c:pt idx="522">
                  <c:v>-2.2080497940591877</c:v>
                </c:pt>
                <c:pt idx="523">
                  <c:v>-2.2364558392152083</c:v>
                </c:pt>
                <c:pt idx="524">
                  <c:v>-2.2647815455784777</c:v>
                </c:pt>
                <c:pt idx="525">
                  <c:v>-2.2930274230550172</c:v>
                </c:pt>
                <c:pt idx="526">
                  <c:v>-2.321193976893742</c:v>
                </c:pt>
                <c:pt idx="527">
                  <c:v>-2.3492817077419974</c:v>
                </c:pt>
                <c:pt idx="528">
                  <c:v>-2.3772911117001931</c:v>
                </c:pt>
                <c:pt idx="529">
                  <c:v>-2.4052226803757084</c:v>
                </c:pt>
                <c:pt idx="530">
                  <c:v>-2.4330769009359803</c:v>
                </c:pt>
                <c:pt idx="531">
                  <c:v>-2.46085425616082</c:v>
                </c:pt>
                <c:pt idx="532">
                  <c:v>-2.4885552244939708</c:v>
                </c:pt>
                <c:pt idx="533">
                  <c:v>-2.5161802800939159</c:v>
                </c:pt>
                <c:pt idx="534">
                  <c:v>-2.5437298928839649</c:v>
                </c:pt>
                <c:pt idx="535">
                  <c:v>-2.5712045286016014</c:v>
                </c:pt>
                <c:pt idx="536">
                  <c:v>-2.5986046488471222</c:v>
                </c:pt>
                <c:pt idx="537">
                  <c:v>-2.6259307111315926</c:v>
                </c:pt>
                <c:pt idx="538">
                  <c:v>-2.6531831689240963</c:v>
                </c:pt>
                <c:pt idx="539">
                  <c:v>-2.6803624716983308</c:v>
                </c:pt>
                <c:pt idx="540">
                  <c:v>-2.7074690649785262</c:v>
                </c:pt>
                <c:pt idx="541">
                  <c:v>-2.7345033903847216</c:v>
                </c:pt>
                <c:pt idx="542">
                  <c:v>-2.7614658856773779</c:v>
                </c:pt>
                <c:pt idx="543">
                  <c:v>-2.7883569848014162</c:v>
                </c:pt>
                <c:pt idx="544">
                  <c:v>-2.8151771179295442</c:v>
                </c:pt>
                <c:pt idx="545">
                  <c:v>-2.8419267115050917</c:v>
                </c:pt>
                <c:pt idx="546">
                  <c:v>-2.8686061882841276</c:v>
                </c:pt>
                <c:pt idx="547">
                  <c:v>-2.895215967377073</c:v>
                </c:pt>
                <c:pt idx="548">
                  <c:v>-2.9217564642896998</c:v>
                </c:pt>
                <c:pt idx="549">
                  <c:v>-2.9482280909635694</c:v>
                </c:pt>
                <c:pt idx="550">
                  <c:v>-2.9746312558159023</c:v>
                </c:pt>
                <c:pt idx="551">
                  <c:v>-3.0009663637788861</c:v>
                </c:pt>
                <c:pt idx="552">
                  <c:v>-3.0272338163384891</c:v>
                </c:pt>
                <c:pt idx="553">
                  <c:v>-3.0534340115726826</c:v>
                </c:pt>
                <c:pt idx="554">
                  <c:v>-3.0795673441891722</c:v>
                </c:pt>
                <c:pt idx="555">
                  <c:v>-3.1056342055626063</c:v>
                </c:pt>
                <c:pt idx="556">
                  <c:v>-3.1316349837712618</c:v>
                </c:pt>
                <c:pt idx="557">
                  <c:v>-3.1575700636332686</c:v>
                </c:pt>
                <c:pt idx="558">
                  <c:v>-3.183439826742287</c:v>
                </c:pt>
                <c:pt idx="559">
                  <c:v>-3.2092446515027611</c:v>
                </c:pt>
                <c:pt idx="560">
                  <c:v>-3.2349849131646549</c:v>
                </c:pt>
                <c:pt idx="561">
                  <c:v>-3.2606609838577145</c:v>
                </c:pt>
                <c:pt idx="562">
                  <c:v>-3.286273232625323</c:v>
                </c:pt>
                <c:pt idx="563">
                  <c:v>-3.3118220254578468</c:v>
                </c:pt>
                <c:pt idx="564">
                  <c:v>-3.3373077253255552</c:v>
                </c:pt>
                <c:pt idx="565">
                  <c:v>-3.3627306922111</c:v>
                </c:pt>
                <c:pt idx="566">
                  <c:v>-3.3880912831415868</c:v>
                </c:pt>
                <c:pt idx="567">
                  <c:v>-3.4133898522201584</c:v>
                </c:pt>
                <c:pt idx="568">
                  <c:v>-3.438626750657253</c:v>
                </c:pt>
                <c:pt idx="569">
                  <c:v>-3.4638023268013329</c:v>
                </c:pt>
                <c:pt idx="570">
                  <c:v>-3.4889169261693453</c:v>
                </c:pt>
                <c:pt idx="571">
                  <c:v>-3.5139708914766388</c:v>
                </c:pt>
                <c:pt idx="572">
                  <c:v>-3.5389645626666244</c:v>
                </c:pt>
                <c:pt idx="573">
                  <c:v>-3.5638982769399341</c:v>
                </c:pt>
                <c:pt idx="574">
                  <c:v>-3.5887723687832724</c:v>
                </c:pt>
                <c:pt idx="575">
                  <c:v>-3.6135871699978717</c:v>
                </c:pt>
                <c:pt idx="576">
                  <c:v>-3.6383430097275529</c:v>
                </c:pt>
                <c:pt idx="577">
                  <c:v>-3.6630402144864851</c:v>
                </c:pt>
                <c:pt idx="578">
                  <c:v>-3.6876791081865061</c:v>
                </c:pt>
                <c:pt idx="579">
                  <c:v>-3.7122600121641716</c:v>
                </c:pt>
                <c:pt idx="580">
                  <c:v>-3.7367832452073757</c:v>
                </c:pt>
                <c:pt idx="581">
                  <c:v>-3.761249123581714</c:v>
                </c:pt>
                <c:pt idx="582">
                  <c:v>-3.7856579610564274</c:v>
                </c:pt>
                <c:pt idx="583">
                  <c:v>-3.8100100689301106</c:v>
                </c:pt>
                <c:pt idx="584">
                  <c:v>-3.8343057560559748</c:v>
                </c:pt>
                <c:pt idx="585">
                  <c:v>-3.8585453288668985</c:v>
                </c:pt>
                <c:pt idx="586">
                  <c:v>-3.8827290914000994</c:v>
                </c:pt>
                <c:pt idx="587">
                  <c:v>-3.906857345321519</c:v>
                </c:pt>
                <c:pt idx="588">
                  <c:v>-3.9309303899498831</c:v>
                </c:pt>
                <c:pt idx="589">
                  <c:v>-3.9549485222804774</c:v>
                </c:pt>
                <c:pt idx="590">
                  <c:v>-3.978912037008616</c:v>
                </c:pt>
                <c:pt idx="591">
                  <c:v>-4.0028212265528103</c:v>
                </c:pt>
                <c:pt idx="592">
                  <c:v>-4.0266763810776682</c:v>
                </c:pt>
                <c:pt idx="593">
                  <c:v>-4.0504777885164769</c:v>
                </c:pt>
                <c:pt idx="594">
                  <c:v>-4.0742257345935613</c:v>
                </c:pt>
                <c:pt idx="595">
                  <c:v>-4.0979205028462671</c:v>
                </c:pt>
                <c:pt idx="596">
                  <c:v>-4.1215623746468006</c:v>
                </c:pt>
                <c:pt idx="597">
                  <c:v>-4.1451516292236885</c:v>
                </c:pt>
                <c:pt idx="598">
                  <c:v>-4.1686885436830208</c:v>
                </c:pt>
                <c:pt idx="599">
                  <c:v>-4.1921733930294476</c:v>
                </c:pt>
                <c:pt idx="600">
                  <c:v>-4.2156064501869022</c:v>
                </c:pt>
                <c:pt idx="601">
                  <c:v>-4.2389879860190289</c:v>
                </c:pt>
                <c:pt idx="602">
                  <c:v>-4.2623182693494623</c:v>
                </c:pt>
                <c:pt idx="603">
                  <c:v>-4.2855975669817452</c:v>
                </c:pt>
                <c:pt idx="604">
                  <c:v>-4.3088261437190969</c:v>
                </c:pt>
                <c:pt idx="605">
                  <c:v>-4.332004262383891</c:v>
                </c:pt>
                <c:pt idx="606">
                  <c:v>-5.4318599334585311</c:v>
                </c:pt>
                <c:pt idx="607">
                  <c:v>-6.4328494073693889</c:v>
                </c:pt>
                <c:pt idx="608">
                  <c:v>-7.3546454467321345</c:v>
                </c:pt>
                <c:pt idx="609">
                  <c:v>-8.2116879108541614</c:v>
                </c:pt>
                <c:pt idx="610">
                  <c:v>-9.0148455499667772</c:v>
                </c:pt>
                <c:pt idx="611">
                  <c:v>-9.7724706423268888</c:v>
                </c:pt>
                <c:pt idx="612">
                  <c:v>-10.491094594354751</c:v>
                </c:pt>
                <c:pt idx="613">
                  <c:v>-11.175901859560346</c:v>
                </c:pt>
                <c:pt idx="614">
                  <c:v>-11.831061841112451</c:v>
                </c:pt>
                <c:pt idx="615">
                  <c:v>-12.459966868423402</c:v>
                </c:pt>
                <c:pt idx="616">
                  <c:v>-13.065406305484014</c:v>
                </c:pt>
                <c:pt idx="617">
                  <c:v>-13.649696161393445</c:v>
                </c:pt>
                <c:pt idx="618">
                  <c:v>-13.877189494817227</c:v>
                </c:pt>
                <c:pt idx="619">
                  <c:v>-14.101733868535147</c:v>
                </c:pt>
                <c:pt idx="620">
                  <c:v>-14.323432900951156</c:v>
                </c:pt>
                <c:pt idx="621">
                  <c:v>-14.542383666415725</c:v>
                </c:pt>
                <c:pt idx="622">
                  <c:v>-14.758677226917058</c:v>
                </c:pt>
                <c:pt idx="623">
                  <c:v>-14.972399114097714</c:v>
                </c:pt>
                <c:pt idx="624">
                  <c:v>-15.183629766854699</c:v>
                </c:pt>
                <c:pt idx="625">
                  <c:v>-15.392444929147723</c:v>
                </c:pt>
                <c:pt idx="626">
                  <c:v>-15.598916012093881</c:v>
                </c:pt>
                <c:pt idx="627">
                  <c:v>-15.803110423953211</c:v>
                </c:pt>
                <c:pt idx="628">
                  <c:v>-16.005091871198726</c:v>
                </c:pt>
                <c:pt idx="629">
                  <c:v>-16.204920633506106</c:v>
                </c:pt>
                <c:pt idx="630">
                  <c:v>-16.402653815185712</c:v>
                </c:pt>
                <c:pt idx="631">
                  <c:v>-16.598345575305757</c:v>
                </c:pt>
                <c:pt idx="632">
                  <c:v>-16.792047338515253</c:v>
                </c:pt>
                <c:pt idx="633">
                  <c:v>-16.983807988364138</c:v>
                </c:pt>
                <c:pt idx="634">
                  <c:v>-17.17367404473141</c:v>
                </c:pt>
                <c:pt idx="635">
                  <c:v>-17.361689826807819</c:v>
                </c:pt>
                <c:pt idx="636">
                  <c:v>-17.547897602933553</c:v>
                </c:pt>
                <c:pt idx="637">
                  <c:v>-17.732337728462294</c:v>
                </c:pt>
                <c:pt idx="638">
                  <c:v>-17.915048772707749</c:v>
                </c:pt>
                <c:pt idx="639">
                  <c:v>-18.096067635926627</c:v>
                </c:pt>
                <c:pt idx="640">
                  <c:v>-18.275429657200387</c:v>
                </c:pt>
                <c:pt idx="641">
                  <c:v>-18.453168713996565</c:v>
                </c:pt>
                <c:pt idx="642">
                  <c:v>-18.629317314117252</c:v>
                </c:pt>
                <c:pt idx="643">
                  <c:v>-18.803906680676818</c:v>
                </c:pt>
                <c:pt idx="644">
                  <c:v>-18.976966830691889</c:v>
                </c:pt>
                <c:pt idx="645">
                  <c:v>-19.148526647813878</c:v>
                </c:pt>
                <c:pt idx="646">
                  <c:v>-19.318613949686455</c:v>
                </c:pt>
                <c:pt idx="647">
                  <c:v>-19.487255550367429</c:v>
                </c:pt>
                <c:pt idx="648">
                  <c:v>-19.654477318215584</c:v>
                </c:pt>
                <c:pt idx="649">
                  <c:v>-19.82030422960807</c:v>
                </c:pt>
                <c:pt idx="650">
                  <c:v>-19.984760418821988</c:v>
                </c:pt>
                <c:pt idx="651">
                  <c:v>-20.147869224385147</c:v>
                </c:pt>
                <c:pt idx="652">
                  <c:v>-20.309653232174817</c:v>
                </c:pt>
                <c:pt idx="653">
                  <c:v>-20.470134315519562</c:v>
                </c:pt>
                <c:pt idx="654">
                  <c:v>-20.629333672537918</c:v>
                </c:pt>
                <c:pt idx="655">
                  <c:v>-20.787271860927724</c:v>
                </c:pt>
                <c:pt idx="656">
                  <c:v>-20.943968830402476</c:v>
                </c:pt>
                <c:pt idx="657">
                  <c:v>-21.099443952954616</c:v>
                </c:pt>
                <c:pt idx="658">
                  <c:v>-21.253716051110906</c:v>
                </c:pt>
                <c:pt idx="659">
                  <c:v>-21.406803424331567</c:v>
                </c:pt>
                <c:pt idx="660">
                  <c:v>-21.558723873692553</c:v>
                </c:pt>
                <c:pt idx="661">
                  <c:v>-21.709494724979056</c:v>
                </c:pt>
                <c:pt idx="662">
                  <c:v>-21.859132850307923</c:v>
                </c:pt>
                <c:pt idx="663">
                  <c:v>-22.007654688387483</c:v>
                </c:pt>
                <c:pt idx="664">
                  <c:v>-22.155076263514538</c:v>
                </c:pt>
                <c:pt idx="665">
                  <c:v>-22.301413203400266</c:v>
                </c:pt>
                <c:pt idx="666">
                  <c:v>-22.446680755909888</c:v>
                </c:pt>
                <c:pt idx="667">
                  <c:v>-22.590893804793875</c:v>
                </c:pt>
              </c:numCache>
            </c:numRef>
          </c:yVal>
          <c:smooth val="1"/>
          <c:extLst>
            <c:ext xmlns:c16="http://schemas.microsoft.com/office/drawing/2014/chart" uri="{C3380CC4-5D6E-409C-BE32-E72D297353CC}">
              <c16:uniqueId val="{00000000-306B-4242-B253-B9A3B2188A5D}"/>
            </c:ext>
          </c:extLst>
        </c:ser>
        <c:dLbls>
          <c:showLegendKey val="0"/>
          <c:showVal val="0"/>
          <c:showCatName val="0"/>
          <c:showSerName val="0"/>
          <c:showPercent val="0"/>
          <c:showBubbleSize val="0"/>
        </c:dLbls>
        <c:axId val="177449216"/>
        <c:axId val="177463680"/>
      </c:scatterChart>
      <c:scatterChart>
        <c:scatterStyle val="lineMarker"/>
        <c:varyColors val="0"/>
        <c:ser>
          <c:idx val="3"/>
          <c:order val="1"/>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Calculations'!$BD$9:$BD$676</c:f>
              <c:numCache>
                <c:formatCode>General</c:formatCode>
                <c:ptCount val="668"/>
                <c:pt idx="0">
                  <c:v>-220.76131638208642</c:v>
                </c:pt>
                <c:pt idx="1">
                  <c:v>-239.85798931652371</c:v>
                </c:pt>
                <c:pt idx="2">
                  <c:v>-248.80432996437744</c:v>
                </c:pt>
                <c:pt idx="3">
                  <c:v>-253.7456563863467</c:v>
                </c:pt>
                <c:pt idx="4">
                  <c:v>-256.83084361631194</c:v>
                </c:pt>
                <c:pt idx="5">
                  <c:v>-258.92536774808519</c:v>
                </c:pt>
                <c:pt idx="6">
                  <c:v>-260.43386156351346</c:v>
                </c:pt>
                <c:pt idx="7">
                  <c:v>-261.56847356447076</c:v>
                </c:pt>
                <c:pt idx="8">
                  <c:v>-262.45051173173005</c:v>
                </c:pt>
                <c:pt idx="9">
                  <c:v>-263.15414748858024</c:v>
                </c:pt>
                <c:pt idx="10">
                  <c:v>-266.21503530832587</c:v>
                </c:pt>
                <c:pt idx="11">
                  <c:v>-267.08532751882063</c:v>
                </c:pt>
                <c:pt idx="12">
                  <c:v>-267.40415417479085</c:v>
                </c:pt>
                <c:pt idx="13">
                  <c:v>-267.50202149322399</c:v>
                </c:pt>
                <c:pt idx="14">
                  <c:v>-267.489338231381</c:v>
                </c:pt>
                <c:pt idx="15">
                  <c:v>-267.41346793676718</c:v>
                </c:pt>
                <c:pt idx="16">
                  <c:v>-267.29810533770058</c:v>
                </c:pt>
                <c:pt idx="17">
                  <c:v>-267.15641917177402</c:v>
                </c:pt>
                <c:pt idx="18">
                  <c:v>-266.99631318724448</c:v>
                </c:pt>
                <c:pt idx="19">
                  <c:v>-264.99123617962289</c:v>
                </c:pt>
                <c:pt idx="20">
                  <c:v>-262.76970997054275</c:v>
                </c:pt>
                <c:pt idx="21">
                  <c:v>-260.50015789692395</c:v>
                </c:pt>
                <c:pt idx="22">
                  <c:v>-258.21814605878842</c:v>
                </c:pt>
                <c:pt idx="23">
                  <c:v>-255.9370388859104</c:v>
                </c:pt>
                <c:pt idx="24">
                  <c:v>-253.66379676976038</c:v>
                </c:pt>
                <c:pt idx="25">
                  <c:v>-251.40291641303116</c:v>
                </c:pt>
                <c:pt idx="26">
                  <c:v>-249.1577373748683</c:v>
                </c:pt>
                <c:pt idx="27">
                  <c:v>-246.93095965835829</c:v>
                </c:pt>
                <c:pt idx="28">
                  <c:v>-236.14412730784392</c:v>
                </c:pt>
                <c:pt idx="29">
                  <c:v>-226.06532324115295</c:v>
                </c:pt>
                <c:pt idx="30">
                  <c:v>-216.79607242440255</c:v>
                </c:pt>
                <c:pt idx="31">
                  <c:v>-208.366441488443</c:v>
                </c:pt>
                <c:pt idx="32">
                  <c:v>-200.75769925219331</c:v>
                </c:pt>
                <c:pt idx="33">
                  <c:v>-193.92173040867274</c:v>
                </c:pt>
                <c:pt idx="34">
                  <c:v>-187.79561003880474</c:v>
                </c:pt>
                <c:pt idx="35">
                  <c:v>-182.31131584887075</c:v>
                </c:pt>
                <c:pt idx="36">
                  <c:v>-177.40159244124399</c:v>
                </c:pt>
                <c:pt idx="37">
                  <c:v>-173.00315075602506</c:v>
                </c:pt>
                <c:pt idx="38">
                  <c:v>-169.0581715176867</c:v>
                </c:pt>
                <c:pt idx="39">
                  <c:v>-165.51479529311709</c:v>
                </c:pt>
                <c:pt idx="40">
                  <c:v>-162.32704269544556</c:v>
                </c:pt>
                <c:pt idx="41">
                  <c:v>-159.45443878596055</c:v>
                </c:pt>
                <c:pt idx="42">
                  <c:v>-156.86150475448835</c:v>
                </c:pt>
                <c:pt idx="43">
                  <c:v>-154.51721042252842</c:v>
                </c:pt>
                <c:pt idx="44">
                  <c:v>-152.3944387328809</c:v>
                </c:pt>
                <c:pt idx="45">
                  <c:v>-150.46948811328267</c:v>
                </c:pt>
                <c:pt idx="46">
                  <c:v>-148.72162386287033</c:v>
                </c:pt>
                <c:pt idx="47">
                  <c:v>-147.13268137084086</c:v>
                </c:pt>
                <c:pt idx="48">
                  <c:v>-145.6867194759715</c:v>
                </c:pt>
                <c:pt idx="49">
                  <c:v>-144.36972004526612</c:v>
                </c:pt>
                <c:pt idx="50">
                  <c:v>-143.16932893577902</c:v>
                </c:pt>
                <c:pt idx="51">
                  <c:v>-142.07463332920349</c:v>
                </c:pt>
                <c:pt idx="52">
                  <c:v>-141.07597064902677</c:v>
                </c:pt>
                <c:pt idx="53">
                  <c:v>-140.16476468120317</c:v>
                </c:pt>
                <c:pt idx="54">
                  <c:v>-139.33338500364127</c:v>
                </c:pt>
                <c:pt idx="55">
                  <c:v>-138.57502632158989</c:v>
                </c:pt>
                <c:pt idx="56">
                  <c:v>-137.88360477065132</c:v>
                </c:pt>
                <c:pt idx="57">
                  <c:v>-137.25366867041822</c:v>
                </c:pt>
                <c:pt idx="58">
                  <c:v>-136.68032158396935</c:v>
                </c:pt>
                <c:pt idx="59">
                  <c:v>-136.15915586186688</c:v>
                </c:pt>
                <c:pt idx="60">
                  <c:v>-135.68619512710274</c:v>
                </c:pt>
                <c:pt idx="61">
                  <c:v>-135.25784439423055</c:v>
                </c:pt>
                <c:pt idx="62">
                  <c:v>-134.8708467166968</c:v>
                </c:pt>
                <c:pt idx="63">
                  <c:v>-134.52224542604097</c:v>
                </c:pt>
                <c:pt idx="64">
                  <c:v>-134.20935116968477</c:v>
                </c:pt>
                <c:pt idx="65">
                  <c:v>-133.92971307451131</c:v>
                </c:pt>
                <c:pt idx="66">
                  <c:v>-133.68109346486142</c:v>
                </c:pt>
                <c:pt idx="67">
                  <c:v>-133.46144564897057</c:v>
                </c:pt>
                <c:pt idx="68">
                  <c:v>-133.26889435981462</c:v>
                </c:pt>
                <c:pt idx="69">
                  <c:v>-133.10171849699611</c:v>
                </c:pt>
                <c:pt idx="70">
                  <c:v>-132.95833586751584</c:v>
                </c:pt>
                <c:pt idx="71">
                  <c:v>-132.83728966656864</c:v>
                </c:pt>
                <c:pt idx="72">
                  <c:v>-132.73723647615751</c:v>
                </c:pt>
                <c:pt idx="73">
                  <c:v>-132.65693559040574</c:v>
                </c:pt>
                <c:pt idx="74">
                  <c:v>-132.59523950285586</c:v>
                </c:pt>
                <c:pt idx="75">
                  <c:v>-132.55108541351925</c:v>
                </c:pt>
                <c:pt idx="76">
                  <c:v>-132.52348763260417</c:v>
                </c:pt>
                <c:pt idx="77">
                  <c:v>-132.51153077422089</c:v>
                </c:pt>
                <c:pt idx="78">
                  <c:v>-132.5143636473739</c:v>
                </c:pt>
                <c:pt idx="79">
                  <c:v>-132.53119376356705</c:v>
                </c:pt>
                <c:pt idx="80">
                  <c:v>-132.56128239066936</c:v>
                </c:pt>
                <c:pt idx="81">
                  <c:v>-132.60394009157795</c:v>
                </c:pt>
                <c:pt idx="82">
                  <c:v>-132.65852269387565</c:v>
                </c:pt>
                <c:pt idx="83">
                  <c:v>-132.72442764330586</c:v>
                </c:pt>
                <c:pt idx="84">
                  <c:v>-132.8010906996189</c:v>
                </c:pt>
                <c:pt idx="85">
                  <c:v>-132.88798293831599</c:v>
                </c:pt>
                <c:pt idx="86">
                  <c:v>-132.98460802613752</c:v>
                </c:pt>
                <c:pt idx="87">
                  <c:v>-133.09049974190305</c:v>
                </c:pt>
                <c:pt idx="88">
                  <c:v>-133.20521971758819</c:v>
                </c:pt>
                <c:pt idx="89">
                  <c:v>-133.32835537738876</c:v>
                </c:pt>
                <c:pt idx="90">
                  <c:v>-133.4595180550275</c:v>
                </c:pt>
                <c:pt idx="91">
                  <c:v>-133.59834127175625</c:v>
                </c:pt>
                <c:pt idx="92">
                  <c:v>-133.74447915943318</c:v>
                </c:pt>
                <c:pt idx="93">
                  <c:v>-133.89760501475132</c:v>
                </c:pt>
                <c:pt idx="94">
                  <c:v>-134.05740997218726</c:v>
                </c:pt>
                <c:pt idx="95">
                  <c:v>-134.22360178455637</c:v>
                </c:pt>
                <c:pt idx="96">
                  <c:v>-134.39590370122397</c:v>
                </c:pt>
                <c:pt idx="97">
                  <c:v>-134.57405343505204</c:v>
                </c:pt>
                <c:pt idx="98">
                  <c:v>-134.75780221007298</c:v>
                </c:pt>
                <c:pt idx="99">
                  <c:v>-134.94691388269155</c:v>
                </c:pt>
                <c:pt idx="100">
                  <c:v>-135.14116412993496</c:v>
                </c:pt>
                <c:pt idx="101">
                  <c:v>-135.34033969891195</c:v>
                </c:pt>
                <c:pt idx="102">
                  <c:v>-135.54423771221107</c:v>
                </c:pt>
                <c:pt idx="103">
                  <c:v>-135.75266502447826</c:v>
                </c:pt>
                <c:pt idx="104">
                  <c:v>-135.96543762586737</c:v>
                </c:pt>
                <c:pt idx="105">
                  <c:v>-136.18238008846464</c:v>
                </c:pt>
                <c:pt idx="106">
                  <c:v>-136.4033250521525</c:v>
                </c:pt>
                <c:pt idx="107">
                  <c:v>-136.62811274670375</c:v>
                </c:pt>
                <c:pt idx="108">
                  <c:v>-136.85659054719176</c:v>
                </c:pt>
                <c:pt idx="109">
                  <c:v>-137.0886125600648</c:v>
                </c:pt>
                <c:pt idx="110">
                  <c:v>-137.32403923747063</c:v>
                </c:pt>
                <c:pt idx="111">
                  <c:v>-137.56273701763095</c:v>
                </c:pt>
                <c:pt idx="112">
                  <c:v>-137.80457798925769</c:v>
                </c:pt>
                <c:pt idx="113">
                  <c:v>-138.04943957817846</c:v>
                </c:pt>
                <c:pt idx="114">
                  <c:v>-138.29720425449409</c:v>
                </c:pt>
                <c:pt idx="115">
                  <c:v>-138.54775925873531</c:v>
                </c:pt>
                <c:pt idx="116">
                  <c:v>-138.80099634561367</c:v>
                </c:pt>
                <c:pt idx="117">
                  <c:v>-139.05681154407836</c:v>
                </c:pt>
                <c:pt idx="118">
                  <c:v>-139.3151049324982</c:v>
                </c:pt>
                <c:pt idx="119">
                  <c:v>-139.57578042788333</c:v>
                </c:pt>
                <c:pt idx="120">
                  <c:v>-139.83874558814864</c:v>
                </c:pt>
                <c:pt idx="121">
                  <c:v>-140.10391142650224</c:v>
                </c:pt>
                <c:pt idx="122">
                  <c:v>-140.37119223711358</c:v>
                </c:pt>
                <c:pt idx="123">
                  <c:v>-140.64050543128269</c:v>
                </c:pt>
                <c:pt idx="124">
                  <c:v>-140.91177138339285</c:v>
                </c:pt>
                <c:pt idx="125">
                  <c:v>-141.18491328598387</c:v>
                </c:pt>
                <c:pt idx="126">
                  <c:v>-141.45985701333376</c:v>
                </c:pt>
                <c:pt idx="127">
                  <c:v>-141.73653099298343</c:v>
                </c:pt>
                <c:pt idx="128">
                  <c:v>-142.01486608468048</c:v>
                </c:pt>
                <c:pt idx="129">
                  <c:v>-142.29479546625774</c:v>
                </c:pt>
                <c:pt idx="130">
                  <c:v>-142.57625452599774</c:v>
                </c:pt>
                <c:pt idx="131">
                  <c:v>-142.85918076106674</c:v>
                </c:pt>
                <c:pt idx="132">
                  <c:v>-143.14351368163219</c:v>
                </c:pt>
                <c:pt idx="133">
                  <c:v>-143.42919472030496</c:v>
                </c:pt>
                <c:pt idx="134">
                  <c:v>-143.71616714657355</c:v>
                </c:pt>
                <c:pt idx="135">
                  <c:v>-144.00437598592052</c:v>
                </c:pt>
                <c:pt idx="136">
                  <c:v>-144.29376794333268</c:v>
                </c:pt>
                <c:pt idx="137">
                  <c:v>-144.58429133093733</c:v>
                </c:pt>
                <c:pt idx="138">
                  <c:v>-144.87589599951465</c:v>
                </c:pt>
                <c:pt idx="139">
                  <c:v>-145.16853327365305</c:v>
                </c:pt>
                <c:pt idx="140">
                  <c:v>-145.46215589033056</c:v>
                </c:pt>
                <c:pt idx="141">
                  <c:v>-145.75671794071945</c:v>
                </c:pt>
                <c:pt idx="142">
                  <c:v>-146.05217481502513</c:v>
                </c:pt>
                <c:pt idx="143">
                  <c:v>-146.34848315018166</c:v>
                </c:pt>
                <c:pt idx="144">
                  <c:v>-146.64560078023953</c:v>
                </c:pt>
                <c:pt idx="145">
                  <c:v>-146.94348668928995</c:v>
                </c:pt>
                <c:pt idx="146">
                  <c:v>-147.242100966782</c:v>
                </c:pt>
                <c:pt idx="147">
                  <c:v>-147.54140476509582</c:v>
                </c:pt>
                <c:pt idx="148">
                  <c:v>-147.84136025924573</c:v>
                </c:pt>
                <c:pt idx="149">
                  <c:v>-148.14193060859367</c:v>
                </c:pt>
                <c:pt idx="150">
                  <c:v>-148.44307992046109</c:v>
                </c:pt>
                <c:pt idx="151">
                  <c:v>-148.74477321553496</c:v>
                </c:pt>
                <c:pt idx="152">
                  <c:v>-149.04697639496837</c:v>
                </c:pt>
                <c:pt idx="153">
                  <c:v>-149.34965620908463</c:v>
                </c:pt>
                <c:pt idx="154">
                  <c:v>-149.652780227596</c:v>
                </c:pt>
                <c:pt idx="155">
                  <c:v>-149.95631681125721</c:v>
                </c:pt>
                <c:pt idx="156">
                  <c:v>-150.26023508487509</c:v>
                </c:pt>
                <c:pt idx="157">
                  <c:v>-150.56450491160308</c:v>
                </c:pt>
                <c:pt idx="158">
                  <c:v>-150.86909686845112</c:v>
                </c:pt>
                <c:pt idx="159">
                  <c:v>-151.17398222294813</c:v>
                </c:pt>
                <c:pt idx="160">
                  <c:v>-151.479132910895</c:v>
                </c:pt>
                <c:pt idx="161">
                  <c:v>-151.78452151515177</c:v>
                </c:pt>
                <c:pt idx="162">
                  <c:v>-152.09012124540462</c:v>
                </c:pt>
                <c:pt idx="163">
                  <c:v>-152.39590591886204</c:v>
                </c:pt>
                <c:pt idx="164">
                  <c:v>-152.70184994183208</c:v>
                </c:pt>
                <c:pt idx="165">
                  <c:v>-153.00792829213489</c:v>
                </c:pt>
                <c:pt idx="166">
                  <c:v>-153.31411650230785</c:v>
                </c:pt>
                <c:pt idx="167">
                  <c:v>-153.62039064356307</c:v>
                </c:pt>
                <c:pt idx="168">
                  <c:v>-153.92672731045829</c:v>
                </c:pt>
                <c:pt idx="169">
                  <c:v>-154.23310360624495</c:v>
                </c:pt>
                <c:pt idx="170">
                  <c:v>-154.53949712885961</c:v>
                </c:pt>
                <c:pt idx="171">
                  <c:v>-154.84588595752552</c:v>
                </c:pt>
                <c:pt idx="172">
                  <c:v>-155.15224863993404</c:v>
                </c:pt>
                <c:pt idx="173">
                  <c:v>-155.45856417997629</c:v>
                </c:pt>
                <c:pt idx="174">
                  <c:v>-155.76481202599746</c:v>
                </c:pt>
                <c:pt idx="175">
                  <c:v>-156.07097205954835</c:v>
                </c:pt>
                <c:pt idx="176">
                  <c:v>-156.37702458460785</c:v>
                </c:pt>
                <c:pt idx="177">
                  <c:v>-156.68295031725393</c:v>
                </c:pt>
                <c:pt idx="178">
                  <c:v>-156.98873037576035</c:v>
                </c:pt>
                <c:pt idx="179">
                  <c:v>-157.29434627109805</c:v>
                </c:pt>
                <c:pt idx="180">
                  <c:v>-157.59977989782078</c:v>
                </c:pt>
                <c:pt idx="181">
                  <c:v>-157.90501352531601</c:v>
                </c:pt>
                <c:pt idx="182">
                  <c:v>-158.21002978940322</c:v>
                </c:pt>
                <c:pt idx="183">
                  <c:v>-158.51481168426199</c:v>
                </c:pt>
                <c:pt idx="184">
                  <c:v>-158.81934255467345</c:v>
                </c:pt>
                <c:pt idx="185">
                  <c:v>-159.12360608856005</c:v>
                </c:pt>
                <c:pt idx="186">
                  <c:v>-159.42758630980839</c:v>
                </c:pt>
                <c:pt idx="187">
                  <c:v>-159.73126757136109</c:v>
                </c:pt>
                <c:pt idx="188">
                  <c:v>-160.03463454856484</c:v>
                </c:pt>
                <c:pt idx="189">
                  <c:v>-160.33767223276101</c:v>
                </c:pt>
                <c:pt idx="190">
                  <c:v>-160.64036592510823</c:v>
                </c:pt>
                <c:pt idx="191">
                  <c:v>-160.94270123062375</c:v>
                </c:pt>
                <c:pt idx="192">
                  <c:v>-161.2446640524339</c:v>
                </c:pt>
                <c:pt idx="193">
                  <c:v>-161.54624058622309</c:v>
                </c:pt>
                <c:pt idx="194">
                  <c:v>-161.84741731487082</c:v>
                </c:pt>
                <c:pt idx="195">
                  <c:v>-162.14818100326877</c:v>
                </c:pt>
                <c:pt idx="196">
                  <c:v>-162.44851869330694</c:v>
                </c:pt>
                <c:pt idx="197">
                  <c:v>-162.74841769902272</c:v>
                </c:pt>
                <c:pt idx="198">
                  <c:v>-163.04786560190294</c:v>
                </c:pt>
                <c:pt idx="199">
                  <c:v>-163.34685024633265</c:v>
                </c:pt>
                <c:pt idx="200">
                  <c:v>-163.64535973518198</c:v>
                </c:pt>
                <c:pt idx="201">
                  <c:v>-163.94338242552573</c:v>
                </c:pt>
                <c:pt idx="202">
                  <c:v>-164.24090692448789</c:v>
                </c:pt>
                <c:pt idx="203">
                  <c:v>-164.53792208520517</c:v>
                </c:pt>
                <c:pt idx="204">
                  <c:v>-164.83441700290402</c:v>
                </c:pt>
                <c:pt idx="205">
                  <c:v>-165.13038101108506</c:v>
                </c:pt>
                <c:pt idx="206">
                  <c:v>-165.42580367780974</c:v>
                </c:pt>
                <c:pt idx="207">
                  <c:v>-165.72067480208383</c:v>
                </c:pt>
                <c:pt idx="208">
                  <c:v>-166.01498441033397</c:v>
                </c:pt>
                <c:pt idx="209">
                  <c:v>-166.30872275297068</c:v>
                </c:pt>
                <c:pt idx="210">
                  <c:v>-166.60188030103623</c:v>
                </c:pt>
                <c:pt idx="211">
                  <c:v>-166.89444774293031</c:v>
                </c:pt>
                <c:pt idx="212">
                  <c:v>-167.18641598121192</c:v>
                </c:pt>
                <c:pt idx="213">
                  <c:v>-167.47777612947272</c:v>
                </c:pt>
                <c:pt idx="214">
                  <c:v>-167.76851950927801</c:v>
                </c:pt>
                <c:pt idx="215">
                  <c:v>-168.05863764717307</c:v>
                </c:pt>
                <c:pt idx="216">
                  <c:v>-168.34812227175055</c:v>
                </c:pt>
                <c:pt idx="217">
                  <c:v>-168.63696531077682</c:v>
                </c:pt>
                <c:pt idx="218">
                  <c:v>-168.92515888837391</c:v>
                </c:pt>
                <c:pt idx="219">
                  <c:v>-169.21269532225455</c:v>
                </c:pt>
                <c:pt idx="220">
                  <c:v>-169.4995671210078</c:v>
                </c:pt>
                <c:pt idx="221">
                  <c:v>-169.78576698143263</c:v>
                </c:pt>
                <c:pt idx="222">
                  <c:v>-170.0712877859178</c:v>
                </c:pt>
                <c:pt idx="223">
                  <c:v>-170.35612259986485</c:v>
                </c:pt>
                <c:pt idx="224">
                  <c:v>-170.64026466915357</c:v>
                </c:pt>
                <c:pt idx="225">
                  <c:v>-170.92370741764663</c:v>
                </c:pt>
                <c:pt idx="226">
                  <c:v>-173.71834795120293</c:v>
                </c:pt>
                <c:pt idx="227">
                  <c:v>-176.43705377343392</c:v>
                </c:pt>
                <c:pt idx="228">
                  <c:v>-179.07582920274447</c:v>
                </c:pt>
                <c:pt idx="229">
                  <c:v>-181.63198596882171</c:v>
                </c:pt>
                <c:pt idx="230">
                  <c:v>-184.10395923992368</c:v>
                </c:pt>
                <c:pt idx="231">
                  <c:v>-186.49113923403326</c:v>
                </c:pt>
                <c:pt idx="232">
                  <c:v>-188.79371741543412</c:v>
                </c:pt>
                <c:pt idx="233">
                  <c:v>-191.01254707468246</c:v>
                </c:pt>
                <c:pt idx="234">
                  <c:v>-193.14901828593037</c:v>
                </c:pt>
                <c:pt idx="235">
                  <c:v>-195.20494711772625</c:v>
                </c:pt>
                <c:pt idx="236">
                  <c:v>-197.18247872538211</c:v>
                </c:pt>
                <c:pt idx="237">
                  <c:v>-199.08400368478939</c:v>
                </c:pt>
                <c:pt idx="238">
                  <c:v>-200.91208669827262</c:v>
                </c:pt>
                <c:pt idx="239">
                  <c:v>-202.66940663820156</c:v>
                </c:pt>
                <c:pt idx="240">
                  <c:v>-204.35870679846767</c:v>
                </c:pt>
                <c:pt idx="241">
                  <c:v>-205.98275419094608</c:v>
                </c:pt>
                <c:pt idx="242">
                  <c:v>-207.54430674180335</c:v>
                </c:pt>
                <c:pt idx="243">
                  <c:v>-209.04608729768933</c:v>
                </c:pt>
                <c:pt idx="244">
                  <c:v>-210.49076343199857</c:v>
                </c:pt>
                <c:pt idx="245">
                  <c:v>-211.88093213593388</c:v>
                </c:pt>
                <c:pt idx="246">
                  <c:v>-213.21910857973498</c:v>
                </c:pt>
                <c:pt idx="247">
                  <c:v>-214.50771823001881</c:v>
                </c:pt>
                <c:pt idx="248">
                  <c:v>-215.74909170549546</c:v>
                </c:pt>
                <c:pt idx="249">
                  <c:v>-216.94546184271741</c:v>
                </c:pt>
                <c:pt idx="250">
                  <c:v>-218.09896252451941</c:v>
                </c:pt>
                <c:pt idx="251">
                  <c:v>-219.21162889583397</c:v>
                </c:pt>
                <c:pt idx="252">
                  <c:v>-220.28539865463307</c:v>
                </c:pt>
                <c:pt idx="253">
                  <c:v>-221.32211416027843</c:v>
                </c:pt>
                <c:pt idx="254">
                  <c:v>-222.32352514820434</c:v>
                </c:pt>
                <c:pt idx="255">
                  <c:v>-223.29129187939532</c:v>
                </c:pt>
                <c:pt idx="256">
                  <c:v>-224.22698858635792</c:v>
                </c:pt>
                <c:pt idx="257">
                  <c:v>-225.13210710504035</c:v>
                </c:pt>
                <c:pt idx="258">
                  <c:v>-226.00806060516575</c:v>
                </c:pt>
                <c:pt idx="259">
                  <c:v>-226.85618735042343</c:v>
                </c:pt>
                <c:pt idx="260">
                  <c:v>-227.67775443551244</c:v>
                </c:pt>
                <c:pt idx="261">
                  <c:v>-228.47396145971061</c:v>
                </c:pt>
                <c:pt idx="262">
                  <c:v>-229.24594410691392</c:v>
                </c:pt>
                <c:pt idx="263">
                  <c:v>-229.99477761036806</c:v>
                </c:pt>
                <c:pt idx="264">
                  <c:v>-230.72148008693858</c:v>
                </c:pt>
                <c:pt idx="265">
                  <c:v>-231.42701573103164</c:v>
                </c:pt>
                <c:pt idx="266">
                  <c:v>-232.11229786243069</c:v>
                </c:pt>
                <c:pt idx="267">
                  <c:v>-232.77819182555555</c:v>
                </c:pt>
                <c:pt idx="268">
                  <c:v>-233.42551774015692</c:v>
                </c:pt>
                <c:pt idx="269">
                  <c:v>-234.05505310536495</c:v>
                </c:pt>
                <c:pt idx="270">
                  <c:v>-234.66753526043516</c:v>
                </c:pt>
                <c:pt idx="271">
                  <c:v>-235.26366370657627</c:v>
                </c:pt>
                <c:pt idx="272">
                  <c:v>-235.8441022949728</c:v>
                </c:pt>
                <c:pt idx="273">
                  <c:v>-236.40948128660477</c:v>
                </c:pt>
                <c:pt idx="274">
                  <c:v>-236.96039928976239</c:v>
                </c:pt>
                <c:pt idx="275">
                  <c:v>-237.4974250812968</c:v>
                </c:pt>
                <c:pt idx="276">
                  <c:v>-238.0210993176814</c:v>
                </c:pt>
                <c:pt idx="277">
                  <c:v>-238.5319361418974</c:v>
                </c:pt>
                <c:pt idx="278">
                  <c:v>-239.0304246920349</c:v>
                </c:pt>
                <c:pt idx="279">
                  <c:v>-239.51703051732827</c:v>
                </c:pt>
                <c:pt idx="280">
                  <c:v>-239.99219690713704</c:v>
                </c:pt>
                <c:pt idx="281">
                  <c:v>-240.4563461381556</c:v>
                </c:pt>
                <c:pt idx="282">
                  <c:v>-240.90988064488954</c:v>
                </c:pt>
                <c:pt idx="283">
                  <c:v>-241.35318411818554</c:v>
                </c:pt>
                <c:pt idx="284">
                  <c:v>-241.78662253634812</c:v>
                </c:pt>
                <c:pt idx="285">
                  <c:v>-242.21054513312413</c:v>
                </c:pt>
                <c:pt idx="286">
                  <c:v>-242.62528530658847</c:v>
                </c:pt>
                <c:pt idx="287">
                  <c:v>-243.03116147272513</c:v>
                </c:pt>
                <c:pt idx="288">
                  <c:v>-243.42847786726452</c:v>
                </c:pt>
                <c:pt idx="289">
                  <c:v>-243.81752529911677</c:v>
                </c:pt>
                <c:pt idx="290">
                  <c:v>-244.19858185852951</c:v>
                </c:pt>
                <c:pt idx="291">
                  <c:v>-244.57191358289538</c:v>
                </c:pt>
                <c:pt idx="292">
                  <c:v>-244.93777508294659</c:v>
                </c:pt>
                <c:pt idx="293">
                  <c:v>-245.29641013189246</c:v>
                </c:pt>
                <c:pt idx="294">
                  <c:v>-245.64805221988769</c:v>
                </c:pt>
                <c:pt idx="295">
                  <c:v>-245.99292507606052</c:v>
                </c:pt>
                <c:pt idx="296">
                  <c:v>-246.3312431601795</c:v>
                </c:pt>
                <c:pt idx="297">
                  <c:v>-246.66321212590077</c:v>
                </c:pt>
                <c:pt idx="298">
                  <c:v>-246.98902925740495</c:v>
                </c:pt>
                <c:pt idx="299">
                  <c:v>-247.30888388111239</c:v>
                </c:pt>
                <c:pt idx="300">
                  <c:v>-247.62295775405175</c:v>
                </c:pt>
                <c:pt idx="301">
                  <c:v>-247.93142543035032</c:v>
                </c:pt>
                <c:pt idx="302">
                  <c:v>-248.23445460721632</c:v>
                </c:pt>
                <c:pt idx="303">
                  <c:v>-248.53220645169174</c:v>
                </c:pt>
                <c:pt idx="304">
                  <c:v>-248.82483590936715</c:v>
                </c:pt>
                <c:pt idx="305">
                  <c:v>-249.11249199617203</c:v>
                </c:pt>
                <c:pt idx="306">
                  <c:v>-249.39531807427858</c:v>
                </c:pt>
                <c:pt idx="307">
                  <c:v>-249.67345211308879</c:v>
                </c:pt>
                <c:pt idx="308">
                  <c:v>-249.9470269362094</c:v>
                </c:pt>
                <c:pt idx="309">
                  <c:v>-250.21617045526057</c:v>
                </c:pt>
                <c:pt idx="310">
                  <c:v>-250.48100589130786</c:v>
                </c:pt>
                <c:pt idx="311">
                  <c:v>-250.74165198465528</c:v>
                </c:pt>
                <c:pt idx="312">
                  <c:v>-250.9982231936894</c:v>
                </c:pt>
                <c:pt idx="313">
                  <c:v>-251.25082988341978</c:v>
                </c:pt>
                <c:pt idx="314">
                  <c:v>-251.49957850431835</c:v>
                </c:pt>
                <c:pt idx="315">
                  <c:v>-251.74457176202267</c:v>
                </c:pt>
                <c:pt idx="316">
                  <c:v>-251.98590877843168</c:v>
                </c:pt>
                <c:pt idx="317">
                  <c:v>-252.22368524468754</c:v>
                </c:pt>
                <c:pt idx="318">
                  <c:v>-252.45799356650804</c:v>
                </c:pt>
                <c:pt idx="319">
                  <c:v>-252.68892300230249</c:v>
                </c:pt>
                <c:pt idx="320">
                  <c:v>-252.9165597944791</c:v>
                </c:pt>
                <c:pt idx="321">
                  <c:v>-253.14098729432405</c:v>
                </c:pt>
                <c:pt idx="322">
                  <c:v>-253.36228608081115</c:v>
                </c:pt>
                <c:pt idx="323">
                  <c:v>-253.58053407367674</c:v>
                </c:pt>
                <c:pt idx="324">
                  <c:v>-253.79580664107567</c:v>
                </c:pt>
                <c:pt idx="325">
                  <c:v>-254.00817670211381</c:v>
                </c:pt>
                <c:pt idx="326">
                  <c:v>-254.21771482453539</c:v>
                </c:pt>
                <c:pt idx="327">
                  <c:v>-254.42448931782536</c:v>
                </c:pt>
                <c:pt idx="328">
                  <c:v>-254.62856632197349</c:v>
                </c:pt>
                <c:pt idx="329">
                  <c:v>-254.83000989213016</c:v>
                </c:pt>
                <c:pt idx="330">
                  <c:v>-255.02888207937104</c:v>
                </c:pt>
                <c:pt idx="331">
                  <c:v>-255.22524300777565</c:v>
                </c:pt>
                <c:pt idx="332">
                  <c:v>-255.41915094801101</c:v>
                </c:pt>
                <c:pt idx="333">
                  <c:v>-255.61066238760276</c:v>
                </c:pt>
                <c:pt idx="334">
                  <c:v>-255.79983209806358</c:v>
                </c:pt>
                <c:pt idx="335">
                  <c:v>-255.98671319903997</c:v>
                </c:pt>
                <c:pt idx="336">
                  <c:v>-256.17135721962927</c:v>
                </c:pt>
                <c:pt idx="337">
                  <c:v>-256.35381415700925</c:v>
                </c:pt>
                <c:pt idx="338">
                  <c:v>-256.5341325325162</c:v>
                </c:pt>
                <c:pt idx="339">
                  <c:v>-256.71235944529775</c:v>
                </c:pt>
                <c:pt idx="340">
                  <c:v>-256.88854062366136</c:v>
                </c:pt>
                <c:pt idx="341">
                  <c:v>-257.06272047423198</c:v>
                </c:pt>
                <c:pt idx="342">
                  <c:v>-257.23494212902551</c:v>
                </c:pt>
                <c:pt idx="343">
                  <c:v>-257.40524749054003</c:v>
                </c:pt>
                <c:pt idx="344">
                  <c:v>-257.57367727496097</c:v>
                </c:pt>
                <c:pt idx="345">
                  <c:v>-257.74027105356936</c:v>
                </c:pt>
                <c:pt idx="346">
                  <c:v>-257.90506729244066</c:v>
                </c:pt>
                <c:pt idx="347">
                  <c:v>-258.06810339051452</c:v>
                </c:pt>
                <c:pt idx="348">
                  <c:v>-258.22941571611165</c:v>
                </c:pt>
                <c:pt idx="349">
                  <c:v>-258.38903964197209</c:v>
                </c:pt>
                <c:pt idx="350">
                  <c:v>-258.54700957888235</c:v>
                </c:pt>
                <c:pt idx="351">
                  <c:v>-258.70335900795737</c:v>
                </c:pt>
                <c:pt idx="352">
                  <c:v>-258.85812051163936</c:v>
                </c:pt>
                <c:pt idx="353">
                  <c:v>-259.01132580347166</c:v>
                </c:pt>
                <c:pt idx="354">
                  <c:v>-259.16300575670397</c:v>
                </c:pt>
                <c:pt idx="355">
                  <c:v>-259.31319043178092</c:v>
                </c:pt>
                <c:pt idx="356">
                  <c:v>-259.46190910276545</c:v>
                </c:pt>
                <c:pt idx="357">
                  <c:v>-259.60919028274276</c:v>
                </c:pt>
                <c:pt idx="358">
                  <c:v>-259.75506174825182</c:v>
                </c:pt>
                <c:pt idx="359">
                  <c:v>-259.89955056278632</c:v>
                </c:pt>
                <c:pt idx="360">
                  <c:v>-260.04268309940625</c:v>
                </c:pt>
                <c:pt idx="361">
                  <c:v>-260.18448506249854</c:v>
                </c:pt>
                <c:pt idx="362">
                  <c:v>-260.32498150872442</c:v>
                </c:pt>
                <c:pt idx="363">
                  <c:v>-260.4641968671877</c:v>
                </c:pt>
                <c:pt idx="364">
                  <c:v>-260.6021549588578</c:v>
                </c:pt>
                <c:pt idx="365">
                  <c:v>-260.73887901527917</c:v>
                </c:pt>
                <c:pt idx="366">
                  <c:v>-260.87439169659763</c:v>
                </c:pt>
                <c:pt idx="367">
                  <c:v>-261.00871510893188</c:v>
                </c:pt>
                <c:pt idx="368">
                  <c:v>-261.14187082111789</c:v>
                </c:pt>
                <c:pt idx="369">
                  <c:v>-261.27387988085241</c:v>
                </c:pt>
                <c:pt idx="370">
                  <c:v>-261.40476283026055</c:v>
                </c:pt>
                <c:pt idx="371">
                  <c:v>-261.53453972091023</c:v>
                </c:pt>
                <c:pt idx="372">
                  <c:v>-261.66323012829793</c:v>
                </c:pt>
                <c:pt idx="373">
                  <c:v>-261.7908531658253</c:v>
                </c:pt>
                <c:pt idx="374">
                  <c:v>-261.9174274982887</c:v>
                </c:pt>
                <c:pt idx="375">
                  <c:v>-262.04297135490083</c:v>
                </c:pt>
                <c:pt idx="376">
                  <c:v>-262.16750254186252</c:v>
                </c:pt>
                <c:pt idx="377">
                  <c:v>-262.29103845450402</c:v>
                </c:pt>
                <c:pt idx="378">
                  <c:v>-262.41359608901143</c:v>
                </c:pt>
                <c:pt idx="379">
                  <c:v>-262.53519205375579</c:v>
                </c:pt>
                <c:pt idx="380">
                  <c:v>-262.6558425802391</c:v>
                </c:pt>
                <c:pt idx="381">
                  <c:v>-262.77556353367396</c:v>
                </c:pt>
                <c:pt idx="382">
                  <c:v>-262.89437042320901</c:v>
                </c:pt>
                <c:pt idx="383">
                  <c:v>-263.01227841181583</c:v>
                </c:pt>
                <c:pt idx="384">
                  <c:v>-263.12930232584847</c:v>
                </c:pt>
                <c:pt idx="385">
                  <c:v>-263.24545666428952</c:v>
                </c:pt>
                <c:pt idx="386">
                  <c:v>-263.3607556076941</c:v>
                </c:pt>
                <c:pt idx="387">
                  <c:v>-263.47521302684271</c:v>
                </c:pt>
                <c:pt idx="388">
                  <c:v>-263.58884249111475</c:v>
                </c:pt>
                <c:pt idx="389">
                  <c:v>-263.70165727659253</c:v>
                </c:pt>
                <c:pt idx="390">
                  <c:v>-263.81367037390589</c:v>
                </c:pt>
                <c:pt idx="391">
                  <c:v>-263.92489449582774</c:v>
                </c:pt>
                <c:pt idx="392">
                  <c:v>-264.03534208462798</c:v>
                </c:pt>
                <c:pt idx="393">
                  <c:v>-264.14502531919698</c:v>
                </c:pt>
                <c:pt idx="394">
                  <c:v>-264.25395612194473</c:v>
                </c:pt>
                <c:pt idx="395">
                  <c:v>-264.3621461654858</c:v>
                </c:pt>
                <c:pt idx="396">
                  <c:v>-264.46960687911604</c:v>
                </c:pt>
                <c:pt idx="397">
                  <c:v>-264.57634945508994</c:v>
                </c:pt>
                <c:pt idx="398">
                  <c:v>-264.68238485470482</c:v>
                </c:pt>
                <c:pt idx="399">
                  <c:v>-264.78772381419969</c:v>
                </c:pt>
                <c:pt idx="400">
                  <c:v>-264.89237685047368</c:v>
                </c:pt>
                <c:pt idx="401">
                  <c:v>-264.99635426663241</c:v>
                </c:pt>
                <c:pt idx="402">
                  <c:v>-265.09966615736698</c:v>
                </c:pt>
                <c:pt idx="403">
                  <c:v>-265.20232241417159</c:v>
                </c:pt>
                <c:pt idx="404">
                  <c:v>-265.30433273040609</c:v>
                </c:pt>
                <c:pt idx="405">
                  <c:v>-265.40570660620767</c:v>
                </c:pt>
                <c:pt idx="406">
                  <c:v>-265.50645335325817</c:v>
                </c:pt>
                <c:pt idx="407">
                  <c:v>-265.60658209941067</c:v>
                </c:pt>
                <c:pt idx="408">
                  <c:v>-265.70610179318135</c:v>
                </c:pt>
                <c:pt idx="409">
                  <c:v>-265.80502120811025</c:v>
                </c:pt>
                <c:pt idx="410">
                  <c:v>-265.90334894699561</c:v>
                </c:pt>
                <c:pt idx="411">
                  <c:v>-266.00109344600651</c:v>
                </c:pt>
                <c:pt idx="412">
                  <c:v>-266.09826297867727</c:v>
                </c:pt>
                <c:pt idx="413">
                  <c:v>-266.19486565978758</c:v>
                </c:pt>
                <c:pt idx="414">
                  <c:v>-266.29090944913258</c:v>
                </c:pt>
                <c:pt idx="415">
                  <c:v>-266.38640215518637</c:v>
                </c:pt>
                <c:pt idx="416">
                  <c:v>-266.48135143866199</c:v>
                </c:pt>
                <c:pt idx="417">
                  <c:v>-266.57576481597164</c:v>
                </c:pt>
                <c:pt idx="418">
                  <c:v>-266.66964966259064</c:v>
                </c:pt>
                <c:pt idx="419">
                  <c:v>-266.76301321632764</c:v>
                </c:pt>
                <c:pt idx="420">
                  <c:v>-266.85586258050438</c:v>
                </c:pt>
                <c:pt idx="421">
                  <c:v>-266.94820472704828</c:v>
                </c:pt>
                <c:pt idx="422">
                  <c:v>-267.04004649949979</c:v>
                </c:pt>
                <c:pt idx="423">
                  <c:v>-267.13139461593778</c:v>
                </c:pt>
                <c:pt idx="424">
                  <c:v>-267.22225567182591</c:v>
                </c:pt>
                <c:pt idx="425">
                  <c:v>-267.31263614278157</c:v>
                </c:pt>
                <c:pt idx="426">
                  <c:v>-267.40254238727033</c:v>
                </c:pt>
                <c:pt idx="427">
                  <c:v>-267.49198064922848</c:v>
                </c:pt>
                <c:pt idx="428">
                  <c:v>-267.58095706061516</c:v>
                </c:pt>
                <c:pt idx="429">
                  <c:v>-267.66947764389698</c:v>
                </c:pt>
                <c:pt idx="430">
                  <c:v>-267.75754831446687</c:v>
                </c:pt>
                <c:pt idx="431">
                  <c:v>-267.845174882999</c:v>
                </c:pt>
                <c:pt idx="432">
                  <c:v>-267.93236305774246</c:v>
                </c:pt>
                <c:pt idx="433">
                  <c:v>-268.01911844675442</c:v>
                </c:pt>
                <c:pt idx="434">
                  <c:v>-268.10544656007556</c:v>
                </c:pt>
                <c:pt idx="435">
                  <c:v>-268.19135281184936</c:v>
                </c:pt>
                <c:pt idx="436">
                  <c:v>-268.27684252238623</c:v>
                </c:pt>
                <c:pt idx="437">
                  <c:v>-268.36192092017524</c:v>
                </c:pt>
                <c:pt idx="438">
                  <c:v>-268.44659314384381</c:v>
                </c:pt>
                <c:pt idx="439">
                  <c:v>-268.53086424406825</c:v>
                </c:pt>
                <c:pt idx="440">
                  <c:v>-268.61473918543527</c:v>
                </c:pt>
                <c:pt idx="441">
                  <c:v>-268.69822284825659</c:v>
                </c:pt>
                <c:pt idx="442">
                  <c:v>-268.78132003033829</c:v>
                </c:pt>
                <c:pt idx="443">
                  <c:v>-268.86403544870547</c:v>
                </c:pt>
                <c:pt idx="444">
                  <c:v>-268.94637374128411</c:v>
                </c:pt>
                <c:pt idx="445">
                  <c:v>-269.02833946854105</c:v>
                </c:pt>
                <c:pt idx="446">
                  <c:v>-269.10993711508371</c:v>
                </c:pt>
                <c:pt idx="447">
                  <c:v>-269.19117109121987</c:v>
                </c:pt>
                <c:pt idx="448">
                  <c:v>-269.27204573447978</c:v>
                </c:pt>
                <c:pt idx="449">
                  <c:v>-269.3525653111007</c:v>
                </c:pt>
                <c:pt idx="450">
                  <c:v>-269.43273401747547</c:v>
                </c:pt>
                <c:pt idx="451">
                  <c:v>-269.51255598156581</c:v>
                </c:pt>
                <c:pt idx="452">
                  <c:v>-269.59203526428206</c:v>
                </c:pt>
                <c:pt idx="453">
                  <c:v>-269.67117586082873</c:v>
                </c:pt>
                <c:pt idx="454">
                  <c:v>-269.74998170201889</c:v>
                </c:pt>
                <c:pt idx="455">
                  <c:v>-269.82845665555664</c:v>
                </c:pt>
                <c:pt idx="456">
                  <c:v>-269.90660452728901</c:v>
                </c:pt>
                <c:pt idx="457">
                  <c:v>-269.98442906242877</c:v>
                </c:pt>
                <c:pt idx="458">
                  <c:v>-270.06193394674784</c:v>
                </c:pt>
                <c:pt idx="459">
                  <c:v>-270.13912280774309</c:v>
                </c:pt>
                <c:pt idx="460">
                  <c:v>-270.2159992157745</c:v>
                </c:pt>
                <c:pt idx="461">
                  <c:v>-270.29256668517723</c:v>
                </c:pt>
                <c:pt idx="462">
                  <c:v>-270.36882867534752</c:v>
                </c:pt>
                <c:pt idx="463">
                  <c:v>-270.44478859180367</c:v>
                </c:pt>
                <c:pt idx="464">
                  <c:v>-270.52044978722233</c:v>
                </c:pt>
                <c:pt idx="465">
                  <c:v>-270.59581556245166</c:v>
                </c:pt>
                <c:pt idx="466">
                  <c:v>-270.67088916750026</c:v>
                </c:pt>
                <c:pt idx="467">
                  <c:v>-270.74567380250477</c:v>
                </c:pt>
                <c:pt idx="468">
                  <c:v>-270.82017261867446</c:v>
                </c:pt>
                <c:pt idx="469">
                  <c:v>-270.89438871921521</c:v>
                </c:pt>
                <c:pt idx="470">
                  <c:v>-270.96832516023244</c:v>
                </c:pt>
                <c:pt idx="471">
                  <c:v>-271.04198495161359</c:v>
                </c:pt>
                <c:pt idx="472">
                  <c:v>-271.11537105789102</c:v>
                </c:pt>
                <c:pt idx="473">
                  <c:v>-271.18848639908606</c:v>
                </c:pt>
                <c:pt idx="474">
                  <c:v>-271.26133385153349</c:v>
                </c:pt>
                <c:pt idx="475">
                  <c:v>-271.33391624868864</c:v>
                </c:pt>
                <c:pt idx="476">
                  <c:v>-271.40623638191619</c:v>
                </c:pt>
                <c:pt idx="477">
                  <c:v>-271.47829700126192</c:v>
                </c:pt>
                <c:pt idx="478">
                  <c:v>-271.55010081620742</c:v>
                </c:pt>
                <c:pt idx="479">
                  <c:v>-271.62165049640839</c:v>
                </c:pt>
                <c:pt idx="480">
                  <c:v>-271.69294867241712</c:v>
                </c:pt>
                <c:pt idx="481">
                  <c:v>-271.76399793638888</c:v>
                </c:pt>
                <c:pt idx="482">
                  <c:v>-271.83480084277369</c:v>
                </c:pt>
                <c:pt idx="483">
                  <c:v>-271.90535990899264</c:v>
                </c:pt>
                <c:pt idx="484">
                  <c:v>-271.97567761610014</c:v>
                </c:pt>
                <c:pt idx="485">
                  <c:v>-272.04575640943193</c:v>
                </c:pt>
                <c:pt idx="486">
                  <c:v>-272.11559869923911</c:v>
                </c:pt>
                <c:pt idx="487">
                  <c:v>-272.18520686130927</c:v>
                </c:pt>
                <c:pt idx="488">
                  <c:v>-272.2545832375738</c:v>
                </c:pt>
                <c:pt idx="489">
                  <c:v>-272.32373013670303</c:v>
                </c:pt>
                <c:pt idx="490">
                  <c:v>-272.3926498346886</c:v>
                </c:pt>
                <c:pt idx="491">
                  <c:v>-272.46134457541382</c:v>
                </c:pt>
                <c:pt idx="492">
                  <c:v>-272.52981657121188</c:v>
                </c:pt>
                <c:pt idx="493">
                  <c:v>-272.59806800341278</c:v>
                </c:pt>
                <c:pt idx="494">
                  <c:v>-272.6661010228791</c:v>
                </c:pt>
                <c:pt idx="495">
                  <c:v>-272.73391775053</c:v>
                </c:pt>
                <c:pt idx="496">
                  <c:v>-272.80152027785527</c:v>
                </c:pt>
                <c:pt idx="497">
                  <c:v>-272.8689106674185</c:v>
                </c:pt>
                <c:pt idx="498">
                  <c:v>-272.93609095335006</c:v>
                </c:pt>
                <c:pt idx="499">
                  <c:v>-273.00306314182984</c:v>
                </c:pt>
                <c:pt idx="500">
                  <c:v>-273.06982921156066</c:v>
                </c:pt>
                <c:pt idx="501">
                  <c:v>-273.13639111423174</c:v>
                </c:pt>
                <c:pt idx="502">
                  <c:v>-273.20275077497286</c:v>
                </c:pt>
                <c:pt idx="503">
                  <c:v>-273.26891009279973</c:v>
                </c:pt>
                <c:pt idx="504">
                  <c:v>-273.33487094105033</c:v>
                </c:pt>
                <c:pt idx="505">
                  <c:v>-273.40063516781208</c:v>
                </c:pt>
                <c:pt idx="506">
                  <c:v>-273.4662045963413</c:v>
                </c:pt>
                <c:pt idx="507">
                  <c:v>-273.53158102547405</c:v>
                </c:pt>
                <c:pt idx="508">
                  <c:v>-273.59676623002844</c:v>
                </c:pt>
                <c:pt idx="509">
                  <c:v>-273.66176196119972</c:v>
                </c:pt>
                <c:pt idx="510">
                  <c:v>-273.72656994694734</c:v>
                </c:pt>
                <c:pt idx="511">
                  <c:v>-273.79119189237417</c:v>
                </c:pt>
                <c:pt idx="512">
                  <c:v>-273.85562948009891</c:v>
                </c:pt>
                <c:pt idx="513">
                  <c:v>-273.91988437062076</c:v>
                </c:pt>
                <c:pt idx="514">
                  <c:v>-273.98395820267723</c:v>
                </c:pt>
                <c:pt idx="515">
                  <c:v>-274.04785259359522</c:v>
                </c:pt>
                <c:pt idx="516">
                  <c:v>-274.11156913963504</c:v>
                </c:pt>
                <c:pt idx="517">
                  <c:v>-274.17510941632804</c:v>
                </c:pt>
                <c:pt idx="518">
                  <c:v>-274.23847497880774</c:v>
                </c:pt>
                <c:pt idx="519">
                  <c:v>-274.30166736213459</c:v>
                </c:pt>
                <c:pt idx="520">
                  <c:v>-274.36468808161487</c:v>
                </c:pt>
                <c:pt idx="521">
                  <c:v>-274.42753863311304</c:v>
                </c:pt>
                <c:pt idx="522">
                  <c:v>-274.49022049335849</c:v>
                </c:pt>
                <c:pt idx="523">
                  <c:v>-274.55273512024672</c:v>
                </c:pt>
                <c:pt idx="524">
                  <c:v>-274.61508395313462</c:v>
                </c:pt>
                <c:pt idx="525">
                  <c:v>-274.67726841313004</c:v>
                </c:pt>
                <c:pt idx="526">
                  <c:v>-274.73928990337657</c:v>
                </c:pt>
                <c:pt idx="527">
                  <c:v>-274.80114980933229</c:v>
                </c:pt>
                <c:pt idx="528">
                  <c:v>-274.86284949904416</c:v>
                </c:pt>
                <c:pt idx="529">
                  <c:v>-274.9243903234165</c:v>
                </c:pt>
                <c:pt idx="530">
                  <c:v>-274.98577361647517</c:v>
                </c:pt>
                <c:pt idx="531">
                  <c:v>-275.04700069562682</c:v>
                </c:pt>
                <c:pt idx="532">
                  <c:v>-275.108072861913</c:v>
                </c:pt>
                <c:pt idx="533">
                  <c:v>-275.16899140025998</c:v>
                </c:pt>
                <c:pt idx="534">
                  <c:v>-275.22975757972415</c:v>
                </c:pt>
                <c:pt idx="535">
                  <c:v>-275.29037265373245</c:v>
                </c:pt>
                <c:pt idx="536">
                  <c:v>-275.35083786031913</c:v>
                </c:pt>
                <c:pt idx="537">
                  <c:v>-275.41115442235764</c:v>
                </c:pt>
                <c:pt idx="538">
                  <c:v>-275.4713235477887</c:v>
                </c:pt>
                <c:pt idx="539">
                  <c:v>-275.53134642984429</c:v>
                </c:pt>
                <c:pt idx="540">
                  <c:v>-275.59122424726735</c:v>
                </c:pt>
                <c:pt idx="541">
                  <c:v>-275.65095816452794</c:v>
                </c:pt>
                <c:pt idx="542">
                  <c:v>-275.71054933203538</c:v>
                </c:pt>
                <c:pt idx="543">
                  <c:v>-275.76999888634657</c:v>
                </c:pt>
                <c:pt idx="544">
                  <c:v>-275.82930795037078</c:v>
                </c:pt>
                <c:pt idx="545">
                  <c:v>-275.88847763357074</c:v>
                </c:pt>
                <c:pt idx="546">
                  <c:v>-275.94750903216027</c:v>
                </c:pt>
                <c:pt idx="547">
                  <c:v>-276.00640322929837</c:v>
                </c:pt>
                <c:pt idx="548">
                  <c:v>-276.06516129527995</c:v>
                </c:pt>
                <c:pt idx="549">
                  <c:v>-276.12378428772342</c:v>
                </c:pt>
                <c:pt idx="550">
                  <c:v>-276.18227325175468</c:v>
                </c:pt>
                <c:pt idx="551">
                  <c:v>-276.24062922018828</c:v>
                </c:pt>
                <c:pt idx="552">
                  <c:v>-276.29885321370517</c:v>
                </c:pt>
                <c:pt idx="553">
                  <c:v>-276.35694624102763</c:v>
                </c:pt>
                <c:pt idx="554">
                  <c:v>-276.41490929909105</c:v>
                </c:pt>
                <c:pt idx="555">
                  <c:v>-276.47274337321284</c:v>
                </c:pt>
                <c:pt idx="556">
                  <c:v>-276.53044943725831</c:v>
                </c:pt>
                <c:pt idx="557">
                  <c:v>-276.5880284538041</c:v>
                </c:pt>
                <c:pt idx="558">
                  <c:v>-276.64548137429847</c:v>
                </c:pt>
                <c:pt idx="559">
                  <c:v>-276.70280913921891</c:v>
                </c:pt>
                <c:pt idx="560">
                  <c:v>-276.76001267822744</c:v>
                </c:pt>
                <c:pt idx="561">
                  <c:v>-276.81709291032274</c:v>
                </c:pt>
                <c:pt idx="562">
                  <c:v>-276.87405074399044</c:v>
                </c:pt>
                <c:pt idx="563">
                  <c:v>-276.93088707735012</c:v>
                </c:pt>
                <c:pt idx="564">
                  <c:v>-276.98760279830054</c:v>
                </c:pt>
                <c:pt idx="565">
                  <c:v>-277.04419878466194</c:v>
                </c:pt>
                <c:pt idx="566">
                  <c:v>-277.10067590431629</c:v>
                </c:pt>
                <c:pt idx="567">
                  <c:v>-277.15703501534517</c:v>
                </c:pt>
                <c:pt idx="568">
                  <c:v>-277.21327696616538</c:v>
                </c:pt>
                <c:pt idx="569">
                  <c:v>-277.26940259566203</c:v>
                </c:pt>
                <c:pt idx="570">
                  <c:v>-277.32541273332015</c:v>
                </c:pt>
                <c:pt idx="571">
                  <c:v>-277.38130819935304</c:v>
                </c:pt>
                <c:pt idx="572">
                  <c:v>-277.43708980482995</c:v>
                </c:pt>
                <c:pt idx="573">
                  <c:v>-277.49275835180038</c:v>
                </c:pt>
                <c:pt idx="574">
                  <c:v>-277.54831463341702</c:v>
                </c:pt>
                <c:pt idx="575">
                  <c:v>-277.60375943405666</c:v>
                </c:pt>
                <c:pt idx="576">
                  <c:v>-277.65909352943908</c:v>
                </c:pt>
                <c:pt idx="577">
                  <c:v>-277.71431768674381</c:v>
                </c:pt>
                <c:pt idx="578">
                  <c:v>-277.76943266472563</c:v>
                </c:pt>
                <c:pt idx="579">
                  <c:v>-277.82443921382742</c:v>
                </c:pt>
                <c:pt idx="580">
                  <c:v>-277.87933807629184</c:v>
                </c:pt>
                <c:pt idx="581">
                  <c:v>-277.93412998627088</c:v>
                </c:pt>
                <c:pt idx="582">
                  <c:v>-277.98881566993384</c:v>
                </c:pt>
                <c:pt idx="583">
                  <c:v>-278.04339584557357</c:v>
                </c:pt>
                <c:pt idx="584">
                  <c:v>-278.09787122371102</c:v>
                </c:pt>
                <c:pt idx="585">
                  <c:v>-278.15224250719808</c:v>
                </c:pt>
                <c:pt idx="586">
                  <c:v>-278.20651039131883</c:v>
                </c:pt>
                <c:pt idx="587">
                  <c:v>-278.26067556388932</c:v>
                </c:pt>
                <c:pt idx="588">
                  <c:v>-278.31473870535569</c:v>
                </c:pt>
                <c:pt idx="589">
                  <c:v>-278.36870048889079</c:v>
                </c:pt>
                <c:pt idx="590">
                  <c:v>-278.42256158048917</c:v>
                </c:pt>
                <c:pt idx="591">
                  <c:v>-278.47632263906098</c:v>
                </c:pt>
                <c:pt idx="592">
                  <c:v>-278.52998431652355</c:v>
                </c:pt>
                <c:pt idx="593">
                  <c:v>-278.58354725789297</c:v>
                </c:pt>
                <c:pt idx="594">
                  <c:v>-278.63701210137287</c:v>
                </c:pt>
                <c:pt idx="595">
                  <c:v>-278.69037947844254</c:v>
                </c:pt>
                <c:pt idx="596">
                  <c:v>-278.74365001394364</c:v>
                </c:pt>
                <c:pt idx="597">
                  <c:v>-278.79682432616545</c:v>
                </c:pt>
                <c:pt idx="598">
                  <c:v>-278.84990302692904</c:v>
                </c:pt>
                <c:pt idx="599">
                  <c:v>-278.90288672166963</c:v>
                </c:pt>
                <c:pt idx="600">
                  <c:v>-278.95577600951867</c:v>
                </c:pt>
                <c:pt idx="601">
                  <c:v>-279.00857148338349</c:v>
                </c:pt>
                <c:pt idx="602">
                  <c:v>-279.06127373002676</c:v>
                </c:pt>
                <c:pt idx="603">
                  <c:v>-279.11388333014418</c:v>
                </c:pt>
                <c:pt idx="604">
                  <c:v>-279.16640085844108</c:v>
                </c:pt>
                <c:pt idx="605">
                  <c:v>-279.21882688370829</c:v>
                </c:pt>
                <c:pt idx="606">
                  <c:v>-281.73450982481768</c:v>
                </c:pt>
                <c:pt idx="607">
                  <c:v>-284.07633989596133</c:v>
                </c:pt>
                <c:pt idx="608">
                  <c:v>-286.27970625547317</c:v>
                </c:pt>
                <c:pt idx="609">
                  <c:v>-288.36780477915363</c:v>
                </c:pt>
                <c:pt idx="610">
                  <c:v>-290.35646170815551</c:v>
                </c:pt>
                <c:pt idx="611">
                  <c:v>-292.25688179381683</c:v>
                </c:pt>
                <c:pt idx="612">
                  <c:v>-294.0772869737778</c:v>
                </c:pt>
                <c:pt idx="613">
                  <c:v>-295.82392964607749</c:v>
                </c:pt>
                <c:pt idx="614">
                  <c:v>-297.50173751191784</c:v>
                </c:pt>
                <c:pt idx="615">
                  <c:v>-299.11473324669026</c:v>
                </c:pt>
                <c:pt idx="616">
                  <c:v>-300.66631229409859</c:v>
                </c:pt>
                <c:pt idx="617">
                  <c:v>-302.15942900419134</c:v>
                </c:pt>
                <c:pt idx="618">
                  <c:v>-302.77701161628192</c:v>
                </c:pt>
                <c:pt idx="619">
                  <c:v>-303.38462524102539</c:v>
                </c:pt>
                <c:pt idx="620">
                  <c:v>-303.98248837861752</c:v>
                </c:pt>
                <c:pt idx="621">
                  <c:v>-304.57080987733138</c:v>
                </c:pt>
                <c:pt idx="622">
                  <c:v>-305.1497898852748</c:v>
                </c:pt>
                <c:pt idx="623">
                  <c:v>-305.71962068178004</c:v>
                </c:pt>
                <c:pt idx="624">
                  <c:v>-306.28048740438533</c:v>
                </c:pt>
                <c:pt idx="625">
                  <c:v>-306.83256868514536</c:v>
                </c:pt>
                <c:pt idx="626">
                  <c:v>-307.37603720811649</c:v>
                </c:pt>
                <c:pt idx="627">
                  <c:v>-307.91106019825253</c:v>
                </c:pt>
                <c:pt idx="628">
                  <c:v>-308.43779985057211</c:v>
                </c:pt>
                <c:pt idx="629">
                  <c:v>-308.95641370727776</c:v>
                </c:pt>
                <c:pt idx="630">
                  <c:v>-309.46705498949643</c:v>
                </c:pt>
                <c:pt idx="631">
                  <c:v>-309.96987288943876</c:v>
                </c:pt>
                <c:pt idx="632">
                  <c:v>-310.46501282802211</c:v>
                </c:pt>
                <c:pt idx="633">
                  <c:v>-310.95261668235491</c:v>
                </c:pt>
                <c:pt idx="634">
                  <c:v>-311.43282298691349</c:v>
                </c:pt>
                <c:pt idx="635">
                  <c:v>-311.90576711175856</c:v>
                </c:pt>
                <c:pt idx="636">
                  <c:v>-312.37158142071121</c:v>
                </c:pt>
                <c:pt idx="637">
                  <c:v>-312.83039541203993</c:v>
                </c:pt>
                <c:pt idx="638">
                  <c:v>-313.28233584389056</c:v>
                </c:pt>
                <c:pt idx="639">
                  <c:v>-313.7275268464079</c:v>
                </c:pt>
                <c:pt idx="640">
                  <c:v>-314.16609002225402</c:v>
                </c:pt>
                <c:pt idx="641">
                  <c:v>-314.5981445370146</c:v>
                </c:pt>
                <c:pt idx="642">
                  <c:v>-315.02380720079617</c:v>
                </c:pt>
                <c:pt idx="643">
                  <c:v>-315.44319254215452</c:v>
                </c:pt>
                <c:pt idx="644">
                  <c:v>-315.85641287534906</c:v>
                </c:pt>
                <c:pt idx="645">
                  <c:v>-316.26357836179409</c:v>
                </c:pt>
                <c:pt idx="646">
                  <c:v>-316.66479706646555</c:v>
                </c:pt>
                <c:pt idx="647">
                  <c:v>-317.06017500992704</c:v>
                </c:pt>
                <c:pt idx="648">
                  <c:v>-317.44981621655108</c:v>
                </c:pt>
                <c:pt idx="649">
                  <c:v>-317.83382275944109</c:v>
                </c:pt>
                <c:pt idx="650">
                  <c:v>-318.21229480248985</c:v>
                </c:pt>
                <c:pt idx="651">
                  <c:v>-318.58533063995606</c:v>
                </c:pt>
                <c:pt idx="652">
                  <c:v>-318.95302673388903</c:v>
                </c:pt>
                <c:pt idx="653">
                  <c:v>-319.3154777496876</c:v>
                </c:pt>
                <c:pt idx="654">
                  <c:v>-319.6727765900406</c:v>
                </c:pt>
                <c:pt idx="655">
                  <c:v>-320.02501442746279</c:v>
                </c:pt>
                <c:pt idx="656">
                  <c:v>-320.37228073560999</c:v>
                </c:pt>
                <c:pt idx="657">
                  <c:v>-320.71466331953275</c:v>
                </c:pt>
                <c:pt idx="658">
                  <c:v>-321.05224834500245</c:v>
                </c:pt>
                <c:pt idx="659">
                  <c:v>-321.38512036702696</c:v>
                </c:pt>
                <c:pt idx="660">
                  <c:v>-321.71336235765438</c:v>
                </c:pt>
                <c:pt idx="661">
                  <c:v>-322.03705573314824</c:v>
                </c:pt>
                <c:pt idx="662">
                  <c:v>-322.3562803806052</c:v>
                </c:pt>
                <c:pt idx="663">
                  <c:v>-322.67111468407415</c:v>
                </c:pt>
                <c:pt idx="664">
                  <c:v>-322.98163555022836</c:v>
                </c:pt>
                <c:pt idx="665">
                  <c:v>-323.28791843362819</c:v>
                </c:pt>
                <c:pt idx="666">
                  <c:v>-323.5900373616131</c:v>
                </c:pt>
                <c:pt idx="667">
                  <c:v>-323.88806495884671</c:v>
                </c:pt>
              </c:numCache>
            </c:numRef>
          </c:yVal>
          <c:smooth val="0"/>
          <c:extLst>
            <c:ext xmlns:c16="http://schemas.microsoft.com/office/drawing/2014/chart" uri="{C3380CC4-5D6E-409C-BE32-E72D297353CC}">
              <c16:uniqueId val="{00000001-306B-4242-B253-B9A3B2188A5D}"/>
            </c:ext>
          </c:extLst>
        </c:ser>
        <c:dLbls>
          <c:showLegendKey val="0"/>
          <c:showVal val="0"/>
          <c:showCatName val="0"/>
          <c:showSerName val="0"/>
          <c:showPercent val="0"/>
          <c:showBubbleSize val="0"/>
        </c:dLbls>
        <c:axId val="177465600"/>
        <c:axId val="177467392"/>
      </c:scatterChart>
      <c:valAx>
        <c:axId val="177449216"/>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375680580762788"/>
              <c:y val="0.88281468722659673"/>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63680"/>
        <c:crossesAt val="-80"/>
        <c:crossBetween val="midCat"/>
      </c:valAx>
      <c:valAx>
        <c:axId val="177463680"/>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852994555354056E-2"/>
              <c:y val="0.4427094269466312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49216"/>
        <c:crosses val="autoZero"/>
        <c:crossBetween val="midCat"/>
      </c:valAx>
      <c:valAx>
        <c:axId val="177465600"/>
        <c:scaling>
          <c:logBase val="10"/>
          <c:orientation val="minMax"/>
        </c:scaling>
        <c:delete val="1"/>
        <c:axPos val="b"/>
        <c:numFmt formatCode="General" sourceLinked="1"/>
        <c:majorTickMark val="out"/>
        <c:minorTickMark val="none"/>
        <c:tickLblPos val="none"/>
        <c:crossAx val="177467392"/>
        <c:crosses val="autoZero"/>
        <c:crossBetween val="midCat"/>
      </c:valAx>
      <c:valAx>
        <c:axId val="177467392"/>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62794918330363"/>
              <c:y val="0.3671883202099790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65600"/>
        <c:crosses val="max"/>
        <c:crossBetween val="midCat"/>
      </c:valAx>
      <c:spPr>
        <a:noFill/>
        <a:ln w="12700">
          <a:solidFill>
            <a:srgbClr val="808080"/>
          </a:solidFill>
          <a:prstDash val="solid"/>
        </a:ln>
      </c:spPr>
    </c:plotArea>
    <c:legend>
      <c:legendPos val="t"/>
      <c:layout>
        <c:manualLayout>
          <c:xMode val="edge"/>
          <c:yMode val="edge"/>
          <c:x val="0.76406533575318358"/>
          <c:y val="1.3020833333333511E-2"/>
          <c:w val="0.21597096188747997"/>
          <c:h val="0.1458336067366578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Comp to Vout</a:t>
            </a:r>
          </a:p>
        </c:rich>
      </c:tx>
      <c:layout>
        <c:manualLayout>
          <c:xMode val="edge"/>
          <c:yMode val="edge"/>
          <c:x val="0.42753699265852635"/>
          <c:y val="3.3766233766233771E-2"/>
        </c:manualLayout>
      </c:layout>
      <c:overlay val="0"/>
      <c:spPr>
        <a:noFill/>
        <a:ln w="25400">
          <a:noFill/>
        </a:ln>
      </c:spPr>
    </c:title>
    <c:autoTitleDeleted val="0"/>
    <c:plotArea>
      <c:layout>
        <c:manualLayout>
          <c:layoutTarget val="inner"/>
          <c:xMode val="edge"/>
          <c:yMode val="edge"/>
          <c:x val="0.11594223410296738"/>
          <c:y val="0.20779247132770992"/>
          <c:w val="0.79166806723432415"/>
          <c:h val="0.60519557274195002"/>
        </c:manualLayout>
      </c:layout>
      <c:scatterChart>
        <c:scatterStyle val="smoothMarker"/>
        <c:varyColors val="0"/>
        <c:ser>
          <c:idx val="2"/>
          <c:order val="0"/>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Calculations'!$BM$9:$BM$676</c:f>
              <c:numCache>
                <c:formatCode>General</c:formatCode>
                <c:ptCount val="668"/>
                <c:pt idx="0">
                  <c:v>23.47087980198539</c:v>
                </c:pt>
                <c:pt idx="1">
                  <c:v>23.470881072574748</c:v>
                </c:pt>
                <c:pt idx="2">
                  <c:v>23.470883190224036</c:v>
                </c:pt>
                <c:pt idx="3">
                  <c:v>23.470886154933766</c:v>
                </c:pt>
                <c:pt idx="4">
                  <c:v>23.470889966704668</c:v>
                </c:pt>
                <c:pt idx="5">
                  <c:v>23.470894625537682</c:v>
                </c:pt>
                <c:pt idx="6">
                  <c:v>23.470900131433957</c:v>
                </c:pt>
                <c:pt idx="7">
                  <c:v>23.470906484394849</c:v>
                </c:pt>
                <c:pt idx="8">
                  <c:v>23.470913684421923</c:v>
                </c:pt>
                <c:pt idx="9">
                  <c:v>23.470921731516945</c:v>
                </c:pt>
                <c:pt idx="10">
                  <c:v>23.471048791743748</c:v>
                </c:pt>
                <c:pt idx="11">
                  <c:v>23.471260562264664</c:v>
                </c:pt>
                <c:pt idx="12">
                  <c:v>23.47155704829429</c:v>
                </c:pt>
                <c:pt idx="13">
                  <c:v>23.471938257133491</c:v>
                </c:pt>
                <c:pt idx="14">
                  <c:v>23.47240419816988</c:v>
                </c:pt>
                <c:pt idx="15">
                  <c:v>23.472954882878362</c:v>
                </c:pt>
                <c:pt idx="16">
                  <c:v>23.473590324821853</c:v>
                </c:pt>
                <c:pt idx="17">
                  <c:v>23.474310539652091</c:v>
                </c:pt>
                <c:pt idx="18">
                  <c:v>23.475115545110611</c:v>
                </c:pt>
                <c:pt idx="19">
                  <c:v>23.487834484139462</c:v>
                </c:pt>
                <c:pt idx="20">
                  <c:v>23.509067576501511</c:v>
                </c:pt>
                <c:pt idx="21">
                  <c:v>23.538867336542161</c:v>
                </c:pt>
                <c:pt idx="22">
                  <c:v>23.577307731730105</c:v>
                </c:pt>
                <c:pt idx="23">
                  <c:v>23.624484631372624</c:v>
                </c:pt>
                <c:pt idx="24">
                  <c:v>23.680516385019846</c:v>
                </c:pt>
                <c:pt idx="25">
                  <c:v>23.745544530890772</c:v>
                </c:pt>
                <c:pt idx="26">
                  <c:v>23.81973463374695</c:v>
                </c:pt>
                <c:pt idx="27">
                  <c:v>23.903277249970959</c:v>
                </c:pt>
                <c:pt idx="28">
                  <c:v>24.469842744506241</c:v>
                </c:pt>
                <c:pt idx="29">
                  <c:v>25.315305476017322</c:v>
                </c:pt>
                <c:pt idx="30">
                  <c:v>26.498321102737549</c:v>
                </c:pt>
                <c:pt idx="31">
                  <c:v>28.089440898424623</c:v>
                </c:pt>
                <c:pt idx="32">
                  <c:v>30.080065040708647</c:v>
                </c:pt>
                <c:pt idx="33">
                  <c:v>31.888701635490943</c:v>
                </c:pt>
                <c:pt idx="34">
                  <c:v>31.623811895791277</c:v>
                </c:pt>
                <c:pt idx="35">
                  <c:v>28.993562092842922</c:v>
                </c:pt>
                <c:pt idx="36">
                  <c:v>25.950491488937224</c:v>
                </c:pt>
                <c:pt idx="37">
                  <c:v>23.259715314270835</c:v>
                </c:pt>
                <c:pt idx="38">
                  <c:v>20.962170818481493</c:v>
                </c:pt>
                <c:pt idx="39">
                  <c:v>18.980708485924531</c:v>
                </c:pt>
                <c:pt idx="40">
                  <c:v>17.243338298875866</c:v>
                </c:pt>
                <c:pt idx="41">
                  <c:v>15.696405583887056</c:v>
                </c:pt>
                <c:pt idx="42">
                  <c:v>14.301108689491489</c:v>
                </c:pt>
                <c:pt idx="43">
                  <c:v>13.029097204264399</c:v>
                </c:pt>
                <c:pt idx="44">
                  <c:v>11.859233572853284</c:v>
                </c:pt>
                <c:pt idx="45">
                  <c:v>10.775412726129401</c:v>
                </c:pt>
                <c:pt idx="46">
                  <c:v>9.7651098616010348</c:v>
                </c:pt>
                <c:pt idx="47">
                  <c:v>8.8184018647841071</c:v>
                </c:pt>
                <c:pt idx="48">
                  <c:v>7.9272954328024481</c:v>
                </c:pt>
                <c:pt idx="49">
                  <c:v>7.0852562612393468</c:v>
                </c:pt>
                <c:pt idx="50">
                  <c:v>6.2868724424583871</c:v>
                </c:pt>
                <c:pt idx="51">
                  <c:v>5.5276092235399341</c:v>
                </c:pt>
                <c:pt idx="52">
                  <c:v>4.8036271718904198</c:v>
                </c:pt>
                <c:pt idx="53">
                  <c:v>4.111645169556529</c:v>
                </c:pt>
                <c:pt idx="54">
                  <c:v>3.4488356541730019</c:v>
                </c:pt>
                <c:pt idx="55">
                  <c:v>2.8127434313292139</c:v>
                </c:pt>
                <c:pt idx="56">
                  <c:v>2.2012219746514745</c:v>
                </c:pt>
                <c:pt idx="57">
                  <c:v>1.6123828790716068</c:v>
                </c:pt>
                <c:pt idx="58">
                  <c:v>1.0445553330480615</c:v>
                </c:pt>
                <c:pt idx="59">
                  <c:v>0.49625331207420686</c:v>
                </c:pt>
                <c:pt idx="60">
                  <c:v>-3.3851212560940772E-2</c:v>
                </c:pt>
                <c:pt idx="61">
                  <c:v>-0.54695033163637785</c:v>
                </c:pt>
                <c:pt idx="62">
                  <c:v>-1.0441184963670203</c:v>
                </c:pt>
                <c:pt idx="63">
                  <c:v>-1.526327804823687</c:v>
                </c:pt>
                <c:pt idx="64">
                  <c:v>-1.9944608557653001</c:v>
                </c:pt>
                <c:pt idx="65">
                  <c:v>-2.4493216229501797</c:v>
                </c:pt>
                <c:pt idx="66">
                  <c:v>-2.8916447072246254</c:v>
                </c:pt>
                <c:pt idx="67">
                  <c:v>-3.3221032503942185</c:v>
                </c:pt>
                <c:pt idx="68">
                  <c:v>-3.7413157383045146</c:v>
                </c:pt>
                <c:pt idx="69">
                  <c:v>-4.1498518765243695</c:v>
                </c:pt>
                <c:pt idx="70">
                  <c:v>-4.5482376874917891</c:v>
                </c:pt>
                <c:pt idx="71">
                  <c:v>-4.9369599507021746</c:v>
                </c:pt>
                <c:pt idx="72">
                  <c:v>-5.3164700858209599</c:v>
                </c:pt>
                <c:pt idx="73">
                  <c:v>-5.6871875612325908</c:v>
                </c:pt>
                <c:pt idx="74">
                  <c:v>-6.0495028965466657</c:v>
                </c:pt>
                <c:pt idx="75">
                  <c:v>-6.4037803162468414</c:v>
                </c:pt>
                <c:pt idx="76">
                  <c:v>-6.7503601024341009</c:v>
                </c:pt>
                <c:pt idx="77">
                  <c:v>-7.0895606870533499</c:v>
                </c:pt>
                <c:pt idx="78">
                  <c:v>-7.4216805177684355</c:v>
                </c:pt>
                <c:pt idx="79">
                  <c:v>-7.7469997265032253</c:v>
                </c:pt>
                <c:pt idx="80">
                  <c:v>-8.0657816253904588</c:v>
                </c:pt>
                <c:pt idx="81">
                  <c:v>-8.3782740513023963</c:v>
                </c:pt>
                <c:pt idx="82">
                  <c:v>-8.6847105771481452</c:v>
                </c:pt>
                <c:pt idx="83">
                  <c:v>-8.9853116056084552</c:v>
                </c:pt>
                <c:pt idx="84">
                  <c:v>-9.2802853588557745</c:v>
                </c:pt>
                <c:pt idx="85">
                  <c:v>-9.5698287760086362</c:v>
                </c:pt>
                <c:pt idx="86">
                  <c:v>-9.8541283285395824</c:v>
                </c:pt>
                <c:pt idx="87">
                  <c:v>-10.133360762550792</c:v>
                </c:pt>
                <c:pt idx="88">
                  <c:v>-10.407693775714257</c:v>
                </c:pt>
                <c:pt idx="89">
                  <c:v>-10.67728663571442</c:v>
                </c:pt>
                <c:pt idx="90">
                  <c:v>-10.942290746204907</c:v>
                </c:pt>
                <c:pt idx="91">
                  <c:v>-11.202850165577896</c:v>
                </c:pt>
                <c:pt idx="92">
                  <c:v>-11.459102083226833</c:v>
                </c:pt>
                <c:pt idx="93">
                  <c:v>-11.711177257446796</c:v>
                </c:pt>
                <c:pt idx="94">
                  <c:v>-11.959200418650102</c:v>
                </c:pt>
                <c:pt idx="95">
                  <c:v>-12.203290641167071</c:v>
                </c:pt>
                <c:pt idx="96">
                  <c:v>-12.443561686545712</c:v>
                </c:pt>
                <c:pt idx="97">
                  <c:v>-12.680122320951464</c:v>
                </c:pt>
                <c:pt idx="98">
                  <c:v>-12.913076608993714</c:v>
                </c:pt>
                <c:pt idx="99">
                  <c:v>-13.142524186063966</c:v>
                </c:pt>
                <c:pt idx="100">
                  <c:v>-13.368560511057289</c:v>
                </c:pt>
                <c:pt idx="101">
                  <c:v>-13.59127710115998</c:v>
                </c:pt>
                <c:pt idx="102">
                  <c:v>-13.810761750219404</c:v>
                </c:pt>
                <c:pt idx="103">
                  <c:v>-14.027098732063568</c:v>
                </c:pt>
                <c:pt idx="104">
                  <c:v>-14.240368990006171</c:v>
                </c:pt>
                <c:pt idx="105">
                  <c:v>-14.45065031365543</c:v>
                </c:pt>
                <c:pt idx="106">
                  <c:v>-14.658017504040151</c:v>
                </c:pt>
                <c:pt idx="107">
                  <c:v>-14.862542527972789</c:v>
                </c:pt>
                <c:pt idx="108">
                  <c:v>-15.064294662485523</c:v>
                </c:pt>
                <c:pt idx="109">
                  <c:v>-15.263340630100039</c:v>
                </c:pt>
                <c:pt idx="110">
                  <c:v>-15.459744725624224</c:v>
                </c:pt>
                <c:pt idx="111">
                  <c:v>-15.653568935108343</c:v>
                </c:pt>
                <c:pt idx="112">
                  <c:v>-15.844873047538394</c:v>
                </c:pt>
                <c:pt idx="113">
                  <c:v>-16.033714759795259</c:v>
                </c:pt>
                <c:pt idx="114">
                  <c:v>-16.22014977536341</c:v>
                </c:pt>
                <c:pt idx="115">
                  <c:v>-16.40423189723294</c:v>
                </c:pt>
                <c:pt idx="116">
                  <c:v>-16.586013115402018</c:v>
                </c:pt>
                <c:pt idx="117">
                  <c:v>-16.765543689353809</c:v>
                </c:pt>
                <c:pt idx="118">
                  <c:v>-16.942872225851954</c:v>
                </c:pt>
                <c:pt idx="119">
                  <c:v>-17.118045752371323</c:v>
                </c:pt>
                <c:pt idx="120">
                  <c:v>-17.291109786455976</c:v>
                </c:pt>
                <c:pt idx="121">
                  <c:v>-17.462108401273632</c:v>
                </c:pt>
                <c:pt idx="122">
                  <c:v>-17.631084287615217</c:v>
                </c:pt>
                <c:pt idx="123">
                  <c:v>-17.798078812569468</c:v>
                </c:pt>
                <c:pt idx="124">
                  <c:v>-17.963132075085007</c:v>
                </c:pt>
                <c:pt idx="125">
                  <c:v>-18.126282958616883</c:v>
                </c:pt>
                <c:pt idx="126">
                  <c:v>-18.28756918103991</c:v>
                </c:pt>
                <c:pt idx="127">
                  <c:v>-18.447027341997988</c:v>
                </c:pt>
                <c:pt idx="128">
                  <c:v>-18.604692967846542</c:v>
                </c:pt>
                <c:pt idx="129">
                  <c:v>-18.760600554333898</c:v>
                </c:pt>
                <c:pt idx="130">
                  <c:v>-18.914783607157261</c:v>
                </c:pt>
                <c:pt idx="131">
                  <c:v>-19.06727468051956</c:v>
                </c:pt>
                <c:pt idx="132">
                  <c:v>-19.218105413804686</c:v>
                </c:pt>
                <c:pt idx="133">
                  <c:v>-19.367306566480565</c:v>
                </c:pt>
                <c:pt idx="134">
                  <c:v>-19.514908051332355</c:v>
                </c:pt>
                <c:pt idx="135">
                  <c:v>-19.660938966120945</c:v>
                </c:pt>
                <c:pt idx="136">
                  <c:v>-19.805427623755854</c:v>
                </c:pt>
                <c:pt idx="137">
                  <c:v>-19.948401581065664</c:v>
                </c:pt>
                <c:pt idx="138">
                  <c:v>-20.089887666243808</c:v>
                </c:pt>
                <c:pt idx="139">
                  <c:v>-20.229912005042472</c:v>
                </c:pt>
                <c:pt idx="140">
                  <c:v>-20.368500045782785</c:v>
                </c:pt>
                <c:pt idx="141">
                  <c:v>-20.505676583245126</c:v>
                </c:pt>
                <c:pt idx="142">
                  <c:v>-20.64146578149942</c:v>
                </c:pt>
                <c:pt idx="143">
                  <c:v>-20.775891195731631</c:v>
                </c:pt>
                <c:pt idx="144">
                  <c:v>-20.908975793119026</c:v>
                </c:pt>
                <c:pt idx="145">
                  <c:v>-21.040741972803882</c:v>
                </c:pt>
                <c:pt idx="146">
                  <c:v>-21.171211585012042</c:v>
                </c:pt>
                <c:pt idx="147">
                  <c:v>-21.300405949360069</c:v>
                </c:pt>
                <c:pt idx="148">
                  <c:v>-21.428345872392175</c:v>
                </c:pt>
                <c:pt idx="149">
                  <c:v>-21.555051664385655</c:v>
                </c:pt>
                <c:pt idx="150">
                  <c:v>-21.680543155461294</c:v>
                </c:pt>
                <c:pt idx="151">
                  <c:v>-21.804839711033061</c:v>
                </c:pt>
                <c:pt idx="152">
                  <c:v>-21.927960246629571</c:v>
                </c:pt>
                <c:pt idx="153">
                  <c:v>-22.049923242117842</c:v>
                </c:pt>
                <c:pt idx="154">
                  <c:v>-22.170746755358174</c:v>
                </c:pt>
                <c:pt idx="155">
                  <c:v>-22.290448435317337</c:v>
                </c:pt>
                <c:pt idx="156">
                  <c:v>-22.409045534665925</c:v>
                </c:pt>
                <c:pt idx="157">
                  <c:v>-22.526554921883978</c:v>
                </c:pt>
                <c:pt idx="158">
                  <c:v>-22.642993092898017</c:v>
                </c:pt>
                <c:pt idx="159">
                  <c:v>-22.758376182271135</c:v>
                </c:pt>
                <c:pt idx="160">
                  <c:v>-22.87271997396676</c:v>
                </c:pt>
                <c:pt idx="161">
                  <c:v>-22.986039911705497</c:v>
                </c:pt>
                <c:pt idx="162">
                  <c:v>-23.098351108933549</c:v>
                </c:pt>
                <c:pt idx="163">
                  <c:v>-23.209668358420181</c:v>
                </c:pt>
                <c:pt idx="164">
                  <c:v>-23.320006141500748</c:v>
                </c:pt>
                <c:pt idx="165">
                  <c:v>-23.429378636981006</c:v>
                </c:pt>
                <c:pt idx="166">
                  <c:v>-23.537799729717683</c:v>
                </c:pt>
                <c:pt idx="167">
                  <c:v>-23.645283018889309</c:v>
                </c:pt>
                <c:pt idx="168">
                  <c:v>-23.751841825970846</c:v>
                </c:pt>
                <c:pt idx="169">
                  <c:v>-23.857489202424826</c:v>
                </c:pt>
                <c:pt idx="170">
                  <c:v>-23.962237937121095</c:v>
                </c:pt>
                <c:pt idx="171">
                  <c:v>-24.066100563496711</c:v>
                </c:pt>
                <c:pt idx="172">
                  <c:v>-24.169089366466949</c:v>
                </c:pt>
                <c:pt idx="173">
                  <c:v>-24.271216389097738</c:v>
                </c:pt>
                <c:pt idx="174">
                  <c:v>-24.372493439049606</c:v>
                </c:pt>
                <c:pt idx="175">
                  <c:v>-24.472932094802399</c:v>
                </c:pt>
                <c:pt idx="176">
                  <c:v>-24.572543711669855</c:v>
                </c:pt>
                <c:pt idx="177">
                  <c:v>-24.671339427612526</c:v>
                </c:pt>
                <c:pt idx="178">
                  <c:v>-24.769330168857287</c:v>
                </c:pt>
                <c:pt idx="179">
                  <c:v>-24.866526655331075</c:v>
                </c:pt>
                <c:pt idx="180">
                  <c:v>-24.962939405916387</c:v>
                </c:pt>
                <c:pt idx="181">
                  <c:v>-25.058578743535524</c:v>
                </c:pt>
                <c:pt idx="182">
                  <c:v>-25.153454800070335</c:v>
                </c:pt>
                <c:pt idx="183">
                  <c:v>-25.247577521123937</c:v>
                </c:pt>
                <c:pt idx="184">
                  <c:v>-25.340956670630476</c:v>
                </c:pt>
                <c:pt idx="185">
                  <c:v>-25.43360183531885</c:v>
                </c:pt>
                <c:pt idx="186">
                  <c:v>-25.525522429035988</c:v>
                </c:pt>
                <c:pt idx="187">
                  <c:v>-25.616727696935016</c:v>
                </c:pt>
                <c:pt idx="188">
                  <c:v>-25.707226719533406</c:v>
                </c:pt>
                <c:pt idx="189">
                  <c:v>-25.797028416646089</c:v>
                </c:pt>
                <c:pt idx="190">
                  <c:v>-25.886141551198072</c:v>
                </c:pt>
                <c:pt idx="191">
                  <c:v>-25.974574732921173</c:v>
                </c:pt>
                <c:pt idx="192">
                  <c:v>-26.062336421939015</c:v>
                </c:pt>
                <c:pt idx="193">
                  <c:v>-26.149434932244514</c:v>
                </c:pt>
                <c:pt idx="194">
                  <c:v>-26.235878435073655</c:v>
                </c:pt>
                <c:pt idx="195">
                  <c:v>-26.321674962179408</c:v>
                </c:pt>
                <c:pt idx="196">
                  <c:v>-26.406832409009336</c:v>
                </c:pt>
                <c:pt idx="197">
                  <c:v>-26.49135853779033</c:v>
                </c:pt>
                <c:pt idx="198">
                  <c:v>-26.575260980523815</c:v>
                </c:pt>
                <c:pt idx="199">
                  <c:v>-26.658547241894542</c:v>
                </c:pt>
                <c:pt idx="200">
                  <c:v>-26.741224702096055</c:v>
                </c:pt>
                <c:pt idx="201">
                  <c:v>-26.823300619575726</c:v>
                </c:pt>
                <c:pt idx="202">
                  <c:v>-26.904782133702088</c:v>
                </c:pt>
                <c:pt idx="203">
                  <c:v>-26.98567626735727</c:v>
                </c:pt>
                <c:pt idx="204">
                  <c:v>-27.065989929456975</c:v>
                </c:pt>
                <c:pt idx="205">
                  <c:v>-27.14572991740059</c:v>
                </c:pt>
                <c:pt idx="206">
                  <c:v>-27.224902919453683</c:v>
                </c:pt>
                <c:pt idx="207">
                  <c:v>-27.303515517065264</c:v>
                </c:pt>
                <c:pt idx="208">
                  <c:v>-27.381574187121927</c:v>
                </c:pt>
                <c:pt idx="209">
                  <c:v>-27.459085304141016</c:v>
                </c:pt>
                <c:pt idx="210">
                  <c:v>-27.536055142404805</c:v>
                </c:pt>
                <c:pt idx="211">
                  <c:v>-27.612489878037675</c:v>
                </c:pt>
                <c:pt idx="212">
                  <c:v>-27.688395591028083</c:v>
                </c:pt>
                <c:pt idx="213">
                  <c:v>-27.76377826719721</c:v>
                </c:pt>
                <c:pt idx="214">
                  <c:v>-27.838643800115968</c:v>
                </c:pt>
                <c:pt idx="215">
                  <c:v>-27.912997992971945</c:v>
                </c:pt>
                <c:pt idx="216">
                  <c:v>-27.986846560388109</c:v>
                </c:pt>
                <c:pt idx="217">
                  <c:v>-28.060195130194522</c:v>
                </c:pt>
                <c:pt idx="218">
                  <c:v>-28.133049245154822</c:v>
                </c:pt>
                <c:pt idx="219">
                  <c:v>-28.205414364648682</c:v>
                </c:pt>
                <c:pt idx="220">
                  <c:v>-28.277295866311736</c:v>
                </c:pt>
                <c:pt idx="221">
                  <c:v>-28.348699047634284</c:v>
                </c:pt>
                <c:pt idx="222">
                  <c:v>-28.419629127520025</c:v>
                </c:pt>
                <c:pt idx="223">
                  <c:v>-28.490091247806028</c:v>
                </c:pt>
                <c:pt idx="224">
                  <c:v>-28.560090474745223</c:v>
                </c:pt>
                <c:pt idx="225">
                  <c:v>-28.62963180045238</c:v>
                </c:pt>
                <c:pt idx="226">
                  <c:v>-29.300908471108343</c:v>
                </c:pt>
                <c:pt idx="227">
                  <c:v>-29.931386101592512</c:v>
                </c:pt>
                <c:pt idx="228">
                  <c:v>-30.525026065261621</c:v>
                </c:pt>
                <c:pt idx="229">
                  <c:v>-31.085289965321429</c:v>
                </c:pt>
                <c:pt idx="230">
                  <c:v>-31.615217445776228</c:v>
                </c:pt>
                <c:pt idx="231">
                  <c:v>-32.117489338002649</c:v>
                </c:pt>
                <c:pt idx="232">
                  <c:v>-32.594479419894412</c:v>
                </c:pt>
                <c:pt idx="233">
                  <c:v>-33.048297221337187</c:v>
                </c:pt>
                <c:pt idx="234">
                  <c:v>-33.480823708728181</c:v>
                </c:pt>
                <c:pt idx="235">
                  <c:v>-33.893741246681564</c:v>
                </c:pt>
                <c:pt idx="236">
                  <c:v>-34.288558916589899</c:v>
                </c:pt>
                <c:pt idx="237">
                  <c:v>-34.666634035314601</c:v>
                </c:pt>
                <c:pt idx="238">
                  <c:v>-35.029190539648319</c:v>
                </c:pt>
                <c:pt idx="239">
                  <c:v>-35.37733476716059</c:v>
                </c:pt>
                <c:pt idx="240">
                  <c:v>-35.712069060248915</c:v>
                </c:pt>
                <c:pt idx="241">
                  <c:v>-36.034303539605538</c:v>
                </c:pt>
                <c:pt idx="242">
                  <c:v>-36.344866330079313</c:v>
                </c:pt>
                <c:pt idx="243">
                  <c:v>-36.644512471854881</c:v>
                </c:pt>
                <c:pt idx="244">
                  <c:v>-36.933931709899824</c:v>
                </c:pt>
                <c:pt idx="245">
                  <c:v>-37.213755322455356</c:v>
                </c:pt>
                <c:pt idx="246">
                  <c:v>-37.484562123253426</c:v>
                </c:pt>
                <c:pt idx="247">
                  <c:v>-37.746883750837384</c:v>
                </c:pt>
                <c:pt idx="248">
                  <c:v>-38.001209340856249</c:v>
                </c:pt>
                <c:pt idx="249">
                  <c:v>-38.247989662732166</c:v>
                </c:pt>
                <c:pt idx="250">
                  <c:v>-38.487640790076874</c:v>
                </c:pt>
                <c:pt idx="251">
                  <c:v>-38.720547364192292</c:v>
                </c:pt>
                <c:pt idx="252">
                  <c:v>-38.947065501567899</c:v>
                </c:pt>
                <c:pt idx="253">
                  <c:v>-39.167525389192846</c:v>
                </c:pt>
                <c:pt idx="254">
                  <c:v>-39.382233605501682</c:v>
                </c:pt>
                <c:pt idx="255">
                  <c:v>-39.591475199681184</c:v>
                </c:pt>
                <c:pt idx="256">
                  <c:v>-39.795515557731463</c:v>
                </c:pt>
                <c:pt idx="257">
                  <c:v>-39.994602079971784</c:v>
                </c:pt>
                <c:pt idx="258">
                  <c:v>-40.188965691510894</c:v>
                </c:pt>
                <c:pt idx="259">
                  <c:v>-40.378822204477672</c:v>
                </c:pt>
                <c:pt idx="260">
                  <c:v>-40.564373548463024</c:v>
                </c:pt>
                <c:pt idx="261">
                  <c:v>-40.745808883599572</c:v>
                </c:pt>
                <c:pt idx="262">
                  <c:v>-40.923305608954472</c:v>
                </c:pt>
                <c:pt idx="263">
                  <c:v>-41.097030277392285</c:v>
                </c:pt>
                <c:pt idx="264">
                  <c:v>-41.267139426746041</c:v>
                </c:pt>
                <c:pt idx="265">
                  <c:v>-41.433780335985652</c:v>
                </c:pt>
                <c:pt idx="266">
                  <c:v>-41.597091714071851</c:v>
                </c:pt>
                <c:pt idx="267">
                  <c:v>-41.757204328308077</c:v>
                </c:pt>
                <c:pt idx="268">
                  <c:v>-41.914241578236869</c:v>
                </c:pt>
                <c:pt idx="269">
                  <c:v>-42.068320020455459</c:v>
                </c:pt>
                <c:pt idx="270">
                  <c:v>-42.219549849134957</c:v>
                </c:pt>
                <c:pt idx="271">
                  <c:v>-42.368035336508747</c:v>
                </c:pt>
                <c:pt idx="272">
                  <c:v>-42.513875237137981</c:v>
                </c:pt>
                <c:pt idx="273">
                  <c:v>-42.657163159358447</c:v>
                </c:pt>
                <c:pt idx="274">
                  <c:v>-42.797987906956614</c:v>
                </c:pt>
                <c:pt idx="275">
                  <c:v>-42.936433793806394</c:v>
                </c:pt>
                <c:pt idx="276">
                  <c:v>-43.072580933918701</c:v>
                </c:pt>
                <c:pt idx="277">
                  <c:v>-43.20650550910748</c:v>
                </c:pt>
                <c:pt idx="278">
                  <c:v>-43.338280016254693</c:v>
                </c:pt>
                <c:pt idx="279">
                  <c:v>-43.467973495960869</c:v>
                </c:pt>
                <c:pt idx="280">
                  <c:v>-43.595651744192274</c:v>
                </c:pt>
                <c:pt idx="281">
                  <c:v>-43.721377508379803</c:v>
                </c:pt>
                <c:pt idx="282">
                  <c:v>-43.845210669285024</c:v>
                </c:pt>
                <c:pt idx="283">
                  <c:v>-43.967208409824082</c:v>
                </c:pt>
                <c:pt idx="284">
                  <c:v>-44.087425371928376</c:v>
                </c:pt>
                <c:pt idx="285">
                  <c:v>-44.205913802420511</c:v>
                </c:pt>
                <c:pt idx="286">
                  <c:v>-44.322723688794426</c:v>
                </c:pt>
                <c:pt idx="287">
                  <c:v>-44.437902885707459</c:v>
                </c:pt>
                <c:pt idx="288">
                  <c:v>-44.551497232919544</c:v>
                </c:pt>
                <c:pt idx="289">
                  <c:v>-44.663550665349078</c:v>
                </c:pt>
                <c:pt idx="290">
                  <c:v>-44.774105315856183</c:v>
                </c:pt>
                <c:pt idx="291">
                  <c:v>-44.883201611310596</c:v>
                </c:pt>
                <c:pt idx="292">
                  <c:v>-44.990878362453266</c:v>
                </c:pt>
                <c:pt idx="293">
                  <c:v>-45.097172848017316</c:v>
                </c:pt>
                <c:pt idx="294">
                  <c:v>-45.202120893534456</c:v>
                </c:pt>
                <c:pt idx="295">
                  <c:v>-45.30575694521729</c:v>
                </c:pt>
                <c:pt idx="296">
                  <c:v>-45.40811413927549</c:v>
                </c:pt>
                <c:pt idx="297">
                  <c:v>-45.509224366994438</c:v>
                </c:pt>
                <c:pt idx="298">
                  <c:v>-45.609118335878065</c:v>
                </c:pt>
                <c:pt idx="299">
                  <c:v>-45.707825627133445</c:v>
                </c:pt>
                <c:pt idx="300">
                  <c:v>-45.805374749752438</c:v>
                </c:pt>
                <c:pt idx="301">
                  <c:v>-45.901793191425433</c:v>
                </c:pt>
                <c:pt idx="302">
                  <c:v>-45.997107466504033</c:v>
                </c:pt>
                <c:pt idx="303">
                  <c:v>-46.091343161212414</c:v>
                </c:pt>
                <c:pt idx="304">
                  <c:v>-46.184524976291968</c:v>
                </c:pt>
                <c:pt idx="305">
                  <c:v>-46.276676767249739</c:v>
                </c:pt>
                <c:pt idx="306">
                  <c:v>-46.367821582368066</c:v>
                </c:pt>
                <c:pt idx="307">
                  <c:v>-46.457981698621531</c:v>
                </c:pt>
                <c:pt idx="308">
                  <c:v>-46.547178655635932</c:v>
                </c:pt>
                <c:pt idx="309">
                  <c:v>-46.635433287814713</c:v>
                </c:pt>
                <c:pt idx="310">
                  <c:v>-46.722765754748494</c:v>
                </c:pt>
                <c:pt idx="311">
                  <c:v>-46.809195570015731</c:v>
                </c:pt>
                <c:pt idx="312">
                  <c:v>-46.894741628474172</c:v>
                </c:pt>
                <c:pt idx="313">
                  <c:v>-46.979422232136095</c:v>
                </c:pt>
                <c:pt idx="314">
                  <c:v>-47.063255114713769</c:v>
                </c:pt>
                <c:pt idx="315">
                  <c:v>-47.146257464915358</c:v>
                </c:pt>
                <c:pt idx="316">
                  <c:v>-47.228445948566112</c:v>
                </c:pt>
                <c:pt idx="317">
                  <c:v>-47.309836729624728</c:v>
                </c:pt>
                <c:pt idx="318">
                  <c:v>-47.390445490159493</c:v>
                </c:pt>
                <c:pt idx="319">
                  <c:v>-47.470287449345207</c:v>
                </c:pt>
                <c:pt idx="320">
                  <c:v>-47.549377381537269</c:v>
                </c:pt>
                <c:pt idx="321">
                  <c:v>-47.627729633475667</c:v>
                </c:pt>
                <c:pt idx="322">
                  <c:v>-47.705358140668579</c:v>
                </c:pt>
                <c:pt idx="323">
                  <c:v>-47.782276443001308</c:v>
                </c:pt>
                <c:pt idx="324">
                  <c:v>-47.858497699614198</c:v>
                </c:pt>
                <c:pt idx="325">
                  <c:v>-47.934034703089651</c:v>
                </c:pt>
                <c:pt idx="326">
                  <c:v>-48.00889989298625</c:v>
                </c:pt>
                <c:pt idx="327">
                  <c:v>-48.083105368755511</c:v>
                </c:pt>
                <c:pt idx="328">
                  <c:v>-48.156662902074444</c:v>
                </c:pt>
                <c:pt idx="329">
                  <c:v>-48.229583948625283</c:v>
                </c:pt>
                <c:pt idx="330">
                  <c:v>-48.301879659351584</c:v>
                </c:pt>
                <c:pt idx="331">
                  <c:v>-48.373560891218254</c:v>
                </c:pt>
                <c:pt idx="332">
                  <c:v>-48.444638217501499</c:v>
                </c:pt>
                <c:pt idx="333">
                  <c:v>-48.515121937632806</c:v>
                </c:pt>
                <c:pt idx="334">
                  <c:v>-48.585022086619929</c:v>
                </c:pt>
                <c:pt idx="335">
                  <c:v>-48.654348444066535</c:v>
                </c:pt>
                <c:pt idx="336">
                  <c:v>-48.723110542810488</c:v>
                </c:pt>
                <c:pt idx="337">
                  <c:v>-48.791317677200247</c:v>
                </c:pt>
                <c:pt idx="338">
                  <c:v>-48.858978911026924</c:v>
                </c:pt>
                <c:pt idx="339">
                  <c:v>-48.926103085129412</c:v>
                </c:pt>
                <c:pt idx="340">
                  <c:v>-48.992698824688233</c:v>
                </c:pt>
                <c:pt idx="341">
                  <c:v>-49.058774546223461</c:v>
                </c:pt>
                <c:pt idx="342">
                  <c:v>-49.124338464310775</c:v>
                </c:pt>
                <c:pt idx="343">
                  <c:v>-49.189398598029271</c:v>
                </c:pt>
                <c:pt idx="344">
                  <c:v>-49.253962777153674</c:v>
                </c:pt>
                <c:pt idx="345">
                  <c:v>-49.31803864810302</c:v>
                </c:pt>
                <c:pt idx="346">
                  <c:v>-49.381633679657128</c:v>
                </c:pt>
                <c:pt idx="347">
                  <c:v>-49.444755168451721</c:v>
                </c:pt>
                <c:pt idx="348">
                  <c:v>-49.507410244262303</c:v>
                </c:pt>
                <c:pt idx="349">
                  <c:v>-49.569605875086538</c:v>
                </c:pt>
                <c:pt idx="350">
                  <c:v>-49.631348872034067</c:v>
                </c:pt>
                <c:pt idx="351">
                  <c:v>-49.692645894032772</c:v>
                </c:pt>
                <c:pt idx="352">
                  <c:v>-49.753503452359318</c:v>
                </c:pt>
                <c:pt idx="353">
                  <c:v>-49.813927915002061</c:v>
                </c:pt>
                <c:pt idx="354">
                  <c:v>-49.873925510863579</c:v>
                </c:pt>
                <c:pt idx="355">
                  <c:v>-49.93350233380977</c:v>
                </c:pt>
                <c:pt idx="356">
                  <c:v>-49.99266434657244</c:v>
                </c:pt>
                <c:pt idx="357">
                  <c:v>-50.051417384511325</c:v>
                </c:pt>
                <c:pt idx="358">
                  <c:v>-50.109767159241969</c:v>
                </c:pt>
                <c:pt idx="359">
                  <c:v>-50.167719262134838</c:v>
                </c:pt>
                <c:pt idx="360">
                  <c:v>-50.225279167691291</c:v>
                </c:pt>
                <c:pt idx="361">
                  <c:v>-50.282452236801511</c:v>
                </c:pt>
                <c:pt idx="362">
                  <c:v>-50.339243719889325</c:v>
                </c:pt>
                <c:pt idx="363">
                  <c:v>-50.395658759948631</c:v>
                </c:pt>
                <c:pt idx="364">
                  <c:v>-50.451702395475763</c:v>
                </c:pt>
                <c:pt idx="365">
                  <c:v>-50.50737956330223</c:v>
                </c:pt>
                <c:pt idx="366">
                  <c:v>-50.562695101331713</c:v>
                </c:pt>
                <c:pt idx="367">
                  <c:v>-50.617653751185252</c:v>
                </c:pt>
                <c:pt idx="368">
                  <c:v>-50.672260160758249</c:v>
                </c:pt>
                <c:pt idx="369">
                  <c:v>-50.726518886692887</c:v>
                </c:pt>
                <c:pt idx="370">
                  <c:v>-50.780434396769174</c:v>
                </c:pt>
                <c:pt idx="371">
                  <c:v>-50.834011072217919</c:v>
                </c:pt>
                <c:pt idx="372">
                  <c:v>-50.887253209958594</c:v>
                </c:pt>
                <c:pt idx="373">
                  <c:v>-50.940165024765136</c:v>
                </c:pt>
                <c:pt idx="374">
                  <c:v>-50.992750651362215</c:v>
                </c:pt>
                <c:pt idx="375">
                  <c:v>-51.045014146454889</c:v>
                </c:pt>
                <c:pt idx="376">
                  <c:v>-51.09695949069404</c:v>
                </c:pt>
                <c:pt idx="377">
                  <c:v>-51.148590590580028</c:v>
                </c:pt>
                <c:pt idx="378">
                  <c:v>-51.1999112803069</c:v>
                </c:pt>
                <c:pt idx="379">
                  <c:v>-51.250925323549367</c:v>
                </c:pt>
                <c:pt idx="380">
                  <c:v>-51.301636415194672</c:v>
                </c:pt>
                <c:pt idx="381">
                  <c:v>-51.352048183021417</c:v>
                </c:pt>
                <c:pt idx="382">
                  <c:v>-51.402164189327159</c:v>
                </c:pt>
                <c:pt idx="383">
                  <c:v>-51.451987932506846</c:v>
                </c:pt>
                <c:pt idx="384">
                  <c:v>-51.501522848583676</c:v>
                </c:pt>
                <c:pt idx="385">
                  <c:v>-51.550772312694235</c:v>
                </c:pt>
                <c:pt idx="386">
                  <c:v>-51.599739640529435</c:v>
                </c:pt>
                <c:pt idx="387">
                  <c:v>-51.648428089732931</c:v>
                </c:pt>
                <c:pt idx="388">
                  <c:v>-51.696840861258401</c:v>
                </c:pt>
                <c:pt idx="389">
                  <c:v>-51.744981100687241</c:v>
                </c:pt>
                <c:pt idx="390">
                  <c:v>-51.79285189950803</c:v>
                </c:pt>
                <c:pt idx="391">
                  <c:v>-51.840456296358994</c:v>
                </c:pt>
                <c:pt idx="392">
                  <c:v>-51.887797278234942</c:v>
                </c:pt>
                <c:pt idx="393">
                  <c:v>-51.934877781659665</c:v>
                </c:pt>
                <c:pt idx="394">
                  <c:v>-51.981700693825161</c:v>
                </c:pt>
                <c:pt idx="395">
                  <c:v>-52.028268853698727</c:v>
                </c:pt>
                <c:pt idx="396">
                  <c:v>-52.074585053099</c:v>
                </c:pt>
                <c:pt idx="397">
                  <c:v>-52.120652037742019</c:v>
                </c:pt>
                <c:pt idx="398">
                  <c:v>-52.166472508258281</c:v>
                </c:pt>
                <c:pt idx="399">
                  <c:v>-52.212049121181749</c:v>
                </c:pt>
                <c:pt idx="400">
                  <c:v>-52.257384489911836</c:v>
                </c:pt>
                <c:pt idx="401">
                  <c:v>-52.302481185649022</c:v>
                </c:pt>
                <c:pt idx="402">
                  <c:v>-52.347341738305275</c:v>
                </c:pt>
                <c:pt idx="403">
                  <c:v>-52.39196863738978</c:v>
                </c:pt>
                <c:pt idx="404">
                  <c:v>-52.436364332871051</c:v>
                </c:pt>
                <c:pt idx="405">
                  <c:v>-52.480531236015949</c:v>
                </c:pt>
                <c:pt idx="406">
                  <c:v>-52.524471720206535</c:v>
                </c:pt>
                <c:pt idx="407">
                  <c:v>-52.568188121735304</c:v>
                </c:pt>
                <c:pt idx="408">
                  <c:v>-52.611682740579589</c:v>
                </c:pt>
                <c:pt idx="409">
                  <c:v>-52.65495784115582</c:v>
                </c:pt>
                <c:pt idx="410">
                  <c:v>-52.698015653054036</c:v>
                </c:pt>
                <c:pt idx="411">
                  <c:v>-52.740858371753617</c:v>
                </c:pt>
                <c:pt idx="412">
                  <c:v>-52.783488159320491</c:v>
                </c:pt>
                <c:pt idx="413">
                  <c:v>-52.825907145086646</c:v>
                </c:pt>
                <c:pt idx="414">
                  <c:v>-52.868117426312239</c:v>
                </c:pt>
                <c:pt idx="415">
                  <c:v>-52.910121068831053</c:v>
                </c:pt>
                <c:pt idx="416">
                  <c:v>-52.951920107679726</c:v>
                </c:pt>
                <c:pt idx="417">
                  <c:v>-52.99351654771111</c:v>
                </c:pt>
                <c:pt idx="418">
                  <c:v>-53.034912364192522</c:v>
                </c:pt>
                <c:pt idx="419">
                  <c:v>-53.076109503389056</c:v>
                </c:pt>
                <c:pt idx="420">
                  <c:v>-53.117109883132542</c:v>
                </c:pt>
                <c:pt idx="421">
                  <c:v>-53.157915393376541</c:v>
                </c:pt>
                <c:pt idx="422">
                  <c:v>-53.198527896737872</c:v>
                </c:pt>
                <c:pt idx="423">
                  <c:v>-53.238949229024826</c:v>
                </c:pt>
                <c:pt idx="424">
                  <c:v>-53.279181199752827</c:v>
                </c:pt>
                <c:pt idx="425">
                  <c:v>-53.319225592647484</c:v>
                </c:pt>
                <c:pt idx="426">
                  <c:v>-53.359084166135759</c:v>
                </c:pt>
                <c:pt idx="427">
                  <c:v>-53.39875865382534</c:v>
                </c:pt>
                <c:pt idx="428">
                  <c:v>-53.438250764972743</c:v>
                </c:pt>
                <c:pt idx="429">
                  <c:v>-53.477562184940297</c:v>
                </c:pt>
                <c:pt idx="430">
                  <c:v>-53.516694575642418</c:v>
                </c:pt>
                <c:pt idx="431">
                  <c:v>-53.555649575981533</c:v>
                </c:pt>
                <c:pt idx="432">
                  <c:v>-53.59442880227374</c:v>
                </c:pt>
                <c:pt idx="433">
                  <c:v>-53.633033848664752</c:v>
                </c:pt>
                <c:pt idx="434">
                  <c:v>-53.671466287536155</c:v>
                </c:pt>
                <c:pt idx="435">
                  <c:v>-53.709727669902435</c:v>
                </c:pt>
                <c:pt idx="436">
                  <c:v>-53.747819525798917</c:v>
                </c:pt>
                <c:pt idx="437">
                  <c:v>-53.785743364660867</c:v>
                </c:pt>
                <c:pt idx="438">
                  <c:v>-53.823500675694049</c:v>
                </c:pt>
                <c:pt idx="439">
                  <c:v>-53.861092928236971</c:v>
                </c:pt>
                <c:pt idx="440">
                  <c:v>-53.898521572115001</c:v>
                </c:pt>
                <c:pt idx="441">
                  <c:v>-53.935788037986534</c:v>
                </c:pt>
                <c:pt idx="442">
                  <c:v>-53.972893737681588</c:v>
                </c:pt>
                <c:pt idx="443">
                  <c:v>-54.009840064532796</c:v>
                </c:pt>
                <c:pt idx="444">
                  <c:v>-54.046628393699237</c:v>
                </c:pt>
                <c:pt idx="445">
                  <c:v>-54.083260082483079</c:v>
                </c:pt>
                <c:pt idx="446">
                  <c:v>-54.119736470639367</c:v>
                </c:pt>
                <c:pt idx="447">
                  <c:v>-54.156058880679112</c:v>
                </c:pt>
                <c:pt idx="448">
                  <c:v>-54.192228618165771</c:v>
                </c:pt>
                <c:pt idx="449">
                  <c:v>-54.228246972005387</c:v>
                </c:pt>
                <c:pt idx="450">
                  <c:v>-54.264115214730538</c:v>
                </c:pt>
                <c:pt idx="451">
                  <c:v>-54.299834602778176</c:v>
                </c:pt>
                <c:pt idx="452">
                  <c:v>-54.335406376761611</c:v>
                </c:pt>
                <c:pt idx="453">
                  <c:v>-54.370831761736738</c:v>
                </c:pt>
                <c:pt idx="454">
                  <c:v>-54.406111967462643</c:v>
                </c:pt>
                <c:pt idx="455">
                  <c:v>-54.441248188656772</c:v>
                </c:pt>
                <c:pt idx="456">
                  <c:v>-54.476241605244752</c:v>
                </c:pt>
                <c:pt idx="457">
                  <c:v>-54.511093382605054</c:v>
                </c:pt>
                <c:pt idx="458">
                  <c:v>-54.545804671808554</c:v>
                </c:pt>
                <c:pt idx="459">
                  <c:v>-54.580376609853225</c:v>
                </c:pt>
                <c:pt idx="460">
                  <c:v>-54.61481031989387</c:v>
                </c:pt>
                <c:pt idx="461">
                  <c:v>-54.649106911467385</c:v>
                </c:pt>
                <c:pt idx="462">
                  <c:v>-54.683267480713226</c:v>
                </c:pt>
                <c:pt idx="463">
                  <c:v>-54.717293110589523</c:v>
                </c:pt>
                <c:pt idx="464">
                  <c:v>-54.751184871084817</c:v>
                </c:pt>
                <c:pt idx="465">
                  <c:v>-54.784943819425536</c:v>
                </c:pt>
                <c:pt idx="466">
                  <c:v>-54.818571000279292</c:v>
                </c:pt>
                <c:pt idx="467">
                  <c:v>-54.85206744595417</c:v>
                </c:pt>
                <c:pt idx="468">
                  <c:v>-54.88543417659406</c:v>
                </c:pt>
                <c:pt idx="469">
                  <c:v>-54.918672200370068</c:v>
                </c:pt>
                <c:pt idx="470">
                  <c:v>-54.951782513668228</c:v>
                </c:pt>
                <c:pt idx="471">
                  <c:v>-54.984766101273522</c:v>
                </c:pt>
                <c:pt idx="472">
                  <c:v>-55.017623936550244</c:v>
                </c:pt>
                <c:pt idx="473">
                  <c:v>-55.05035698161894</c:v>
                </c:pt>
                <c:pt idx="474">
                  <c:v>-55.082966187529856</c:v>
                </c:pt>
                <c:pt idx="475">
                  <c:v>-55.115452494433072</c:v>
                </c:pt>
                <c:pt idx="476">
                  <c:v>-55.147816831745359</c:v>
                </c:pt>
                <c:pt idx="477">
                  <c:v>-55.180060118313833</c:v>
                </c:pt>
                <c:pt idx="478">
                  <c:v>-55.212183262576517</c:v>
                </c:pt>
                <c:pt idx="479">
                  <c:v>-55.244187162719747</c:v>
                </c:pt>
                <c:pt idx="480">
                  <c:v>-55.276072706832807</c:v>
                </c:pt>
                <c:pt idx="481">
                  <c:v>-55.30784077305939</c:v>
                </c:pt>
                <c:pt idx="482">
                  <c:v>-55.339492229746448</c:v>
                </c:pt>
                <c:pt idx="483">
                  <c:v>-55.371027935590071</c:v>
                </c:pt>
                <c:pt idx="484">
                  <c:v>-55.402448739778805</c:v>
                </c:pt>
                <c:pt idx="485">
                  <c:v>-55.433755482134188</c:v>
                </c:pt>
                <c:pt idx="486">
                  <c:v>-55.464948993248733</c:v>
                </c:pt>
                <c:pt idx="487">
                  <c:v>-55.496030094621403</c:v>
                </c:pt>
                <c:pt idx="488">
                  <c:v>-55.526999598790525</c:v>
                </c:pt>
                <c:pt idx="489">
                  <c:v>-55.557858309464322</c:v>
                </c:pt>
                <c:pt idx="490">
                  <c:v>-55.588607021649075</c:v>
                </c:pt>
                <c:pt idx="491">
                  <c:v>-55.619246521774919</c:v>
                </c:pt>
                <c:pt idx="492">
                  <c:v>-55.649777587819401</c:v>
                </c:pt>
                <c:pt idx="493">
                  <c:v>-55.680200989428783</c:v>
                </c:pt>
                <c:pt idx="494">
                  <c:v>-55.710517488037183</c:v>
                </c:pt>
                <c:pt idx="495">
                  <c:v>-55.740727836983567</c:v>
                </c:pt>
                <c:pt idx="496">
                  <c:v>-55.770832781626716</c:v>
                </c:pt>
                <c:pt idx="497">
                  <c:v>-55.800833059458043</c:v>
                </c:pt>
                <c:pt idx="498">
                  <c:v>-55.830729400212505</c:v>
                </c:pt>
                <c:pt idx="499">
                  <c:v>-55.860522525977558</c:v>
                </c:pt>
                <c:pt idx="500">
                  <c:v>-55.890213151300124</c:v>
                </c:pt>
                <c:pt idx="501">
                  <c:v>-55.919801983291755</c:v>
                </c:pt>
                <c:pt idx="502">
                  <c:v>-55.949289721731944</c:v>
                </c:pt>
                <c:pt idx="503">
                  <c:v>-55.97867705916962</c:v>
                </c:pt>
                <c:pt idx="504">
                  <c:v>-56.007964681022919</c:v>
                </c:pt>
                <c:pt idx="505">
                  <c:v>-56.037153265677176</c:v>
                </c:pt>
                <c:pt idx="506">
                  <c:v>-56.066243484581364</c:v>
                </c:pt>
                <c:pt idx="507">
                  <c:v>-56.095236002342673</c:v>
                </c:pt>
                <c:pt idx="508">
                  <c:v>-56.124131476819642</c:v>
                </c:pt>
                <c:pt idx="509">
                  <c:v>-56.152930559213701</c:v>
                </c:pt>
                <c:pt idx="510">
                  <c:v>-56.181633894159013</c:v>
                </c:pt>
                <c:pt idx="511">
                  <c:v>-56.210242119810957</c:v>
                </c:pt>
                <c:pt idx="512">
                  <c:v>-56.238755867933101</c:v>
                </c:pt>
                <c:pt idx="513">
                  <c:v>-56.267175763982557</c:v>
                </c:pt>
                <c:pt idx="514">
                  <c:v>-56.295502427194123</c:v>
                </c:pt>
                <c:pt idx="515">
                  <c:v>-56.323736470662915</c:v>
                </c:pt>
                <c:pt idx="516">
                  <c:v>-56.351878501425603</c:v>
                </c:pt>
                <c:pt idx="517">
                  <c:v>-56.379929120540346</c:v>
                </c:pt>
                <c:pt idx="518">
                  <c:v>-56.407888923165423</c:v>
                </c:pt>
                <c:pt idx="519">
                  <c:v>-56.435758498636517</c:v>
                </c:pt>
                <c:pt idx="520">
                  <c:v>-56.463538430542748</c:v>
                </c:pt>
                <c:pt idx="521">
                  <c:v>-56.491229296801549</c:v>
                </c:pt>
                <c:pt idx="522">
                  <c:v>-56.518831669732151</c:v>
                </c:pt>
                <c:pt idx="523">
                  <c:v>-56.546346116128063</c:v>
                </c:pt>
                <c:pt idx="524">
                  <c:v>-56.573773197328222</c:v>
                </c:pt>
                <c:pt idx="525">
                  <c:v>-56.601113469287114</c:v>
                </c:pt>
                <c:pt idx="526">
                  <c:v>-56.628367482643689</c:v>
                </c:pt>
                <c:pt idx="527">
                  <c:v>-56.655535782789244</c:v>
                </c:pt>
                <c:pt idx="528">
                  <c:v>-56.682618909934128</c:v>
                </c:pt>
                <c:pt idx="529">
                  <c:v>-56.70961739917346</c:v>
                </c:pt>
                <c:pt idx="530">
                  <c:v>-56.736531780551822</c:v>
                </c:pt>
                <c:pt idx="531">
                  <c:v>-56.76336257912682</c:v>
                </c:pt>
                <c:pt idx="532">
                  <c:v>-56.790110315031782</c:v>
                </c:pt>
                <c:pt idx="533">
                  <c:v>-56.816775503537343</c:v>
                </c:pt>
                <c:pt idx="534">
                  <c:v>-56.843358655112183</c:v>
                </c:pt>
                <c:pt idx="535">
                  <c:v>-56.869860275482722</c:v>
                </c:pt>
                <c:pt idx="536">
                  <c:v>-56.896280865691928</c:v>
                </c:pt>
                <c:pt idx="537">
                  <c:v>-56.922620922157236</c:v>
                </c:pt>
                <c:pt idx="538">
                  <c:v>-56.948880936727505</c:v>
                </c:pt>
                <c:pt idx="539">
                  <c:v>-56.975061396739157</c:v>
                </c:pt>
                <c:pt idx="540">
                  <c:v>-57.001162785071465</c:v>
                </c:pt>
                <c:pt idx="541">
                  <c:v>-57.027185580200893</c:v>
                </c:pt>
                <c:pt idx="542">
                  <c:v>-57.053130256254732</c:v>
                </c:pt>
                <c:pt idx="543">
                  <c:v>-57.078997283063842</c:v>
                </c:pt>
                <c:pt idx="544">
                  <c:v>-57.104787126214646</c:v>
                </c:pt>
                <c:pt idx="545">
                  <c:v>-57.130500247100215</c:v>
                </c:pt>
                <c:pt idx="546">
                  <c:v>-57.156137102970803</c:v>
                </c:pt>
                <c:pt idx="547">
                  <c:v>-57.181698146983415</c:v>
                </c:pt>
                <c:pt idx="548">
                  <c:v>-57.207183828250699</c:v>
                </c:pt>
                <c:pt idx="549">
                  <c:v>-57.232594591889182</c:v>
                </c:pt>
                <c:pt idx="550">
                  <c:v>-57.257930879066677</c:v>
                </c:pt>
                <c:pt idx="551">
                  <c:v>-57.283193127049032</c:v>
                </c:pt>
                <c:pt idx="552">
                  <c:v>-57.308381769246211</c:v>
                </c:pt>
                <c:pt idx="553">
                  <c:v>-57.333497235257667</c:v>
                </c:pt>
                <c:pt idx="554">
                  <c:v>-57.358539950917049</c:v>
                </c:pt>
                <c:pt idx="555">
                  <c:v>-57.383510338336244</c:v>
                </c:pt>
                <c:pt idx="556">
                  <c:v>-57.408408815948818</c:v>
                </c:pt>
                <c:pt idx="557">
                  <c:v>-57.433235798552751</c:v>
                </c:pt>
                <c:pt idx="558">
                  <c:v>-57.457991697352611</c:v>
                </c:pt>
                <c:pt idx="559">
                  <c:v>-57.482676920001133</c:v>
                </c:pt>
                <c:pt idx="560">
                  <c:v>-57.507291870640096</c:v>
                </c:pt>
                <c:pt idx="561">
                  <c:v>-57.531836949940704</c:v>
                </c:pt>
                <c:pt idx="562">
                  <c:v>-57.556312555143386</c:v>
                </c:pt>
                <c:pt idx="563">
                  <c:v>-57.580719080096941</c:v>
                </c:pt>
                <c:pt idx="564">
                  <c:v>-57.605056915297233</c:v>
                </c:pt>
                <c:pt idx="565">
                  <c:v>-57.629326447925273</c:v>
                </c:pt>
                <c:pt idx="566">
                  <c:v>-57.653528061884707</c:v>
                </c:pt>
                <c:pt idx="567">
                  <c:v>-57.677662137838936</c:v>
                </c:pt>
                <c:pt idx="568">
                  <c:v>-57.701729053247547</c:v>
                </c:pt>
                <c:pt idx="569">
                  <c:v>-57.725729182402276</c:v>
                </c:pt>
                <c:pt idx="570">
                  <c:v>-57.749662896462553</c:v>
                </c:pt>
                <c:pt idx="571">
                  <c:v>-57.773530563490432</c:v>
                </c:pt>
                <c:pt idx="572">
                  <c:v>-57.797332548485073</c:v>
                </c:pt>
                <c:pt idx="573">
                  <c:v>-57.821069213416791</c:v>
                </c:pt>
                <c:pt idx="574">
                  <c:v>-57.844740917260573</c:v>
                </c:pt>
                <c:pt idx="575">
                  <c:v>-57.868348016029152</c:v>
                </c:pt>
                <c:pt idx="576">
                  <c:v>-57.891890862805617</c:v>
                </c:pt>
                <c:pt idx="577">
                  <c:v>-57.915369807775591</c:v>
                </c:pt>
                <c:pt idx="578">
                  <c:v>-57.938785198258969</c:v>
                </c:pt>
                <c:pt idx="579">
                  <c:v>-57.962137378741176</c:v>
                </c:pt>
                <c:pt idx="580">
                  <c:v>-57.985426690904056</c:v>
                </c:pt>
                <c:pt idx="581">
                  <c:v>-58.008653473656331</c:v>
                </c:pt>
                <c:pt idx="582">
                  <c:v>-58.031818063163584</c:v>
                </c:pt>
                <c:pt idx="583">
                  <c:v>-58.054920792877915</c:v>
                </c:pt>
                <c:pt idx="584">
                  <c:v>-58.077961993567186</c:v>
                </c:pt>
                <c:pt idx="585">
                  <c:v>-58.100941993343795</c:v>
                </c:pt>
                <c:pt idx="586">
                  <c:v>-58.123861117693174</c:v>
                </c:pt>
                <c:pt idx="587">
                  <c:v>-58.146719689501808</c:v>
                </c:pt>
                <c:pt idx="588">
                  <c:v>-58.169518029084969</c:v>
                </c:pt>
                <c:pt idx="589">
                  <c:v>-58.192256454213975</c:v>
                </c:pt>
                <c:pt idx="590">
                  <c:v>-58.214935280143209</c:v>
                </c:pt>
                <c:pt idx="591">
                  <c:v>-58.237554819636657</c:v>
                </c:pt>
                <c:pt idx="592">
                  <c:v>-58.260115382994215</c:v>
                </c:pt>
                <c:pt idx="593">
                  <c:v>-58.282617278077524</c:v>
                </c:pt>
                <c:pt idx="594">
                  <c:v>-58.305060810335611</c:v>
                </c:pt>
                <c:pt idx="595">
                  <c:v>-58.327446282830032</c:v>
                </c:pt>
                <c:pt idx="596">
                  <c:v>-58.349773996259835</c:v>
                </c:pt>
                <c:pt idx="597">
                  <c:v>-58.372044248986072</c:v>
                </c:pt>
                <c:pt idx="598">
                  <c:v>-58.394257337056089</c:v>
                </c:pt>
                <c:pt idx="599">
                  <c:v>-58.416413554227475</c:v>
                </c:pt>
                <c:pt idx="600">
                  <c:v>-58.438513191991646</c:v>
                </c:pt>
                <c:pt idx="601">
                  <c:v>-58.460556539597221</c:v>
                </c:pt>
                <c:pt idx="602">
                  <c:v>-58.482543884072946</c:v>
                </c:pt>
                <c:pt idx="603">
                  <c:v>-58.504475510250572</c:v>
                </c:pt>
                <c:pt idx="604">
                  <c:v>-58.52635170078716</c:v>
                </c:pt>
                <c:pt idx="605">
                  <c:v>-58.548172736187283</c:v>
                </c:pt>
                <c:pt idx="606">
                  <c:v>-59.574533215302765</c:v>
                </c:pt>
                <c:pt idx="607">
                  <c:v>-60.492052212671311</c:v>
                </c:pt>
                <c:pt idx="608">
                  <c:v>-61.321659673867011</c:v>
                </c:pt>
                <c:pt idx="609">
                  <c:v>-62.078765240475477</c:v>
                </c:pt>
                <c:pt idx="610">
                  <c:v>-62.77504608517313</c:v>
                </c:pt>
                <c:pt idx="611">
                  <c:v>-63.419564120681677</c:v>
                </c:pt>
                <c:pt idx="612">
                  <c:v>-64.019493759836507</c:v>
                </c:pt>
                <c:pt idx="613">
                  <c:v>-64.580612701511171</c:v>
                </c:pt>
                <c:pt idx="614">
                  <c:v>-65.107642770581307</c:v>
                </c:pt>
                <c:pt idx="615">
                  <c:v>-65.604492670309625</c:v>
                </c:pt>
                <c:pt idx="616">
                  <c:v>-66.074434704906352</c:v>
                </c:pt>
                <c:pt idx="617">
                  <c:v>-66.520235928933772</c:v>
                </c:pt>
                <c:pt idx="618">
                  <c:v>-66.692337613388602</c:v>
                </c:pt>
                <c:pt idx="619">
                  <c:v>-66.861093601826255</c:v>
                </c:pt>
                <c:pt idx="620">
                  <c:v>-67.026631566635629</c:v>
                </c:pt>
                <c:pt idx="621">
                  <c:v>-67.189072005221263</c:v>
                </c:pt>
                <c:pt idx="622">
                  <c:v>-67.348528768015328</c:v>
                </c:pt>
                <c:pt idx="623">
                  <c:v>-67.505109538772942</c:v>
                </c:pt>
                <c:pt idx="624">
                  <c:v>-67.658916272235871</c:v>
                </c:pt>
                <c:pt idx="625">
                  <c:v>-67.810045593628473</c:v>
                </c:pt>
                <c:pt idx="626">
                  <c:v>-67.958589163913189</c:v>
                </c:pt>
                <c:pt idx="627">
                  <c:v>-68.104634014269237</c:v>
                </c:pt>
                <c:pt idx="628">
                  <c:v>-68.248262852856485</c:v>
                </c:pt>
                <c:pt idx="629">
                  <c:v>-68.389554346575977</c:v>
                </c:pt>
                <c:pt idx="630">
                  <c:v>-68.528583380234508</c:v>
                </c:pt>
                <c:pt idx="631">
                  <c:v>-68.665421295254362</c:v>
                </c:pt>
                <c:pt idx="632">
                  <c:v>-68.800136109835734</c:v>
                </c:pt>
                <c:pt idx="633">
                  <c:v>-68.932792722275721</c:v>
                </c:pt>
                <c:pt idx="634">
                  <c:v>-69.063453098967017</c:v>
                </c:pt>
                <c:pt idx="635">
                  <c:v>-69.192176448441728</c:v>
                </c:pt>
                <c:pt idx="636">
                  <c:v>-69.319019382685511</c:v>
                </c:pt>
                <c:pt idx="637">
                  <c:v>-69.444036066823301</c:v>
                </c:pt>
                <c:pt idx="638">
                  <c:v>-69.567278358168863</c:v>
                </c:pt>
                <c:pt idx="639">
                  <c:v>-69.68879593553244</c:v>
                </c:pt>
                <c:pt idx="640">
                  <c:v>-69.808636419594464</c:v>
                </c:pt>
                <c:pt idx="641">
                  <c:v>-69.926845485076129</c:v>
                </c:pt>
                <c:pt idx="642">
                  <c:v>-70.043466965368921</c:v>
                </c:pt>
                <c:pt idx="643">
                  <c:v>-70.158542950223406</c:v>
                </c:pt>
                <c:pt idx="644">
                  <c:v>-70.272113877042813</c:v>
                </c:pt>
                <c:pt idx="645">
                  <c:v>-70.38421861627728</c:v>
                </c:pt>
                <c:pt idx="646">
                  <c:v>-70.494894551370834</c:v>
                </c:pt>
                <c:pt idx="647">
                  <c:v>-70.604177653672352</c:v>
                </c:pt>
                <c:pt idx="648">
                  <c:v>-70.712102552687156</c:v>
                </c:pt>
                <c:pt idx="649">
                  <c:v>-70.818702602012408</c:v>
                </c:pt>
                <c:pt idx="650">
                  <c:v>-70.92400994127081</c:v>
                </c:pt>
                <c:pt idx="651">
                  <c:v>-71.028055554330763</c:v>
                </c:pt>
                <c:pt idx="652">
                  <c:v>-71.130869324076841</c:v>
                </c:pt>
                <c:pt idx="653">
                  <c:v>-71.232480083973286</c:v>
                </c:pt>
                <c:pt idx="654">
                  <c:v>-71.332915666643103</c:v>
                </c:pt>
                <c:pt idx="655">
                  <c:v>-71.432202949667726</c:v>
                </c:pt>
                <c:pt idx="656">
                  <c:v>-71.530367898796186</c:v>
                </c:pt>
                <c:pt idx="657">
                  <c:v>-71.627435608737215</c:v>
                </c:pt>
                <c:pt idx="658">
                  <c:v>-71.723430341695348</c:v>
                </c:pt>
                <c:pt idx="659">
                  <c:v>-71.818375563798611</c:v>
                </c:pt>
                <c:pt idx="660">
                  <c:v>-71.912293979555088</c:v>
                </c:pt>
                <c:pt idx="661">
                  <c:v>-72.00520756446484</c:v>
                </c:pt>
                <c:pt idx="662">
                  <c:v>-72.097137595904542</c:v>
                </c:pt>
                <c:pt idx="663">
                  <c:v>-72.188104682393387</c:v>
                </c:pt>
                <c:pt idx="664">
                  <c:v>-72.27812879134116</c:v>
                </c:pt>
                <c:pt idx="665">
                  <c:v>-72.367229275371841</c:v>
                </c:pt>
                <c:pt idx="666">
                  <c:v>-72.455424897309712</c:v>
                </c:pt>
                <c:pt idx="667">
                  <c:v>-72.542733853908729</c:v>
                </c:pt>
              </c:numCache>
            </c:numRef>
          </c:yVal>
          <c:smooth val="1"/>
          <c:extLst>
            <c:ext xmlns:c16="http://schemas.microsoft.com/office/drawing/2014/chart" uri="{C3380CC4-5D6E-409C-BE32-E72D297353CC}">
              <c16:uniqueId val="{00000000-2DBB-4F72-B5DF-A436F54D08AE}"/>
            </c:ext>
          </c:extLst>
        </c:ser>
        <c:dLbls>
          <c:showLegendKey val="0"/>
          <c:showVal val="0"/>
          <c:showCatName val="0"/>
          <c:showSerName val="0"/>
          <c:showPercent val="0"/>
          <c:showBubbleSize val="0"/>
        </c:dLbls>
        <c:axId val="176896640"/>
        <c:axId val="176898816"/>
      </c:scatterChart>
      <c:scatterChart>
        <c:scatterStyle val="lineMarker"/>
        <c:varyColors val="0"/>
        <c:ser>
          <c:idx val="3"/>
          <c:order val="1"/>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Calculations'!$BN$9:$BN$676</c:f>
              <c:numCache>
                <c:formatCode>General</c:formatCode>
                <c:ptCount val="668"/>
                <c:pt idx="0">
                  <c:v>-4.4469036939360955E-3</c:v>
                </c:pt>
                <c:pt idx="1">
                  <c:v>-8.8938088632774821E-3</c:v>
                </c:pt>
                <c:pt idx="2">
                  <c:v>-1.3340716983430848E-2</c:v>
                </c:pt>
                <c:pt idx="3">
                  <c:v>-1.7787629529805692E-2</c:v>
                </c:pt>
                <c:pt idx="4">
                  <c:v>-2.2234547977815704E-2</c:v>
                </c:pt>
                <c:pt idx="5">
                  <c:v>-2.6681473802880173E-2</c:v>
                </c:pt>
                <c:pt idx="6">
                  <c:v>-3.1128408480425421E-2</c:v>
                </c:pt>
                <c:pt idx="7">
                  <c:v>-3.5575353485886148E-2</c:v>
                </c:pt>
                <c:pt idx="8">
                  <c:v>-4.0022310294706862E-2</c:v>
                </c:pt>
                <c:pt idx="9">
                  <c:v>-4.4469280382343275E-2</c:v>
                </c:pt>
                <c:pt idx="10">
                  <c:v>-8.8940036204646189E-2</c:v>
                </c:pt>
                <c:pt idx="11">
                  <c:v>-0.13341374304695186</c:v>
                </c:pt>
                <c:pt idx="12">
                  <c:v>-0.17789187676949705</c:v>
                </c:pt>
                <c:pt idx="13">
                  <c:v>-0.22237591365287435</c:v>
                </c:pt>
                <c:pt idx="14">
                  <c:v>-0.26686733053827449</c:v>
                </c:pt>
                <c:pt idx="15">
                  <c:v>-0.31136760496783322</c:v>
                </c:pt>
                <c:pt idx="16">
                  <c:v>-0.35587821532511077</c:v>
                </c:pt>
                <c:pt idx="17">
                  <c:v>-0.40040064097572919</c:v>
                </c:pt>
                <c:pt idx="18">
                  <c:v>-0.44493636240819606</c:v>
                </c:pt>
                <c:pt idx="19">
                  <c:v>-0.89135163822673169</c:v>
                </c:pt>
                <c:pt idx="20">
                  <c:v>-1.3407388365935458</c:v>
                </c:pt>
                <c:pt idx="21">
                  <c:v>-1.7946194250232108</c:v>
                </c:pt>
                <c:pt idx="22">
                  <c:v>-2.2545582339853909</c:v>
                </c:pt>
                <c:pt idx="23">
                  <c:v>-2.7221791949332306</c:v>
                </c:pt>
                <c:pt idx="24">
                  <c:v>-3.1991822289364995</c:v>
                </c:pt>
                <c:pt idx="25">
                  <c:v>-3.6873616389175456</c:v>
                </c:pt>
                <c:pt idx="26">
                  <c:v>-4.1886264060727614</c:v>
                </c:pt>
                <c:pt idx="27">
                  <c:v>-4.7050228524415356</c:v>
                </c:pt>
                <c:pt idx="28">
                  <c:v>-7.5987634312168568</c:v>
                </c:pt>
                <c:pt idx="29">
                  <c:v>-11.314591192774373</c:v>
                </c:pt>
                <c:pt idx="30">
                  <c:v>-16.525903877654432</c:v>
                </c:pt>
                <c:pt idx="31">
                  <c:v>-24.581199271651116</c:v>
                </c:pt>
                <c:pt idx="32">
                  <c:v>-38.371054816427943</c:v>
                </c:pt>
                <c:pt idx="33">
                  <c:v>-62.948950873102213</c:v>
                </c:pt>
                <c:pt idx="34">
                  <c:v>-96.891653030475339</c:v>
                </c:pt>
                <c:pt idx="35">
                  <c:v>-123.47943134470286</c:v>
                </c:pt>
                <c:pt idx="36">
                  <c:v>-138.489708203145</c:v>
                </c:pt>
                <c:pt idx="37">
                  <c:v>-146.98959844726662</c:v>
                </c:pt>
                <c:pt idx="38">
                  <c:v>-152.22403262031298</c:v>
                </c:pt>
                <c:pt idx="39">
                  <c:v>-155.69971292723554</c:v>
                </c:pt>
                <c:pt idx="40">
                  <c:v>-158.14257037175869</c:v>
                </c:pt>
                <c:pt idx="41">
                  <c:v>-159.93288496089335</c:v>
                </c:pt>
                <c:pt idx="42">
                  <c:v>-161.28606855251755</c:v>
                </c:pt>
                <c:pt idx="43">
                  <c:v>-162.33240029116345</c:v>
                </c:pt>
                <c:pt idx="44">
                  <c:v>-163.15503066992201</c:v>
                </c:pt>
                <c:pt idx="45">
                  <c:v>-163.80944256735623</c:v>
                </c:pt>
                <c:pt idx="46">
                  <c:v>-164.33405531488697</c:v>
                </c:pt>
                <c:pt idx="47">
                  <c:v>-164.75631718876846</c:v>
                </c:pt>
                <c:pt idx="48">
                  <c:v>-165.09636792014484</c:v>
                </c:pt>
                <c:pt idx="49">
                  <c:v>-165.36932777339564</c:v>
                </c:pt>
                <c:pt idx="50">
                  <c:v>-165.58677725488192</c:v>
                </c:pt>
                <c:pt idx="51">
                  <c:v>-165.75774217556605</c:v>
                </c:pt>
                <c:pt idx="52">
                  <c:v>-165.8893665997239</c:v>
                </c:pt>
                <c:pt idx="53">
                  <c:v>-165.98738321953277</c:v>
                </c:pt>
                <c:pt idx="54">
                  <c:v>-166.05644891208195</c:v>
                </c:pt>
                <c:pt idx="55">
                  <c:v>-166.10038853736668</c:v>
                </c:pt>
                <c:pt idx="56">
                  <c:v>-166.12237501151111</c:v>
                </c:pt>
                <c:pt idx="57">
                  <c:v>-166.12506431062306</c:v>
                </c:pt>
                <c:pt idx="58">
                  <c:v>-166.11069806763706</c:v>
                </c:pt>
                <c:pt idx="59">
                  <c:v>-166.08118251288218</c:v>
                </c:pt>
                <c:pt idx="60">
                  <c:v>-166.03814990617306</c:v>
                </c:pt>
                <c:pt idx="61">
                  <c:v>-165.98300684519342</c:v>
                </c:pt>
                <c:pt idx="62">
                  <c:v>-165.91697262122824</c:v>
                </c:pt>
                <c:pt idx="63">
                  <c:v>-165.84110994512662</c:v>
                </c:pt>
                <c:pt idx="64">
                  <c:v>-165.75634976538521</c:v>
                </c:pt>
                <c:pt idx="65">
                  <c:v>-165.66351146888269</c:v>
                </c:pt>
                <c:pt idx="66">
                  <c:v>-165.56331944147283</c:v>
                </c:pt>
                <c:pt idx="67">
                  <c:v>-165.45641673550452</c:v>
                </c:pt>
                <c:pt idx="68">
                  <c:v>-165.34337642053541</c:v>
                </c:pt>
                <c:pt idx="69">
                  <c:v>-165.22471106549375</c:v>
                </c:pt>
                <c:pt idx="70">
                  <c:v>-165.10088070372865</c:v>
                </c:pt>
                <c:pt idx="71">
                  <c:v>-164.97229955852973</c:v>
                </c:pt>
                <c:pt idx="72">
                  <c:v>-164.83934174989761</c:v>
                </c:pt>
                <c:pt idx="73">
                  <c:v>-164.70234615933029</c:v>
                </c:pt>
                <c:pt idx="74">
                  <c:v>-164.56162059503194</c:v>
                </c:pt>
                <c:pt idx="75">
                  <c:v>-164.41744537295179</c:v>
                </c:pt>
                <c:pt idx="76">
                  <c:v>-164.27007640770074</c:v>
                </c:pt>
                <c:pt idx="77">
                  <c:v>-164.11974789039698</c:v>
                </c:pt>
                <c:pt idx="78">
                  <c:v>-163.96667461688733</c:v>
                </c:pt>
                <c:pt idx="79">
                  <c:v>-163.81105401883377</c:v>
                </c:pt>
                <c:pt idx="80">
                  <c:v>-163.65306794129711</c:v>
                </c:pt>
                <c:pt idx="81">
                  <c:v>-163.49288420323751</c:v>
                </c:pt>
                <c:pt idx="82">
                  <c:v>-163.33065797146284</c:v>
                </c:pt>
                <c:pt idx="83">
                  <c:v>-163.16653297371943</c:v>
                </c:pt>
                <c:pt idx="84">
                  <c:v>-163.00064257263253</c:v>
                </c:pt>
                <c:pt idx="85">
                  <c:v>-162.83311071890103</c:v>
                </c:pt>
                <c:pt idx="86">
                  <c:v>-162.66405279940656</c:v>
                </c:pt>
                <c:pt idx="87">
                  <c:v>-162.49357639360611</c:v>
                </c:pt>
                <c:pt idx="88">
                  <c:v>-162.32178194965695</c:v>
                </c:pt>
                <c:pt idx="89">
                  <c:v>-162.1487633901109</c:v>
                </c:pt>
                <c:pt idx="90">
                  <c:v>-161.97460865565225</c:v>
                </c:pt>
                <c:pt idx="91">
                  <c:v>-161.79940019420306</c:v>
                </c:pt>
                <c:pt idx="92">
                  <c:v>-161.62321540174085</c:v>
                </c:pt>
                <c:pt idx="93">
                  <c:v>-161.44612702034132</c:v>
                </c:pt>
                <c:pt idx="94">
                  <c:v>-161.26820349824726</c:v>
                </c:pt>
                <c:pt idx="95">
                  <c:v>-161.08950931615553</c:v>
                </c:pt>
                <c:pt idx="96">
                  <c:v>-160.91010528339083</c:v>
                </c:pt>
                <c:pt idx="97">
                  <c:v>-160.73004880718435</c:v>
                </c:pt>
                <c:pt idx="98">
                  <c:v>-160.54939413788637</c:v>
                </c:pt>
                <c:pt idx="99">
                  <c:v>-160.36819259260531</c:v>
                </c:pt>
                <c:pt idx="100">
                  <c:v>-160.18649275947359</c:v>
                </c:pt>
                <c:pt idx="101">
                  <c:v>-160.00434068448661</c:v>
                </c:pt>
                <c:pt idx="102">
                  <c:v>-159.82178004263989</c:v>
                </c:pt>
                <c:pt idx="103">
                  <c:v>-159.63885229489654</c:v>
                </c:pt>
                <c:pt idx="104">
                  <c:v>-159.45559683234737</c:v>
                </c:pt>
                <c:pt idx="105">
                  <c:v>-159.27205110877807</c:v>
                </c:pt>
                <c:pt idx="106">
                  <c:v>-159.08825076272726</c:v>
                </c:pt>
                <c:pt idx="107">
                  <c:v>-158.90422973000534</c:v>
                </c:pt>
                <c:pt idx="108">
                  <c:v>-158.72002034754095</c:v>
                </c:pt>
                <c:pt idx="109">
                  <c:v>-158.53565344933477</c:v>
                </c:pt>
                <c:pt idx="110">
                  <c:v>-158.35115845521963</c:v>
                </c:pt>
                <c:pt idx="111">
                  <c:v>-158.16656345305566</c:v>
                </c:pt>
                <c:pt idx="112">
                  <c:v>-157.9818952749286</c:v>
                </c:pt>
                <c:pt idx="113">
                  <c:v>-157.79717956786155</c:v>
                </c:pt>
                <c:pt idx="114">
                  <c:v>-157.61244085950284</c:v>
                </c:pt>
                <c:pt idx="115">
                  <c:v>-157.42770261920811</c:v>
                </c:pt>
                <c:pt idx="116">
                  <c:v>-157.24298731489452</c:v>
                </c:pt>
                <c:pt idx="117">
                  <c:v>-157.05831646601152</c:v>
                </c:pt>
                <c:pt idx="118">
                  <c:v>-156.87371069293883</c:v>
                </c:pt>
                <c:pt idx="119">
                  <c:v>-156.68918976309587</c:v>
                </c:pt>
                <c:pt idx="120">
                  <c:v>-156.50477263402013</c:v>
                </c:pt>
                <c:pt idx="121">
                  <c:v>-156.32047749364986</c:v>
                </c:pt>
                <c:pt idx="122">
                  <c:v>-156.13632179802488</c:v>
                </c:pt>
                <c:pt idx="123">
                  <c:v>-155.95232230660204</c:v>
                </c:pt>
                <c:pt idx="124">
                  <c:v>-155.76849511536372</c:v>
                </c:pt>
                <c:pt idx="125">
                  <c:v>-155.58485568788302</c:v>
                </c:pt>
                <c:pt idx="126">
                  <c:v>-155.40141888449617</c:v>
                </c:pt>
                <c:pt idx="127">
                  <c:v>-155.2181989897189</c:v>
                </c:pt>
                <c:pt idx="128">
                  <c:v>-155.03520973803356</c:v>
                </c:pt>
                <c:pt idx="129">
                  <c:v>-154.85246433816241</c:v>
                </c:pt>
                <c:pt idx="130">
                  <c:v>-154.66997549593384</c:v>
                </c:pt>
                <c:pt idx="131">
                  <c:v>-154.48775543583949</c:v>
                </c:pt>
                <c:pt idx="132">
                  <c:v>-154.3058159213725</c:v>
                </c:pt>
                <c:pt idx="133">
                  <c:v>-154.12416827422993</c:v>
                </c:pt>
                <c:pt idx="134">
                  <c:v>-153.94282339245669</c:v>
                </c:pt>
                <c:pt idx="135">
                  <c:v>-153.7617917676009</c:v>
                </c:pt>
                <c:pt idx="136">
                  <c:v>-153.5810835009469</c:v>
                </c:pt>
                <c:pt idx="137">
                  <c:v>-153.40070831888633</c:v>
                </c:pt>
                <c:pt idx="138">
                  <c:v>-153.2206755874827</c:v>
                </c:pt>
                <c:pt idx="139">
                  <c:v>-153.04099432628217</c:v>
                </c:pt>
                <c:pt idx="140">
                  <c:v>-152.86167322141782</c:v>
                </c:pt>
                <c:pt idx="141">
                  <c:v>-152.6827206380527</c:v>
                </c:pt>
                <c:pt idx="142">
                  <c:v>-152.50414463220216</c:v>
                </c:pt>
                <c:pt idx="143">
                  <c:v>-152.32595296197476</c:v>
                </c:pt>
                <c:pt idx="144">
                  <c:v>-152.14815309826676</c:v>
                </c:pt>
                <c:pt idx="145">
                  <c:v>-151.97075223494369</c:v>
                </c:pt>
                <c:pt idx="146">
                  <c:v>-151.7937572985397</c:v>
                </c:pt>
                <c:pt idx="147">
                  <c:v>-151.61717495750369</c:v>
                </c:pt>
                <c:pt idx="148">
                  <c:v>-151.44101163101874</c:v>
                </c:pt>
                <c:pt idx="149">
                  <c:v>-151.26527349741966</c:v>
                </c:pt>
                <c:pt idx="150">
                  <c:v>-151.08996650223233</c:v>
                </c:pt>
                <c:pt idx="151">
                  <c:v>-150.9150963658565</c:v>
                </c:pt>
                <c:pt idx="152">
                  <c:v>-150.74066859091155</c:v>
                </c:pt>
                <c:pt idx="153">
                  <c:v>-150.56668846926544</c:v>
                </c:pt>
                <c:pt idx="154">
                  <c:v>-150.39316108876355</c:v>
                </c:pt>
                <c:pt idx="155">
                  <c:v>-150.22009133967413</c:v>
                </c:pt>
                <c:pt idx="156">
                  <c:v>-150.04748392086631</c:v>
                </c:pt>
                <c:pt idx="157">
                  <c:v>-149.87534334573482</c:v>
                </c:pt>
                <c:pt idx="158">
                  <c:v>-149.70367394788474</c:v>
                </c:pt>
                <c:pt idx="159">
                  <c:v>-149.53247988658978</c:v>
                </c:pt>
                <c:pt idx="160">
                  <c:v>-149.36176515203522</c:v>
                </c:pt>
                <c:pt idx="161">
                  <c:v>-149.19153357035717</c:v>
                </c:pt>
                <c:pt idx="162">
                  <c:v>-149.02178880848862</c:v>
                </c:pt>
                <c:pt idx="163">
                  <c:v>-148.85253437882199</c:v>
                </c:pt>
                <c:pt idx="164">
                  <c:v>-148.68377364369766</c:v>
                </c:pt>
                <c:pt idx="165">
                  <c:v>-148.51550981972665</c:v>
                </c:pt>
                <c:pt idx="166">
                  <c:v>-148.34774598195679</c:v>
                </c:pt>
                <c:pt idx="167">
                  <c:v>-148.18048506788867</c:v>
                </c:pt>
                <c:pt idx="168">
                  <c:v>-148.0137298813496</c:v>
                </c:pt>
                <c:pt idx="169">
                  <c:v>-147.84748309623228</c:v>
                </c:pt>
                <c:pt idx="170">
                  <c:v>-147.68174726010403</c:v>
                </c:pt>
                <c:pt idx="171">
                  <c:v>-147.51652479769359</c:v>
                </c:pt>
                <c:pt idx="172">
                  <c:v>-147.35181801426</c:v>
                </c:pt>
                <c:pt idx="173">
                  <c:v>-147.18762909885041</c:v>
                </c:pt>
                <c:pt idx="174">
                  <c:v>-147.02396012745055</c:v>
                </c:pt>
                <c:pt idx="175">
                  <c:v>-146.86081306603333</c:v>
                </c:pt>
                <c:pt idx="176">
                  <c:v>-146.69818977351036</c:v>
                </c:pt>
                <c:pt idx="177">
                  <c:v>-146.53609200458985</c:v>
                </c:pt>
                <c:pt idx="178">
                  <c:v>-146.37452141254565</c:v>
                </c:pt>
                <c:pt idx="179">
                  <c:v>-146.2134795519012</c:v>
                </c:pt>
                <c:pt idx="180">
                  <c:v>-146.05296788103135</c:v>
                </c:pt>
                <c:pt idx="181">
                  <c:v>-145.89298776468644</c:v>
                </c:pt>
                <c:pt idx="182">
                  <c:v>-145.73354047644131</c:v>
                </c:pt>
                <c:pt idx="183">
                  <c:v>-145.57462720107202</c:v>
                </c:pt>
                <c:pt idx="184">
                  <c:v>-145.41624903686431</c:v>
                </c:pt>
                <c:pt idx="185">
                  <c:v>-145.25840699785491</c:v>
                </c:pt>
                <c:pt idx="186">
                  <c:v>-145.10110201601037</c:v>
                </c:pt>
                <c:pt idx="187">
                  <c:v>-144.94433494334359</c:v>
                </c:pt>
                <c:pt idx="188">
                  <c:v>-144.7881065539726</c:v>
                </c:pt>
                <c:pt idx="189">
                  <c:v>-144.63241754612196</c:v>
                </c:pt>
                <c:pt idx="190">
                  <c:v>-144.4772685440706</c:v>
                </c:pt>
                <c:pt idx="191">
                  <c:v>-144.32266010004668</c:v>
                </c:pt>
                <c:pt idx="192">
                  <c:v>-144.16859269607201</c:v>
                </c:pt>
                <c:pt idx="193">
                  <c:v>-144.01506674575836</c:v>
                </c:pt>
                <c:pt idx="194">
                  <c:v>-143.86208259605638</c:v>
                </c:pt>
                <c:pt idx="195">
                  <c:v>-143.70964052895931</c:v>
                </c:pt>
                <c:pt idx="196">
                  <c:v>-143.55774076316357</c:v>
                </c:pt>
                <c:pt idx="197">
                  <c:v>-143.4063834556863</c:v>
                </c:pt>
                <c:pt idx="198">
                  <c:v>-143.25556870344323</c:v>
                </c:pt>
                <c:pt idx="199">
                  <c:v>-143.10529654478626</c:v>
                </c:pt>
                <c:pt idx="200">
                  <c:v>-142.9555669610036</c:v>
                </c:pt>
                <c:pt idx="201">
                  <c:v>-142.80637987778286</c:v>
                </c:pt>
                <c:pt idx="202">
                  <c:v>-142.65773516663859</c:v>
                </c:pt>
                <c:pt idx="203">
                  <c:v>-142.50963264630522</c:v>
                </c:pt>
                <c:pt idx="204">
                  <c:v>-142.36207208409667</c:v>
                </c:pt>
                <c:pt idx="205">
                  <c:v>-142.2150531972338</c:v>
                </c:pt>
                <c:pt idx="206">
                  <c:v>-142.0685756541402</c:v>
                </c:pt>
                <c:pt idx="207">
                  <c:v>-141.92263907570751</c:v>
                </c:pt>
                <c:pt idx="208">
                  <c:v>-141.77724303653167</c:v>
                </c:pt>
                <c:pt idx="209">
                  <c:v>-141.63238706612003</c:v>
                </c:pt>
                <c:pt idx="210">
                  <c:v>-141.48807065007091</c:v>
                </c:pt>
                <c:pt idx="211">
                  <c:v>-141.34429323122609</c:v>
                </c:pt>
                <c:pt idx="212">
                  <c:v>-141.201054210797</c:v>
                </c:pt>
                <c:pt idx="213">
                  <c:v>-141.05835294946573</c:v>
                </c:pt>
                <c:pt idx="214">
                  <c:v>-140.91618876846059</c:v>
                </c:pt>
                <c:pt idx="215">
                  <c:v>-140.77456095060833</c:v>
                </c:pt>
                <c:pt idx="216">
                  <c:v>-140.63346874136218</c:v>
                </c:pt>
                <c:pt idx="217">
                  <c:v>-140.49291134980754</c:v>
                </c:pt>
                <c:pt idx="218">
                  <c:v>-140.35288794964538</c:v>
                </c:pt>
                <c:pt idx="219">
                  <c:v>-140.21339768015352</c:v>
                </c:pt>
                <c:pt idx="220">
                  <c:v>-140.07443964712766</c:v>
                </c:pt>
                <c:pt idx="221">
                  <c:v>-139.93601292380089</c:v>
                </c:pt>
                <c:pt idx="222">
                  <c:v>-139.79811655174402</c:v>
                </c:pt>
                <c:pt idx="223">
                  <c:v>-139.6607495417457</c:v>
                </c:pt>
                <c:pt idx="224">
                  <c:v>-139.52391087467404</c:v>
                </c:pt>
                <c:pt idx="225">
                  <c:v>-139.38759950231915</c:v>
                </c:pt>
                <c:pt idx="226">
                  <c:v>-138.05323719051182</c:v>
                </c:pt>
                <c:pt idx="227">
                  <c:v>-136.77026502179709</c:v>
                </c:pt>
                <c:pt idx="228">
                  <c:v>-135.53726907839504</c:v>
                </c:pt>
                <c:pt idx="229">
                  <c:v>-134.35268894960933</c:v>
                </c:pt>
                <c:pt idx="230">
                  <c:v>-133.21486489032793</c:v>
                </c:pt>
                <c:pt idx="231">
                  <c:v>-132.12207577888853</c:v>
                </c:pt>
                <c:pt idx="232">
                  <c:v>-131.07256951236752</c:v>
                </c:pt>
                <c:pt idx="233">
                  <c:v>-130.0645871637783</c:v>
                </c:pt>
                <c:pt idx="234">
                  <c:v>-129.09638198908513</c:v>
                </c:pt>
                <c:pt idx="235">
                  <c:v>-128.16623418663036</c:v>
                </c:pt>
                <c:pt idx="236">
                  <c:v>-127.27246216211617</c:v>
                </c:pt>
                <c:pt idx="237">
                  <c:v>-126.41343092920062</c:v>
                </c:pt>
                <c:pt idx="238">
                  <c:v>-125.58755817300298</c:v>
                </c:pt>
                <c:pt idx="239">
                  <c:v>-124.79331841732719</c:v>
                </c:pt>
                <c:pt idx="240">
                  <c:v>-124.02924566332334</c:v>
                </c:pt>
                <c:pt idx="241">
                  <c:v>-123.29393480548025</c:v>
                </c:pt>
                <c:pt idx="242">
                  <c:v>-122.58604207856277</c:v>
                </c:pt>
                <c:pt idx="243">
                  <c:v>-121.90428474499278</c:v>
                </c:pt>
                <c:pt idx="244">
                  <c:v>-121.24744019503093</c:v>
                </c:pt>
                <c:pt idx="245">
                  <c:v>-120.61434460094252</c:v>
                </c:pt>
                <c:pt idx="246">
                  <c:v>-120.00389124024454</c:v>
                </c:pt>
                <c:pt idx="247">
                  <c:v>-119.41502858137227</c:v>
                </c:pt>
                <c:pt idx="248">
                  <c:v>-118.84675820701605</c:v>
                </c:pt>
                <c:pt idx="249">
                  <c:v>-118.29813263539057</c:v>
                </c:pt>
                <c:pt idx="250">
                  <c:v>-117.76825308732229</c:v>
                </c:pt>
                <c:pt idx="251">
                  <c:v>-117.25626723685568</c:v>
                </c:pt>
                <c:pt idx="252">
                  <c:v>-116.7613669747272</c:v>
                </c:pt>
                <c:pt idx="253">
                  <c:v>-116.28278620723347</c:v>
                </c:pt>
                <c:pt idx="254">
                  <c:v>-115.81979870747033</c:v>
                </c:pt>
                <c:pt idx="255">
                  <c:v>-115.37171603142426</c:v>
                </c:pt>
                <c:pt idx="256">
                  <c:v>-114.93788550777552</c:v>
                </c:pt>
                <c:pt idx="257">
                  <c:v>-114.5176883073688</c:v>
                </c:pt>
                <c:pt idx="258">
                  <c:v>-114.1105375959977</c:v>
                </c:pt>
                <c:pt idx="259">
                  <c:v>-113.71587677232374</c:v>
                </c:pt>
                <c:pt idx="260">
                  <c:v>-113.33317779132275</c:v>
                </c:pt>
                <c:pt idx="261">
                  <c:v>-112.96193957254829</c:v>
                </c:pt>
                <c:pt idx="262">
                  <c:v>-112.60168649166002</c:v>
                </c:pt>
                <c:pt idx="263">
                  <c:v>-112.25196695303819</c:v>
                </c:pt>
                <c:pt idx="264">
                  <c:v>-111.91235204084812</c:v>
                </c:pt>
                <c:pt idx="265">
                  <c:v>-111.58243424560114</c:v>
                </c:pt>
                <c:pt idx="266">
                  <c:v>-111.26182626304936</c:v>
                </c:pt>
                <c:pt idx="267">
                  <c:v>-110.95015986212915</c:v>
                </c:pt>
                <c:pt idx="268">
                  <c:v>-110.64708481861662</c:v>
                </c:pt>
                <c:pt idx="269">
                  <c:v>-110.35226791115615</c:v>
                </c:pt>
                <c:pt idx="270">
                  <c:v>-110.06539197636477</c:v>
                </c:pt>
                <c:pt idx="271">
                  <c:v>-109.78615501978643</c:v>
                </c:pt>
                <c:pt idx="272">
                  <c:v>-109.51426937956371</c:v>
                </c:pt>
                <c:pt idx="273">
                  <c:v>-109.24946093980508</c:v>
                </c:pt>
                <c:pt idx="274">
                  <c:v>-108.99146839074814</c:v>
                </c:pt>
                <c:pt idx="275">
                  <c:v>-108.74004253294635</c:v>
                </c:pt>
                <c:pt idx="276">
                  <c:v>-108.49494562284009</c:v>
                </c:pt>
                <c:pt idx="277">
                  <c:v>-108.25595075720584</c:v>
                </c:pt>
                <c:pt idx="278">
                  <c:v>-108.02284129411046</c:v>
                </c:pt>
                <c:pt idx="279">
                  <c:v>-107.7954103081279</c:v>
                </c:pt>
                <c:pt idx="280">
                  <c:v>-107.57346007770245</c:v>
                </c:pt>
                <c:pt idx="281">
                  <c:v>-107.35680160266708</c:v>
                </c:pt>
                <c:pt idx="282">
                  <c:v>-107.14525415004228</c:v>
                </c:pt>
                <c:pt idx="283">
                  <c:v>-106.93864482635533</c:v>
                </c:pt>
                <c:pt idx="284">
                  <c:v>-106.73680817482733</c:v>
                </c:pt>
                <c:pt idx="285">
                  <c:v>-106.53958579587825</c:v>
                </c:pt>
                <c:pt idx="286">
                  <c:v>-106.3468259894975</c:v>
                </c:pt>
                <c:pt idx="287">
                  <c:v>-106.15838341811933</c:v>
                </c:pt>
                <c:pt idx="288">
                  <c:v>-105.9741187887285</c:v>
                </c:pt>
                <c:pt idx="289">
                  <c:v>-105.79389855300458</c:v>
                </c:pt>
                <c:pt idx="290">
                  <c:v>-105.61759462438798</c:v>
                </c:pt>
                <c:pt idx="291">
                  <c:v>-105.4450841110244</c:v>
                </c:pt>
                <c:pt idx="292">
                  <c:v>-105.27624906361103</c:v>
                </c:pt>
                <c:pt idx="293">
                  <c:v>-105.11097623723089</c:v>
                </c:pt>
                <c:pt idx="294">
                  <c:v>-104.9491568663212</c:v>
                </c:pt>
                <c:pt idx="295">
                  <c:v>-104.79068645197698</c:v>
                </c:pt>
                <c:pt idx="296">
                  <c:v>-104.63546456084238</c:v>
                </c:pt>
                <c:pt idx="297">
                  <c:v>-104.483394634891</c:v>
                </c:pt>
                <c:pt idx="298">
                  <c:v>-104.33438381144117</c:v>
                </c:pt>
                <c:pt idx="299">
                  <c:v>-104.18834275279463</c:v>
                </c:pt>
                <c:pt idx="300">
                  <c:v>-104.04518548492644</c:v>
                </c:pt>
                <c:pt idx="301">
                  <c:v>-103.90482924468971</c:v>
                </c:pt>
                <c:pt idx="302">
                  <c:v>-103.76719433503484</c:v>
                </c:pt>
                <c:pt idx="303">
                  <c:v>-103.63220398777274</c:v>
                </c:pt>
                <c:pt idx="304">
                  <c:v>-103.49978423344335</c:v>
                </c:pt>
                <c:pt idx="305">
                  <c:v>-103.36986377787684</c:v>
                </c:pt>
                <c:pt idx="306">
                  <c:v>-103.24237388506249</c:v>
                </c:pt>
                <c:pt idx="307">
                  <c:v>-103.11724826596306</c:v>
                </c:pt>
                <c:pt idx="308">
                  <c:v>-102.99442297293621</c:v>
                </c:pt>
                <c:pt idx="309">
                  <c:v>-102.87383629944468</c:v>
                </c:pt>
                <c:pt idx="310">
                  <c:v>-102.75542868475767</c:v>
                </c:pt>
                <c:pt idx="311">
                  <c:v>-102.63914262336353</c:v>
                </c:pt>
                <c:pt idx="312">
                  <c:v>-102.52492257883098</c:v>
                </c:pt>
                <c:pt idx="313">
                  <c:v>-102.41271490187303</c:v>
                </c:pt>
                <c:pt idx="314">
                  <c:v>-102.30246775238192</c:v>
                </c:pt>
                <c:pt idx="315">
                  <c:v>-102.19413102521747</c:v>
                </c:pt>
                <c:pt idx="316">
                  <c:v>-102.08765627954524</c:v>
                </c:pt>
                <c:pt idx="317">
                  <c:v>-101.98299667153167</c:v>
                </c:pt>
                <c:pt idx="318">
                  <c:v>-101.88010689021635</c:v>
                </c:pt>
                <c:pt idx="319">
                  <c:v>-101.77894309639152</c:v>
                </c:pt>
                <c:pt idx="320">
                  <c:v>-101.67946286432839</c:v>
                </c:pt>
                <c:pt idx="321">
                  <c:v>-101.5816251262009</c:v>
                </c:pt>
                <c:pt idx="322">
                  <c:v>-101.48539011906449</c:v>
                </c:pt>
                <c:pt idx="323">
                  <c:v>-101.39071933425701</c:v>
                </c:pt>
                <c:pt idx="324">
                  <c:v>-101.29757546909605</c:v>
                </c:pt>
                <c:pt idx="325">
                  <c:v>-101.20592238075406</c:v>
                </c:pt>
                <c:pt idx="326">
                  <c:v>-101.11572504220007</c:v>
                </c:pt>
                <c:pt idx="327">
                  <c:v>-101.02694950010222</c:v>
                </c:pt>
                <c:pt idx="328">
                  <c:v>-100.93956283459227</c:v>
                </c:pt>
                <c:pt idx="329">
                  <c:v>-100.85353312079806</c:v>
                </c:pt>
                <c:pt idx="330">
                  <c:v>-100.76882939205586</c:v>
                </c:pt>
                <c:pt idx="331">
                  <c:v>-100.68542160471821</c:v>
                </c:pt>
                <c:pt idx="332">
                  <c:v>-100.60328060447948</c:v>
                </c:pt>
                <c:pt idx="333">
                  <c:v>-100.52237809414375</c:v>
                </c:pt>
                <c:pt idx="334">
                  <c:v>-100.44268660276484</c:v>
                </c:pt>
                <c:pt idx="335">
                  <c:v>-100.36417945609195</c:v>
                </c:pt>
                <c:pt idx="336">
                  <c:v>-100.28683074825753</c:v>
                </c:pt>
                <c:pt idx="337">
                  <c:v>-100.21061531464821</c:v>
                </c:pt>
                <c:pt idx="338">
                  <c:v>-100.13550870590204</c:v>
                </c:pt>
                <c:pt idx="339">
                  <c:v>-100.06148716297865</c:v>
                </c:pt>
                <c:pt idx="340">
                  <c:v>-99.988527593251874</c:v>
                </c:pt>
                <c:pt idx="341">
                  <c:v>-99.916607547576831</c:v>
                </c:pt>
                <c:pt idx="342">
                  <c:v>-99.845705198286041</c:v>
                </c:pt>
                <c:pt idx="343">
                  <c:v>-99.775799318071364</c:v>
                </c:pt>
                <c:pt idx="344">
                  <c:v>-99.706869259711624</c:v>
                </c:pt>
                <c:pt idx="345">
                  <c:v>-99.638894936606079</c:v>
                </c:pt>
                <c:pt idx="346">
                  <c:v>-99.571856804077981</c:v>
                </c:pt>
                <c:pt idx="347">
                  <c:v>-99.505735841413255</c:v>
                </c:pt>
                <c:pt idx="348">
                  <c:v>-99.440513534600484</c:v>
                </c:pt>
                <c:pt idx="349">
                  <c:v>-99.376171859741646</c:v>
                </c:pt>
                <c:pt idx="350">
                  <c:v>-99.312693267103555</c:v>
                </c:pt>
                <c:pt idx="351">
                  <c:v>-99.250060665781078</c:v>
                </c:pt>
                <c:pt idx="352">
                  <c:v>-99.188257408945987</c:v>
                </c:pt>
                <c:pt idx="353">
                  <c:v>-99.127267279655527</c:v>
                </c:pt>
                <c:pt idx="354">
                  <c:v>-99.067074477196073</c:v>
                </c:pt>
                <c:pt idx="355">
                  <c:v>-99.007663603939022</c:v>
                </c:pt>
                <c:pt idx="356">
                  <c:v>-98.949019652686957</c:v>
                </c:pt>
                <c:pt idx="357">
                  <c:v>-98.891127994488912</c:v>
                </c:pt>
                <c:pt idx="358">
                  <c:v>-98.833974366904556</c:v>
                </c:pt>
                <c:pt idx="359">
                  <c:v>-98.777544862699003</c:v>
                </c:pt>
                <c:pt idx="360">
                  <c:v>-98.721825918949449</c:v>
                </c:pt>
                <c:pt idx="361">
                  <c:v>-98.666804306546567</c:v>
                </c:pt>
                <c:pt idx="362">
                  <c:v>-98.612467120074385</c:v>
                </c:pt>
                <c:pt idx="363">
                  <c:v>-98.558801768053087</c:v>
                </c:pt>
                <c:pt idx="364">
                  <c:v>-98.505795963529138</c:v>
                </c:pt>
                <c:pt idx="365">
                  <c:v>-98.453437714999367</c:v>
                </c:pt>
                <c:pt idx="366">
                  <c:v>-98.401715317654862</c:v>
                </c:pt>
                <c:pt idx="367">
                  <c:v>-98.350617344931649</c:v>
                </c:pt>
                <c:pt idx="368">
                  <c:v>-98.300132640356495</c:v>
                </c:pt>
                <c:pt idx="369">
                  <c:v>-98.250250309674755</c:v>
                </c:pt>
                <c:pt idx="370">
                  <c:v>-98.200959713250484</c:v>
                </c:pt>
                <c:pt idx="371">
                  <c:v>-98.152250458726854</c:v>
                </c:pt>
                <c:pt idx="372">
                  <c:v>-98.104112393937058</c:v>
                </c:pt>
                <c:pt idx="373">
                  <c:v>-98.05653560005598</c:v>
                </c:pt>
                <c:pt idx="374">
                  <c:v>-98.009510384982988</c:v>
                </c:pt>
                <c:pt idx="375">
                  <c:v>-97.963027276947031</c:v>
                </c:pt>
                <c:pt idx="376">
                  <c:v>-97.917077018325244</c:v>
                </c:pt>
                <c:pt idx="377">
                  <c:v>-97.871650559667117</c:v>
                </c:pt>
                <c:pt idx="378">
                  <c:v>-97.826739053916171</c:v>
                </c:pt>
                <c:pt idx="379">
                  <c:v>-97.782333850821644</c:v>
                </c:pt>
                <c:pt idx="380">
                  <c:v>-97.738426491533076</c:v>
                </c:pt>
                <c:pt idx="381">
                  <c:v>-97.695008703370902</c:v>
                </c:pt>
                <c:pt idx="382">
                  <c:v>-97.652072394766193</c:v>
                </c:pt>
                <c:pt idx="383">
                  <c:v>-97.609609650363723</c:v>
                </c:pt>
                <c:pt idx="384">
                  <c:v>-97.567612726281638</c:v>
                </c:pt>
                <c:pt idx="385">
                  <c:v>-97.52607404552289</c:v>
                </c:pt>
                <c:pt idx="386">
                  <c:v>-97.484986193531526</c:v>
                </c:pt>
                <c:pt idx="387">
                  <c:v>-97.444341913890014</c:v>
                </c:pt>
                <c:pt idx="388">
                  <c:v>-97.404134104151311</c:v>
                </c:pt>
                <c:pt idx="389">
                  <c:v>-97.364355811801303</c:v>
                </c:pt>
                <c:pt idx="390">
                  <c:v>-97.325000230346973</c:v>
                </c:pt>
                <c:pt idx="391">
                  <c:v>-97.286060695525649</c:v>
                </c:pt>
                <c:pt idx="392">
                  <c:v>-97.24753068163082</c:v>
                </c:pt>
                <c:pt idx="393">
                  <c:v>-97.209403797950742</c:v>
                </c:pt>
                <c:pt idx="394">
                  <c:v>-97.171673785315662</c:v>
                </c:pt>
                <c:pt idx="395">
                  <c:v>-97.134334512749916</c:v>
                </c:pt>
                <c:pt idx="396">
                  <c:v>-97.097379974225035</c:v>
                </c:pt>
                <c:pt idx="397">
                  <c:v>-97.060804285510514</c:v>
                </c:pt>
                <c:pt idx="398">
                  <c:v>-97.024601681118824</c:v>
                </c:pt>
                <c:pt idx="399">
                  <c:v>-96.988766511341566</c:v>
                </c:pt>
                <c:pt idx="400">
                  <c:v>-96.953293239373082</c:v>
                </c:pt>
                <c:pt idx="401">
                  <c:v>-96.918176438519382</c:v>
                </c:pt>
                <c:pt idx="402">
                  <c:v>-96.883410789488607</c:v>
                </c:pt>
                <c:pt idx="403">
                  <c:v>-96.848991077760999</c:v>
                </c:pt>
                <c:pt idx="404">
                  <c:v>-96.814912191035134</c:v>
                </c:pt>
                <c:pt idx="405">
                  <c:v>-96.781169116748302</c:v>
                </c:pt>
                <c:pt idx="406">
                  <c:v>-96.747756939668164</c:v>
                </c:pt>
                <c:pt idx="407">
                  <c:v>-96.714670839553506</c:v>
                </c:pt>
                <c:pt idx="408">
                  <c:v>-96.681906088881988</c:v>
                </c:pt>
                <c:pt idx="409">
                  <c:v>-96.649458050642394</c:v>
                </c:pt>
                <c:pt idx="410">
                  <c:v>-96.617322176189134</c:v>
                </c:pt>
                <c:pt idx="411">
                  <c:v>-96.585494003157507</c:v>
                </c:pt>
                <c:pt idx="412">
                  <c:v>-96.553969153437194</c:v>
                </c:pt>
                <c:pt idx="413">
                  <c:v>-96.522743331202449</c:v>
                </c:pt>
                <c:pt idx="414">
                  <c:v>-96.491812320997028</c:v>
                </c:pt>
                <c:pt idx="415">
                  <c:v>-96.461171985871971</c:v>
                </c:pt>
                <c:pt idx="416">
                  <c:v>-96.430818265574857</c:v>
                </c:pt>
                <c:pt idx="417">
                  <c:v>-96.400747174788663</c:v>
                </c:pt>
                <c:pt idx="418">
                  <c:v>-96.370954801418506</c:v>
                </c:pt>
                <c:pt idx="419">
                  <c:v>-96.341437304925364</c:v>
                </c:pt>
                <c:pt idx="420">
                  <c:v>-96.312190914704487</c:v>
                </c:pt>
                <c:pt idx="421">
                  <c:v>-96.283211928507811</c:v>
                </c:pt>
                <c:pt idx="422">
                  <c:v>-96.254496710908398</c:v>
                </c:pt>
                <c:pt idx="423">
                  <c:v>-96.226041691806273</c:v>
                </c:pt>
                <c:pt idx="424">
                  <c:v>-96.197843364973664</c:v>
                </c:pt>
                <c:pt idx="425">
                  <c:v>-96.16989828663894</c:v>
                </c:pt>
                <c:pt idx="426">
                  <c:v>-96.142203074108011</c:v>
                </c:pt>
                <c:pt idx="427">
                  <c:v>-96.114754404421532</c:v>
                </c:pt>
                <c:pt idx="428">
                  <c:v>-96.08754901304772</c:v>
                </c:pt>
                <c:pt idx="429">
                  <c:v>-96.060583692608944</c:v>
                </c:pt>
                <c:pt idx="430">
                  <c:v>-96.033855291641203</c:v>
                </c:pt>
                <c:pt idx="431">
                  <c:v>-96.007360713386063</c:v>
                </c:pt>
                <c:pt idx="432">
                  <c:v>-95.981096914613204</c:v>
                </c:pt>
                <c:pt idx="433">
                  <c:v>-95.955060904473456</c:v>
                </c:pt>
                <c:pt idx="434">
                  <c:v>-95.929249743380822</c:v>
                </c:pt>
                <c:pt idx="435">
                  <c:v>-95.903660541923244</c:v>
                </c:pt>
                <c:pt idx="436">
                  <c:v>-95.878290459800496</c:v>
                </c:pt>
                <c:pt idx="437">
                  <c:v>-95.85313670478925</c:v>
                </c:pt>
                <c:pt idx="438">
                  <c:v>-95.828196531733667</c:v>
                </c:pt>
                <c:pt idx="439">
                  <c:v>-95.803467241561748</c:v>
                </c:pt>
                <c:pt idx="440">
                  <c:v>-95.778946180325633</c:v>
                </c:pt>
                <c:pt idx="441">
                  <c:v>-95.75463073826603</c:v>
                </c:pt>
                <c:pt idx="442">
                  <c:v>-95.730518348899651</c:v>
                </c:pt>
                <c:pt idx="443">
                  <c:v>-95.706606488129054</c:v>
                </c:pt>
                <c:pt idx="444">
                  <c:v>-95.682892673374369</c:v>
                </c:pt>
                <c:pt idx="445">
                  <c:v>-95.659374462726007</c:v>
                </c:pt>
                <c:pt idx="446">
                  <c:v>-95.636049454118236</c:v>
                </c:pt>
                <c:pt idx="447">
                  <c:v>-95.612915284522614</c:v>
                </c:pt>
                <c:pt idx="448">
                  <c:v>-95.589969629160805</c:v>
                </c:pt>
                <c:pt idx="449">
                  <c:v>-95.567210200736397</c:v>
                </c:pt>
                <c:pt idx="450">
                  <c:v>-95.544634748685169</c:v>
                </c:pt>
                <c:pt idx="451">
                  <c:v>-95.522241058443001</c:v>
                </c:pt>
                <c:pt idx="452">
                  <c:v>-95.500026950731254</c:v>
                </c:pt>
                <c:pt idx="453">
                  <c:v>-95.47799028085926</c:v>
                </c:pt>
                <c:pt idx="454">
                  <c:v>-95.456128938042923</c:v>
                </c:pt>
                <c:pt idx="455">
                  <c:v>-95.434440844739456</c:v>
                </c:pt>
                <c:pt idx="456">
                  <c:v>-95.412923955997783</c:v>
                </c:pt>
                <c:pt idx="457">
                  <c:v>-95.391576258823761</c:v>
                </c:pt>
                <c:pt idx="458">
                  <c:v>-95.370395771560467</c:v>
                </c:pt>
                <c:pt idx="459">
                  <c:v>-95.349380543282606</c:v>
                </c:pt>
                <c:pt idx="460">
                  <c:v>-95.328528653204884</c:v>
                </c:pt>
                <c:pt idx="461">
                  <c:v>-95.307838210104038</c:v>
                </c:pt>
                <c:pt idx="462">
                  <c:v>-95.287307351753981</c:v>
                </c:pt>
                <c:pt idx="463">
                  <c:v>-95.266934244373914</c:v>
                </c:pt>
                <c:pt idx="464">
                  <c:v>-95.246717082088722</c:v>
                </c:pt>
                <c:pt idx="465">
                  <c:v>-95.226654086402021</c:v>
                </c:pt>
                <c:pt idx="466">
                  <c:v>-95.206743505680521</c:v>
                </c:pt>
                <c:pt idx="467">
                  <c:v>-95.18698361465033</c:v>
                </c:pt>
                <c:pt idx="468">
                  <c:v>-95.167372713904427</c:v>
                </c:pt>
                <c:pt idx="469">
                  <c:v>-95.147909129421095</c:v>
                </c:pt>
                <c:pt idx="470">
                  <c:v>-95.128591212092999</c:v>
                </c:pt>
                <c:pt idx="471">
                  <c:v>-95.10941733726672</c:v>
                </c:pt>
                <c:pt idx="472">
                  <c:v>-95.090385904292461</c:v>
                </c:pt>
                <c:pt idx="473">
                  <c:v>-95.071495336083615</c:v>
                </c:pt>
                <c:pt idx="474">
                  <c:v>-95.052744078685862</c:v>
                </c:pt>
                <c:pt idx="475">
                  <c:v>-95.034130600855903</c:v>
                </c:pt>
                <c:pt idx="476">
                  <c:v>-95.015653393649117</c:v>
                </c:pt>
                <c:pt idx="477">
                  <c:v>-94.997310970016258</c:v>
                </c:pt>
                <c:pt idx="478">
                  <c:v>-94.97910186440879</c:v>
                </c:pt>
                <c:pt idx="479">
                  <c:v>-94.961024632392693</c:v>
                </c:pt>
                <c:pt idx="480">
                  <c:v>-94.943077850270683</c:v>
                </c:pt>
                <c:pt idx="481">
                  <c:v>-94.925260114712302</c:v>
                </c:pt>
                <c:pt idx="482">
                  <c:v>-94.907570042392123</c:v>
                </c:pt>
                <c:pt idx="483">
                  <c:v>-94.890006269635123</c:v>
                </c:pt>
                <c:pt idx="484">
                  <c:v>-94.872567452070385</c:v>
                </c:pt>
                <c:pt idx="485">
                  <c:v>-94.855252264291025</c:v>
                </c:pt>
                <c:pt idx="486">
                  <c:v>-94.838059399522308</c:v>
                </c:pt>
                <c:pt idx="487">
                  <c:v>-94.820987569295994</c:v>
                </c:pt>
                <c:pt idx="488">
                  <c:v>-94.804035503131615</c:v>
                </c:pt>
                <c:pt idx="489">
                  <c:v>-94.787201948224649</c:v>
                </c:pt>
                <c:pt idx="490">
                  <c:v>-94.770485669140768</c:v>
                </c:pt>
                <c:pt idx="491">
                  <c:v>-94.753885447516652</c:v>
                </c:pt>
                <c:pt idx="492">
                  <c:v>-94.737400081766793</c:v>
                </c:pt>
                <c:pt idx="493">
                  <c:v>-94.721028386796462</c:v>
                </c:pt>
                <c:pt idx="494">
                  <c:v>-94.704769193720423</c:v>
                </c:pt>
                <c:pt idx="495">
                  <c:v>-94.688621349587308</c:v>
                </c:pt>
                <c:pt idx="496">
                  <c:v>-94.672583717109859</c:v>
                </c:pt>
                <c:pt idx="497">
                  <c:v>-94.6566551744002</c:v>
                </c:pt>
                <c:pt idx="498">
                  <c:v>-94.640834614710826</c:v>
                </c:pt>
                <c:pt idx="499">
                  <c:v>-94.625120946180743</c:v>
                </c:pt>
                <c:pt idx="500">
                  <c:v>-94.609513091586294</c:v>
                </c:pt>
                <c:pt idx="501">
                  <c:v>-94.594009988097483</c:v>
                </c:pt>
                <c:pt idx="502">
                  <c:v>-94.578610587038867</c:v>
                </c:pt>
                <c:pt idx="503">
                  <c:v>-94.563313853655259</c:v>
                </c:pt>
                <c:pt idx="504">
                  <c:v>-94.548118766881842</c:v>
                </c:pt>
                <c:pt idx="505">
                  <c:v>-94.533024319119335</c:v>
                </c:pt>
                <c:pt idx="506">
                  <c:v>-94.518029516012888</c:v>
                </c:pt>
                <c:pt idx="507">
                  <c:v>-94.503133376235951</c:v>
                </c:pt>
                <c:pt idx="508">
                  <c:v>-94.488334931277819</c:v>
                </c:pt>
                <c:pt idx="509">
                  <c:v>-94.473633225235773</c:v>
                </c:pt>
                <c:pt idx="510">
                  <c:v>-94.459027314610807</c:v>
                </c:pt>
                <c:pt idx="511">
                  <c:v>-94.444516268107606</c:v>
                </c:pt>
                <c:pt idx="512">
                  <c:v>-94.430099166438424</c:v>
                </c:pt>
                <c:pt idx="513">
                  <c:v>-94.415775102130382</c:v>
                </c:pt>
                <c:pt idx="514">
                  <c:v>-94.401543179336727</c:v>
                </c:pt>
                <c:pt idx="515">
                  <c:v>-94.387402513651651</c:v>
                </c:pt>
                <c:pt idx="516">
                  <c:v>-94.373352231928706</c:v>
                </c:pt>
                <c:pt idx="517">
                  <c:v>-94.359391472102331</c:v>
                </c:pt>
                <c:pt idx="518">
                  <c:v>-94.345519383013183</c:v>
                </c:pt>
                <c:pt idx="519">
                  <c:v>-94.331735124236431</c:v>
                </c:pt>
                <c:pt idx="520">
                  <c:v>-94.31803786591351</c:v>
                </c:pt>
                <c:pt idx="521">
                  <c:v>-94.304426788586838</c:v>
                </c:pt>
                <c:pt idx="522">
                  <c:v>-94.290901083037724</c:v>
                </c:pt>
                <c:pt idx="523">
                  <c:v>-94.277459950127238</c:v>
                </c:pt>
                <c:pt idx="524">
                  <c:v>-94.264102600640143</c:v>
                </c:pt>
                <c:pt idx="525">
                  <c:v>-94.250828255131495</c:v>
                </c:pt>
                <c:pt idx="526">
                  <c:v>-94.237636143776399</c:v>
                </c:pt>
                <c:pt idx="527">
                  <c:v>-94.224525506222079</c:v>
                </c:pt>
                <c:pt idx="528">
                  <c:v>-94.21149559144321</c:v>
                </c:pt>
                <c:pt idx="529">
                  <c:v>-94.19854565759934</c:v>
                </c:pt>
                <c:pt idx="530">
                  <c:v>-94.185674971895338</c:v>
                </c:pt>
                <c:pt idx="531">
                  <c:v>-94.17288281044415</c:v>
                </c:pt>
                <c:pt idx="532">
                  <c:v>-94.160168458132105</c:v>
                </c:pt>
                <c:pt idx="533">
                  <c:v>-94.147531208486583</c:v>
                </c:pt>
                <c:pt idx="534">
                  <c:v>-94.134970363546259</c:v>
                </c:pt>
                <c:pt idx="535">
                  <c:v>-94.122485233733471</c:v>
                </c:pt>
                <c:pt idx="536">
                  <c:v>-94.11007513772897</c:v>
                </c:pt>
                <c:pt idx="537">
                  <c:v>-94.097739402348807</c:v>
                </c:pt>
                <c:pt idx="538">
                  <c:v>-94.085477362423561</c:v>
                </c:pt>
                <c:pt idx="539">
                  <c:v>-94.073288360679726</c:v>
                </c:pt>
                <c:pt idx="540">
                  <c:v>-94.061171747622836</c:v>
                </c:pt>
                <c:pt idx="541">
                  <c:v>-94.049126881423248</c:v>
                </c:pt>
                <c:pt idx="542">
                  <c:v>-94.037153127803293</c:v>
                </c:pt>
                <c:pt idx="543">
                  <c:v>-94.025249859927015</c:v>
                </c:pt>
                <c:pt idx="544">
                  <c:v>-94.013416458291331</c:v>
                </c:pt>
                <c:pt idx="545">
                  <c:v>-94.001652310619349</c:v>
                </c:pt>
                <c:pt idx="546">
                  <c:v>-93.989956811755548</c:v>
                </c:pt>
                <c:pt idx="547">
                  <c:v>-93.978329363562665</c:v>
                </c:pt>
                <c:pt idx="548">
                  <c:v>-93.966769374820458</c:v>
                </c:pt>
                <c:pt idx="549">
                  <c:v>-93.955276261126144</c:v>
                </c:pt>
                <c:pt idx="550">
                  <c:v>-93.943849444796527</c:v>
                </c:pt>
                <c:pt idx="551">
                  <c:v>-93.932488354771976</c:v>
                </c:pt>
                <c:pt idx="552">
                  <c:v>-93.921192426521898</c:v>
                </c:pt>
                <c:pt idx="553">
                  <c:v>-93.909961101951723</c:v>
                </c:pt>
                <c:pt idx="554">
                  <c:v>-93.898793829311742</c:v>
                </c:pt>
                <c:pt idx="555">
                  <c:v>-93.887690063107271</c:v>
                </c:pt>
                <c:pt idx="556">
                  <c:v>-93.87664926401041</c:v>
                </c:pt>
                <c:pt idx="557">
                  <c:v>-93.865670898773303</c:v>
                </c:pt>
                <c:pt idx="558">
                  <c:v>-93.854754440142813</c:v>
                </c:pt>
                <c:pt idx="559">
                  <c:v>-93.843899366776668</c:v>
                </c:pt>
                <c:pt idx="560">
                  <c:v>-93.833105163160965</c:v>
                </c:pt>
                <c:pt idx="561">
                  <c:v>-93.822371319529196</c:v>
                </c:pt>
                <c:pt idx="562">
                  <c:v>-93.811697331782284</c:v>
                </c:pt>
                <c:pt idx="563">
                  <c:v>-93.801082701410309</c:v>
                </c:pt>
                <c:pt idx="564">
                  <c:v>-93.790526935415429</c:v>
                </c:pt>
                <c:pt idx="565">
                  <c:v>-93.780029546235838</c:v>
                </c:pt>
                <c:pt idx="566">
                  <c:v>-93.769590051671372</c:v>
                </c:pt>
                <c:pt idx="567">
                  <c:v>-93.759207974809911</c:v>
                </c:pt>
                <c:pt idx="568">
                  <c:v>-93.748882843955386</c:v>
                </c:pt>
                <c:pt idx="569">
                  <c:v>-93.738614192556639</c:v>
                </c:pt>
                <c:pt idx="570">
                  <c:v>-93.728401559137623</c:v>
                </c:pt>
                <c:pt idx="571">
                  <c:v>-93.718244487228716</c:v>
                </c:pt>
                <c:pt idx="572">
                  <c:v>-93.708142525299053</c:v>
                </c:pt>
                <c:pt idx="573">
                  <c:v>-93.698095226690015</c:v>
                </c:pt>
                <c:pt idx="574">
                  <c:v>-93.688102149549835</c:v>
                </c:pt>
                <c:pt idx="575">
                  <c:v>-93.678162856769106</c:v>
                </c:pt>
                <c:pt idx="576">
                  <c:v>-93.668276915917588</c:v>
                </c:pt>
                <c:pt idx="577">
                  <c:v>-93.658443899181648</c:v>
                </c:pt>
                <c:pt idx="578">
                  <c:v>-93.648663383303088</c:v>
                </c:pt>
                <c:pt idx="579">
                  <c:v>-93.638934949518557</c:v>
                </c:pt>
                <c:pt idx="580">
                  <c:v>-93.629258183500397</c:v>
                </c:pt>
                <c:pt idx="581">
                  <c:v>-93.619632675297851</c:v>
                </c:pt>
                <c:pt idx="582">
                  <c:v>-93.61005801927972</c:v>
                </c:pt>
                <c:pt idx="583">
                  <c:v>-93.600533814077622</c:v>
                </c:pt>
                <c:pt idx="584">
                  <c:v>-93.591059662530157</c:v>
                </c:pt>
                <c:pt idx="585">
                  <c:v>-93.581635171628136</c:v>
                </c:pt>
                <c:pt idx="586">
                  <c:v>-93.57225995246047</c:v>
                </c:pt>
                <c:pt idx="587">
                  <c:v>-93.562933620160891</c:v>
                </c:pt>
                <c:pt idx="588">
                  <c:v>-93.553655793855697</c:v>
                </c:pt>
                <c:pt idx="589">
                  <c:v>-93.544426096612099</c:v>
                </c:pt>
                <c:pt idx="590">
                  <c:v>-93.535244155387531</c:v>
                </c:pt>
                <c:pt idx="591">
                  <c:v>-93.526109600979538</c:v>
                </c:pt>
                <c:pt idx="592">
                  <c:v>-93.517022067976711</c:v>
                </c:pt>
                <c:pt idx="593">
                  <c:v>-93.507981194710055</c:v>
                </c:pt>
                <c:pt idx="594">
                  <c:v>-93.498986623205369</c:v>
                </c:pt>
                <c:pt idx="595">
                  <c:v>-93.490037999136206</c:v>
                </c:pt>
                <c:pt idx="596">
                  <c:v>-93.481134971777621</c:v>
                </c:pt>
                <c:pt idx="597">
                  <c:v>-93.472277193960537</c:v>
                </c:pt>
                <c:pt idx="598">
                  <c:v>-93.463464322026908</c:v>
                </c:pt>
                <c:pt idx="599">
                  <c:v>-93.454696015785402</c:v>
                </c:pt>
                <c:pt idx="600">
                  <c:v>-93.445971938468077</c:v>
                </c:pt>
                <c:pt idx="601">
                  <c:v>-93.437291756687159</c:v>
                </c:pt>
                <c:pt idx="602">
                  <c:v>-93.428655140393033</c:v>
                </c:pt>
                <c:pt idx="603">
                  <c:v>-93.42006176283256</c:v>
                </c:pt>
                <c:pt idx="604">
                  <c:v>-93.411511300508053</c:v>
                </c:pt>
                <c:pt idx="605">
                  <c:v>-93.40300343313686</c:v>
                </c:pt>
                <c:pt idx="606">
                  <c:v>-93.025669591205784</c:v>
                </c:pt>
                <c:pt idx="607">
                  <c:v>-92.723603645240289</c:v>
                </c:pt>
                <c:pt idx="608">
                  <c:v>-92.47634049668801</c:v>
                </c:pt>
                <c:pt idx="609">
                  <c:v>-92.270213970591456</c:v>
                </c:pt>
                <c:pt idx="610">
                  <c:v>-92.095751128090981</c:v>
                </c:pt>
                <c:pt idx="611">
                  <c:v>-91.946179168446093</c:v>
                </c:pt>
                <c:pt idx="612">
                  <c:v>-91.816527689985918</c:v>
                </c:pt>
                <c:pt idx="613">
                  <c:v>-91.703066690162387</c:v>
                </c:pt>
                <c:pt idx="614">
                  <c:v>-91.602942450048374</c:v>
                </c:pt>
                <c:pt idx="615">
                  <c:v>-91.513934538700568</c:v>
                </c:pt>
                <c:pt idx="616">
                  <c:v>-91.434289411826271</c:v>
                </c:pt>
                <c:pt idx="617">
                  <c:v>-91.362603848896768</c:v>
                </c:pt>
                <c:pt idx="618">
                  <c:v>-91.335896313454555</c:v>
                </c:pt>
                <c:pt idx="619">
                  <c:v>-91.310215420195377</c:v>
                </c:pt>
                <c:pt idx="620">
                  <c:v>-91.28550309913453</c:v>
                </c:pt>
                <c:pt idx="621">
                  <c:v>-91.261705578003614</c:v>
                </c:pt>
                <c:pt idx="622">
                  <c:v>-91.238772991947911</c:v>
                </c:pt>
                <c:pt idx="623">
                  <c:v>-91.216659034993953</c:v>
                </c:pt>
                <c:pt idx="624">
                  <c:v>-91.195320648163332</c:v>
                </c:pt>
                <c:pt idx="625">
                  <c:v>-91.17471773981579</c:v>
                </c:pt>
                <c:pt idx="626">
                  <c:v>-91.154812934402486</c:v>
                </c:pt>
                <c:pt idx="627">
                  <c:v>-91.135571346318471</c:v>
                </c:pt>
                <c:pt idx="628">
                  <c:v>-91.116960375977811</c:v>
                </c:pt>
                <c:pt idx="629">
                  <c:v>-91.098949525604468</c:v>
                </c:pt>
                <c:pt idx="630">
                  <c:v>-91.081510232551025</c:v>
                </c:pt>
                <c:pt idx="631">
                  <c:v>-91.064615718230257</c:v>
                </c:pt>
                <c:pt idx="632">
                  <c:v>-91.04824085097917</c:v>
                </c:pt>
                <c:pt idx="633">
                  <c:v>-91.032362021379996</c:v>
                </c:pt>
                <c:pt idx="634">
                  <c:v>-91.016957028737153</c:v>
                </c:pt>
                <c:pt idx="635">
                  <c:v>-91.002004977563402</c:v>
                </c:pt>
                <c:pt idx="636">
                  <c:v>-90.987486183060412</c:v>
                </c:pt>
                <c:pt idx="637">
                  <c:v>-90.973382084694833</c:v>
                </c:pt>
                <c:pt idx="638">
                  <c:v>-90.959675167072675</c:v>
                </c:pt>
                <c:pt idx="639">
                  <c:v>-90.946348887403133</c:v>
                </c:pt>
                <c:pt idx="640">
                  <c:v>-90.933387608920015</c:v>
                </c:pt>
                <c:pt idx="641">
                  <c:v>-90.920776539697869</c:v>
                </c:pt>
                <c:pt idx="642">
                  <c:v>-90.908501676360089</c:v>
                </c:pt>
                <c:pt idx="643">
                  <c:v>-90.896549752227799</c:v>
                </c:pt>
                <c:pt idx="644">
                  <c:v>-90.884908189507073</c:v>
                </c:pt>
                <c:pt idx="645">
                  <c:v>-90.873565055151744</c:v>
                </c:pt>
                <c:pt idx="646">
                  <c:v>-90.862509020076573</c:v>
                </c:pt>
                <c:pt idx="647">
                  <c:v>-90.851729321427385</c:v>
                </c:pt>
                <c:pt idx="648">
                  <c:v>-90.841215727645064</c:v>
                </c:pt>
                <c:pt idx="649">
                  <c:v>-90.830958506083974</c:v>
                </c:pt>
                <c:pt idx="650">
                  <c:v>-90.820948392970209</c:v>
                </c:pt>
                <c:pt idx="651">
                  <c:v>-90.811176565504695</c:v>
                </c:pt>
                <c:pt idx="652">
                  <c:v>-90.801634615934219</c:v>
                </c:pt>
                <c:pt idx="653">
                  <c:v>-90.792314527430932</c:v>
                </c:pt>
                <c:pt idx="654">
                  <c:v>-90.78320865163434</c:v>
                </c:pt>
                <c:pt idx="655">
                  <c:v>-90.774309687723743</c:v>
                </c:pt>
                <c:pt idx="656">
                  <c:v>-90.765610662901224</c:v>
                </c:pt>
                <c:pt idx="657">
                  <c:v>-90.757104914174789</c:v>
                </c:pt>
                <c:pt idx="658">
                  <c:v>-90.748786071342394</c:v>
                </c:pt>
                <c:pt idx="659">
                  <c:v>-90.740648041085123</c:v>
                </c:pt>
                <c:pt idx="660">
                  <c:v>-90.732684992086234</c:v>
                </c:pt>
                <c:pt idx="661">
                  <c:v>-90.724891341099578</c:v>
                </c:pt>
                <c:pt idx="662">
                  <c:v>-90.717261739897779</c:v>
                </c:pt>
                <c:pt idx="663">
                  <c:v>-90.709791063035496</c:v>
                </c:pt>
                <c:pt idx="664">
                  <c:v>-90.702474396369695</c:v>
                </c:pt>
                <c:pt idx="665">
                  <c:v>-90.695307026282194</c:v>
                </c:pt>
                <c:pt idx="666">
                  <c:v>-90.688284429555324</c:v>
                </c:pt>
                <c:pt idx="667">
                  <c:v>-90.681402263854693</c:v>
                </c:pt>
              </c:numCache>
            </c:numRef>
          </c:yVal>
          <c:smooth val="0"/>
          <c:extLst>
            <c:ext xmlns:c16="http://schemas.microsoft.com/office/drawing/2014/chart" uri="{C3380CC4-5D6E-409C-BE32-E72D297353CC}">
              <c16:uniqueId val="{00000001-2DBB-4F72-B5DF-A436F54D08AE}"/>
            </c:ext>
          </c:extLst>
        </c:ser>
        <c:dLbls>
          <c:showLegendKey val="0"/>
          <c:showVal val="0"/>
          <c:showCatName val="0"/>
          <c:showSerName val="0"/>
          <c:showPercent val="0"/>
          <c:showBubbleSize val="0"/>
        </c:dLbls>
        <c:axId val="176900736"/>
        <c:axId val="176902528"/>
      </c:scatterChart>
      <c:valAx>
        <c:axId val="176896640"/>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297177526722869"/>
              <c:y val="0.8831179738896208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898816"/>
        <c:crossesAt val="-120"/>
        <c:crossBetween val="midCat"/>
      </c:valAx>
      <c:valAx>
        <c:axId val="17689881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797101449275412E-2"/>
              <c:y val="0.44155898694481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896640"/>
        <c:crosses val="autoZero"/>
        <c:crossBetween val="midCat"/>
      </c:valAx>
      <c:valAx>
        <c:axId val="176900736"/>
        <c:scaling>
          <c:logBase val="10"/>
          <c:orientation val="minMax"/>
        </c:scaling>
        <c:delete val="1"/>
        <c:axPos val="b"/>
        <c:numFmt formatCode="General" sourceLinked="1"/>
        <c:majorTickMark val="out"/>
        <c:minorTickMark val="none"/>
        <c:tickLblPos val="none"/>
        <c:crossAx val="176902528"/>
        <c:crosses val="autoZero"/>
        <c:crossBetween val="midCat"/>
      </c:valAx>
      <c:valAx>
        <c:axId val="176902528"/>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71185667010505"/>
              <c:y val="0.3662343116201382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00736"/>
        <c:crosses val="max"/>
        <c:crossBetween val="midCat"/>
      </c:valAx>
      <c:spPr>
        <a:noFill/>
        <a:ln w="12700">
          <a:solidFill>
            <a:srgbClr val="808080"/>
          </a:solidFill>
          <a:prstDash val="solid"/>
        </a:ln>
      </c:spPr>
    </c:plotArea>
    <c:legend>
      <c:legendPos val="r"/>
      <c:layout>
        <c:manualLayout>
          <c:xMode val="edge"/>
          <c:yMode val="edge"/>
          <c:x val="0.76630434782608692"/>
          <c:y val="1.2987012987012988E-2"/>
          <c:w val="0.21557971014492749"/>
          <c:h val="0.14545454545454545"/>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FeedBack To Comp
5V Vin</a:t>
            </a:r>
          </a:p>
        </c:rich>
      </c:tx>
      <c:layout>
        <c:manualLayout>
          <c:xMode val="edge"/>
          <c:yMode val="edge"/>
          <c:x val="0.40036307961505191"/>
          <c:y val="3.3766233766233771E-2"/>
        </c:manualLayout>
      </c:layout>
      <c:overlay val="0"/>
      <c:spPr>
        <a:noFill/>
        <a:ln w="25400">
          <a:noFill/>
        </a:ln>
      </c:spPr>
    </c:title>
    <c:autoTitleDeleted val="0"/>
    <c:plotArea>
      <c:layout>
        <c:manualLayout>
          <c:layoutTarget val="inner"/>
          <c:xMode val="edge"/>
          <c:yMode val="edge"/>
          <c:x val="0.11594223410296738"/>
          <c:y val="0.20779247132770992"/>
          <c:w val="0.79166806723432415"/>
          <c:h val="0.60519557274195002"/>
        </c:manualLayout>
      </c:layout>
      <c:scatterChart>
        <c:scatterStyle val="smoothMarker"/>
        <c:varyColors val="0"/>
        <c:ser>
          <c:idx val="2"/>
          <c:order val="0"/>
          <c:tx>
            <c:v>Theoretical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Calculations'!$BB$9:$BB$676</c:f>
              <c:numCache>
                <c:formatCode>General</c:formatCode>
                <c:ptCount val="668"/>
                <c:pt idx="0">
                  <c:v>61.494256902563365</c:v>
                </c:pt>
                <c:pt idx="1">
                  <c:v>57.914749995713294</c:v>
                </c:pt>
                <c:pt idx="2">
                  <c:v>55.046372899042389</c:v>
                </c:pt>
                <c:pt idx="3">
                  <c:v>52.801699838246961</c:v>
                </c:pt>
                <c:pt idx="4">
                  <c:v>50.986344444534538</c:v>
                </c:pt>
                <c:pt idx="5">
                  <c:v>49.470938146613157</c:v>
                </c:pt>
                <c:pt idx="6">
                  <c:v>48.173662458711718</c:v>
                </c:pt>
                <c:pt idx="7">
                  <c:v>47.041080578892441</c:v>
                </c:pt>
                <c:pt idx="8">
                  <c:v>46.036819500119002</c:v>
                </c:pt>
                <c:pt idx="9">
                  <c:v>45.135162396785972</c:v>
                </c:pt>
                <c:pt idx="10">
                  <c:v>39.158083804972527</c:v>
                </c:pt>
                <c:pt idx="11">
                  <c:v>35.644546176724695</c:v>
                </c:pt>
                <c:pt idx="12">
                  <c:v>33.148888543565533</c:v>
                </c:pt>
                <c:pt idx="13">
                  <c:v>31.212365244900205</c:v>
                </c:pt>
                <c:pt idx="14">
                  <c:v>29.629899215084521</c:v>
                </c:pt>
                <c:pt idx="15">
                  <c:v>28.291920402829291</c:v>
                </c:pt>
                <c:pt idx="16">
                  <c:v>27.132968635702127</c:v>
                </c:pt>
                <c:pt idx="17">
                  <c:v>26.110798663279546</c:v>
                </c:pt>
                <c:pt idx="18">
                  <c:v>25.196555865993055</c:v>
                </c:pt>
                <c:pt idx="19">
                  <c:v>19.188543367526897</c:v>
                </c:pt>
                <c:pt idx="20">
                  <c:v>15.687004716032757</c:v>
                </c:pt>
                <c:pt idx="21">
                  <c:v>13.216453762329209</c:v>
                </c:pt>
                <c:pt idx="22">
                  <c:v>11.314361021025629</c:v>
                </c:pt>
                <c:pt idx="23">
                  <c:v>9.7746215100993279</c:v>
                </c:pt>
                <c:pt idx="24">
                  <c:v>8.4872142768477694</c:v>
                </c:pt>
                <c:pt idx="25">
                  <c:v>7.3863891843790164</c:v>
                </c:pt>
                <c:pt idx="26">
                  <c:v>6.4296597713206598</c:v>
                </c:pt>
                <c:pt idx="27">
                  <c:v>5.5879421171851877</c:v>
                </c:pt>
                <c:pt idx="28">
                  <c:v>2.5320922696018529</c:v>
                </c:pt>
                <c:pt idx="29">
                  <c:v>0.64099776067776193</c:v>
                </c:pt>
                <c:pt idx="30">
                  <c:v>-0.58047558249669351</c:v>
                </c:pt>
                <c:pt idx="31">
                  <c:v>-1.3690534313188532</c:v>
                </c:pt>
                <c:pt idx="32">
                  <c:v>-1.8609729372142292</c:v>
                </c:pt>
                <c:pt idx="33">
                  <c:v>-2.1430472870955479</c:v>
                </c:pt>
                <c:pt idx="34">
                  <c:v>-2.2739351877577807</c:v>
                </c:pt>
                <c:pt idx="35">
                  <c:v>-2.2947126655438517</c:v>
                </c:pt>
                <c:pt idx="36">
                  <c:v>-2.2348231307258866</c:v>
                </c:pt>
                <c:pt idx="37">
                  <c:v>-2.1157207526259962</c:v>
                </c:pt>
                <c:pt idx="38">
                  <c:v>-1.9532304401170888</c:v>
                </c:pt>
                <c:pt idx="39">
                  <c:v>-1.7591360125040634</c:v>
                </c:pt>
                <c:pt idx="40">
                  <c:v>-1.5422782705998332</c:v>
                </c:pt>
                <c:pt idx="41">
                  <c:v>-1.3093296611756353</c:v>
                </c:pt>
                <c:pt idx="42">
                  <c:v>-1.0653494642268984</c:v>
                </c:pt>
                <c:pt idx="43">
                  <c:v>-0.81418682751452864</c:v>
                </c:pt>
                <c:pt idx="44">
                  <c:v>-0.55877653012063122</c:v>
                </c:pt>
                <c:pt idx="45">
                  <c:v>-0.3013580676090758</c:v>
                </c:pt>
                <c:pt idx="46">
                  <c:v>-4.3639285125658706E-2</c:v>
                </c:pt>
                <c:pt idx="47">
                  <c:v>0.21308049714731531</c:v>
                </c:pt>
                <c:pt idx="48">
                  <c:v>0.46781721395113357</c:v>
                </c:pt>
                <c:pt idx="49">
                  <c:v>0.71983096614967201</c:v>
                </c:pt>
                <c:pt idx="50">
                  <c:v>0.96857153225687442</c:v>
                </c:pt>
                <c:pt idx="51">
                  <c:v>1.2136363872997227</c:v>
                </c:pt>
                <c:pt idx="52">
                  <c:v>1.454738204112821</c:v>
                </c:pt>
                <c:pt idx="53">
                  <c:v>1.6916795856559883</c:v>
                </c:pt>
                <c:pt idx="54">
                  <c:v>1.924333341592197</c:v>
                </c:pt>
                <c:pt idx="55">
                  <c:v>2.1526270375871084</c:v>
                </c:pt>
                <c:pt idx="56">
                  <c:v>2.3765308532243488</c:v>
                </c:pt>
                <c:pt idx="57">
                  <c:v>2.5960480135129451</c:v>
                </c:pt>
                <c:pt idx="58">
                  <c:v>2.8112072306940679</c:v>
                </c:pt>
                <c:pt idx="59">
                  <c:v>3.0220567225282045</c:v>
                </c:pt>
                <c:pt idx="60">
                  <c:v>3.2286594713899537</c:v>
                </c:pt>
                <c:pt idx="61">
                  <c:v>3.4310894632818725</c:v>
                </c:pt>
                <c:pt idx="62">
                  <c:v>3.6294287031441756</c:v>
                </c:pt>
                <c:pt idx="63">
                  <c:v>3.8237648468953784</c:v>
                </c:pt>
                <c:pt idx="64">
                  <c:v>4.0141893246892746</c:v>
                </c:pt>
                <c:pt idx="65">
                  <c:v>4.200795856304075</c:v>
                </c:pt>
                <c:pt idx="66">
                  <c:v>4.3836792801794928</c:v>
                </c:pt>
                <c:pt idx="67">
                  <c:v>4.5629346337374823</c:v>
                </c:pt>
                <c:pt idx="68">
                  <c:v>4.7386564352844225</c:v>
                </c:pt>
                <c:pt idx="69">
                  <c:v>4.9109381277738731</c:v>
                </c:pt>
                <c:pt idx="70">
                  <c:v>5.0798716526049601</c:v>
                </c:pt>
                <c:pt idx="71">
                  <c:v>5.2455471278979404</c:v>
                </c:pt>
                <c:pt idx="72">
                  <c:v>5.4080526106771352</c:v>
                </c:pt>
                <c:pt idx="73">
                  <c:v>5.5674739263750865</c:v>
                </c:pt>
                <c:pt idx="74">
                  <c:v>5.7238945522610072</c:v>
                </c:pt>
                <c:pt idx="75">
                  <c:v>5.8773955439576202</c:v>
                </c:pt>
                <c:pt idx="76">
                  <c:v>6.0280554962710298</c:v>
                </c:pt>
                <c:pt idx="77">
                  <c:v>6.1759505312208542</c:v>
                </c:pt>
                <c:pt idx="78">
                  <c:v>6.3211543075019154</c:v>
                </c:pt>
                <c:pt idx="79">
                  <c:v>6.4637380466970695</c:v>
                </c:pt>
                <c:pt idx="80">
                  <c:v>6.6037705724447733</c:v>
                </c:pt>
                <c:pt idx="81">
                  <c:v>6.7413183594825625</c:v>
                </c:pt>
                <c:pt idx="82">
                  <c:v>6.8764455900725334</c:v>
                </c:pt>
                <c:pt idx="83">
                  <c:v>7.0092142157913093</c:v>
                </c:pt>
                <c:pt idx="84">
                  <c:v>7.1396840230558194</c:v>
                </c:pt>
                <c:pt idx="85">
                  <c:v>7.2679127010735769</c:v>
                </c:pt>
                <c:pt idx="86">
                  <c:v>7.3939559111659561</c:v>
                </c:pt>
                <c:pt idx="87">
                  <c:v>7.5178673566248087</c:v>
                </c:pt>
                <c:pt idx="88">
                  <c:v>7.6396988524364389</c:v>
                </c:pt>
                <c:pt idx="89">
                  <c:v>7.7595003943486516</c:v>
                </c:pt>
                <c:pt idx="90">
                  <c:v>7.8773202268726141</c:v>
                </c:pt>
                <c:pt idx="91">
                  <c:v>7.9932049099057121</c:v>
                </c:pt>
                <c:pt idx="92">
                  <c:v>8.1071993837390384</c:v>
                </c:pt>
                <c:pt idx="93">
                  <c:v>8.2193470322755431</c:v>
                </c:pt>
                <c:pt idx="94">
                  <c:v>8.3296897443363722</c:v>
                </c:pt>
                <c:pt idx="95">
                  <c:v>8.4382679729737902</c:v>
                </c:pt>
                <c:pt idx="96">
                  <c:v>8.5451207927427113</c:v>
                </c:pt>
                <c:pt idx="97">
                  <c:v>8.6502859549094016</c:v>
                </c:pt>
                <c:pt idx="98">
                  <c:v>8.7537999405974016</c:v>
                </c:pt>
                <c:pt idx="99">
                  <c:v>8.8556980118874229</c:v>
                </c:pt>
                <c:pt idx="100">
                  <c:v>8.9560142609014033</c:v>
                </c:pt>
                <c:pt idx="101">
                  <c:v>9.0547816569109099</c:v>
                </c:pt>
                <c:pt idx="102">
                  <c:v>9.1520320915180271</c:v>
                </c:pt>
                <c:pt idx="103">
                  <c:v>9.247796421962482</c:v>
                </c:pt>
                <c:pt idx="104">
                  <c:v>9.3421045126129449</c:v>
                </c:pt>
                <c:pt idx="105">
                  <c:v>9.4349852747031946</c:v>
                </c:pt>
                <c:pt idx="106">
                  <c:v>9.526466704375423</c:v>
                </c:pt>
                <c:pt idx="107">
                  <c:v>9.6165759190939823</c:v>
                </c:pt>
                <c:pt idx="108">
                  <c:v>9.7053391924928007</c:v>
                </c:pt>
                <c:pt idx="109">
                  <c:v>9.7927819877192448</c:v>
                </c:pt>
                <c:pt idx="110">
                  <c:v>9.8789289893365861</c:v>
                </c:pt>
                <c:pt idx="111">
                  <c:v>9.9638041338456063</c:v>
                </c:pt>
                <c:pt idx="112">
                  <c:v>10.047430638884752</c:v>
                </c:pt>
                <c:pt idx="113">
                  <c:v>10.129831031166407</c:v>
                </c:pt>
                <c:pt idx="114">
                  <c:v>10.211027173205006</c:v>
                </c:pt>
                <c:pt idx="115">
                  <c:v>10.291040288890992</c:v>
                </c:pt>
                <c:pt idx="116">
                  <c:v>10.369890987962373</c:v>
                </c:pt>
                <c:pt idx="117">
                  <c:v>10.447599289423932</c:v>
                </c:pt>
                <c:pt idx="118">
                  <c:v>10.524184643961881</c:v>
                </c:pt>
                <c:pt idx="119">
                  <c:v>10.599665955399981</c:v>
                </c:pt>
                <c:pt idx="120">
                  <c:v>10.674061601240997</c:v>
                </c:pt>
                <c:pt idx="121">
                  <c:v>10.74738945233551</c:v>
                </c:pt>
                <c:pt idx="122">
                  <c:v>10.819666891718281</c:v>
                </c:pt>
                <c:pt idx="123">
                  <c:v>10.89091083265042</c:v>
                </c:pt>
                <c:pt idx="124">
                  <c:v>10.961137735903906</c:v>
                </c:pt>
                <c:pt idx="125">
                  <c:v>11.030363626323245</c:v>
                </c:pt>
                <c:pt idx="126">
                  <c:v>11.098604108697609</c:v>
                </c:pt>
                <c:pt idx="127">
                  <c:v>11.165874382974755</c:v>
                </c:pt>
                <c:pt idx="128">
                  <c:v>11.232189258847134</c:v>
                </c:pt>
                <c:pt idx="129">
                  <c:v>11.297563169738556</c:v>
                </c:pt>
                <c:pt idx="130">
                  <c:v>11.362010186218836</c:v>
                </c:pt>
                <c:pt idx="131">
                  <c:v>11.425544028872171</c:v>
                </c:pt>
                <c:pt idx="132">
                  <c:v>11.488178080644065</c:v>
                </c:pt>
                <c:pt idx="133">
                  <c:v>11.549925398690137</c:v>
                </c:pt>
                <c:pt idx="134">
                  <c:v>11.610798725749127</c:v>
                </c:pt>
                <c:pt idx="135">
                  <c:v>11.670810501061368</c:v>
                </c:pt>
                <c:pt idx="136">
                  <c:v>11.729972870852798</c:v>
                </c:pt>
                <c:pt idx="137">
                  <c:v>11.788297698403831</c:v>
                </c:pt>
                <c:pt idx="138">
                  <c:v>11.845796573721188</c:v>
                </c:pt>
                <c:pt idx="139">
                  <c:v>11.902480822830164</c:v>
                </c:pt>
                <c:pt idx="140">
                  <c:v>11.958361516703796</c:v>
                </c:pt>
                <c:pt idx="141">
                  <c:v>12.01344947984466</c:v>
                </c:pt>
                <c:pt idx="142">
                  <c:v>12.067755298534241</c:v>
                </c:pt>
                <c:pt idx="143">
                  <c:v>12.121289328764107</c:v>
                </c:pt>
                <c:pt idx="144">
                  <c:v>12.174061703862487</c:v>
                </c:pt>
                <c:pt idx="145">
                  <c:v>12.226082341829066</c:v>
                </c:pt>
                <c:pt idx="146">
                  <c:v>12.277360952390364</c:v>
                </c:pt>
                <c:pt idx="147">
                  <c:v>12.327907043787365</c:v>
                </c:pt>
                <c:pt idx="148">
                  <c:v>12.377729929306538</c:v>
                </c:pt>
                <c:pt idx="149">
                  <c:v>12.426838733564873</c:v>
                </c:pt>
                <c:pt idx="150">
                  <c:v>12.475242398559132</c:v>
                </c:pt>
                <c:pt idx="151">
                  <c:v>12.522949689488808</c:v>
                </c:pt>
                <c:pt idx="152">
                  <c:v>12.569969200362207</c:v>
                </c:pt>
                <c:pt idx="153">
                  <c:v>12.616309359394274</c:v>
                </c:pt>
                <c:pt idx="154">
                  <c:v>12.661978434204567</c:v>
                </c:pt>
                <c:pt idx="155">
                  <c:v>12.706984536823484</c:v>
                </c:pt>
                <c:pt idx="156">
                  <c:v>12.751335628514255</c:v>
                </c:pt>
                <c:pt idx="157">
                  <c:v>12.795039524418035</c:v>
                </c:pt>
                <c:pt idx="158">
                  <c:v>12.838103898029098</c:v>
                </c:pt>
                <c:pt idx="159">
                  <c:v>12.880536285506716</c:v>
                </c:pt>
                <c:pt idx="160">
                  <c:v>12.922344089830153</c:v>
                </c:pt>
                <c:pt idx="161">
                  <c:v>12.963534584802792</c:v>
                </c:pt>
                <c:pt idx="162">
                  <c:v>13.004114918911302</c:v>
                </c:pt>
                <c:pt idx="163">
                  <c:v>13.044092119045276</c:v>
                </c:pt>
                <c:pt idx="164">
                  <c:v>13.083473094082796</c:v>
                </c:pt>
                <c:pt idx="165">
                  <c:v>13.122264638346913</c:v>
                </c:pt>
                <c:pt idx="166">
                  <c:v>13.160473434938032</c:v>
                </c:pt>
                <c:pt idx="167">
                  <c:v>13.19810605894677</c:v>
                </c:pt>
                <c:pt idx="168">
                  <c:v>13.235168980551823</c:v>
                </c:pt>
                <c:pt idx="169">
                  <c:v>13.271668568007112</c:v>
                </c:pt>
                <c:pt idx="170">
                  <c:v>13.30761109052238</c:v>
                </c:pt>
                <c:pt idx="171">
                  <c:v>13.343002721041074</c:v>
                </c:pt>
                <c:pt idx="172">
                  <c:v>13.377849538919413</c:v>
                </c:pt>
                <c:pt idx="173">
                  <c:v>13.412157532510186</c:v>
                </c:pt>
                <c:pt idx="174">
                  <c:v>13.445932601654869</c:v>
                </c:pt>
                <c:pt idx="175">
                  <c:v>13.479180560087245</c:v>
                </c:pt>
                <c:pt idx="176">
                  <c:v>13.511907137751955</c:v>
                </c:pt>
                <c:pt idx="177">
                  <c:v>13.544117983040884</c:v>
                </c:pt>
                <c:pt idx="178">
                  <c:v>13.575818664950464</c:v>
                </c:pt>
                <c:pt idx="179">
                  <c:v>13.60701467516267</c:v>
                </c:pt>
                <c:pt idx="180">
                  <c:v>13.637711430052541</c:v>
                </c:pt>
                <c:pt idx="181">
                  <c:v>13.66791427262482</c:v>
                </c:pt>
                <c:pt idx="182">
                  <c:v>13.697628474382187</c:v>
                </c:pt>
                <c:pt idx="183">
                  <c:v>13.726859237127695</c:v>
                </c:pt>
                <c:pt idx="184">
                  <c:v>13.755611694703578</c:v>
                </c:pt>
                <c:pt idx="185">
                  <c:v>13.783890914668831</c:v>
                </c:pt>
                <c:pt idx="186">
                  <c:v>13.811701899917683</c:v>
                </c:pt>
                <c:pt idx="187">
                  <c:v>13.839049590241084</c:v>
                </c:pt>
                <c:pt idx="188">
                  <c:v>13.865938863833218</c:v>
                </c:pt>
                <c:pt idx="189">
                  <c:v>13.892374538745036</c:v>
                </c:pt>
                <c:pt idx="190">
                  <c:v>13.918361374286601</c:v>
                </c:pt>
                <c:pt idx="191">
                  <c:v>13.94390407238021</c:v>
                </c:pt>
                <c:pt idx="192">
                  <c:v>13.96900727886586</c:v>
                </c:pt>
                <c:pt idx="193">
                  <c:v>13.993675584760927</c:v>
                </c:pt>
                <c:pt idx="194">
                  <c:v>14.017913527475551</c:v>
                </c:pt>
                <c:pt idx="195">
                  <c:v>14.041725591985376</c:v>
                </c:pt>
                <c:pt idx="196">
                  <c:v>14.065116211963149</c:v>
                </c:pt>
                <c:pt idx="197">
                  <c:v>14.088089770870631</c:v>
                </c:pt>
                <c:pt idx="198">
                  <c:v>14.110650603012209</c:v>
                </c:pt>
                <c:pt idx="199">
                  <c:v>14.132802994551692</c:v>
                </c:pt>
                <c:pt idx="200">
                  <c:v>14.154551184493442</c:v>
                </c:pt>
                <c:pt idx="201">
                  <c:v>14.17589936562926</c:v>
                </c:pt>
                <c:pt idx="202">
                  <c:v>14.196851685452156</c:v>
                </c:pt>
                <c:pt idx="203">
                  <c:v>14.217412247038315</c:v>
                </c:pt>
                <c:pt idx="204">
                  <c:v>14.23758510989825</c:v>
                </c:pt>
                <c:pt idx="205">
                  <c:v>14.257374290798388</c:v>
                </c:pt>
                <c:pt idx="206">
                  <c:v>14.276783764554112</c:v>
                </c:pt>
                <c:pt idx="207">
                  <c:v>14.295817464795295</c:v>
                </c:pt>
                <c:pt idx="208">
                  <c:v>14.314479284705312</c:v>
                </c:pt>
                <c:pt idx="209">
                  <c:v>14.332773077734597</c:v>
                </c:pt>
                <c:pt idx="210">
                  <c:v>14.35070265828953</c:v>
                </c:pt>
                <c:pt idx="211">
                  <c:v>14.368271802397674</c:v>
                </c:pt>
                <c:pt idx="212">
                  <c:v>14.385484248350252</c:v>
                </c:pt>
                <c:pt idx="213">
                  <c:v>14.402343697322589</c:v>
                </c:pt>
                <c:pt idx="214">
                  <c:v>14.418853813973485</c:v>
                </c:pt>
                <c:pt idx="215">
                  <c:v>14.435018227024226</c:v>
                </c:pt>
                <c:pt idx="216">
                  <c:v>14.450840529817983</c:v>
                </c:pt>
                <c:pt idx="217">
                  <c:v>14.466324280860457</c:v>
                </c:pt>
                <c:pt idx="218">
                  <c:v>14.481473004342311</c:v>
                </c:pt>
                <c:pt idx="219">
                  <c:v>14.496290190644254</c:v>
                </c:pt>
                <c:pt idx="220">
                  <c:v>14.510779296825319</c:v>
                </c:pt>
                <c:pt idx="221">
                  <c:v>14.524943747095062</c:v>
                </c:pt>
                <c:pt idx="222">
                  <c:v>14.538786933270256</c:v>
                </c:pt>
                <c:pt idx="223">
                  <c:v>14.552312215216709</c:v>
                </c:pt>
                <c:pt idx="224">
                  <c:v>14.565522921276798</c:v>
                </c:pt>
                <c:pt idx="225">
                  <c:v>14.57842234868327</c:v>
                </c:pt>
                <c:pt idx="226">
                  <c:v>14.691000210306211</c:v>
                </c:pt>
                <c:pt idx="227">
                  <c:v>14.775860129454442</c:v>
                </c:pt>
                <c:pt idx="228">
                  <c:v>14.835838754796818</c:v>
                </c:pt>
                <c:pt idx="229">
                  <c:v>14.873526367689397</c:v>
                </c:pt>
                <c:pt idx="230">
                  <c:v>14.891286910568653</c:v>
                </c:pt>
                <c:pt idx="231">
                  <c:v>14.891274757962305</c:v>
                </c:pt>
                <c:pt idx="232">
                  <c:v>14.875449534658195</c:v>
                </c:pt>
                <c:pt idx="233">
                  <c:v>14.845589779126826</c:v>
                </c:pt>
                <c:pt idx="234">
                  <c:v>14.803305900971626</c:v>
                </c:pt>
                <c:pt idx="235">
                  <c:v>14.750052650453258</c:v>
                </c:pt>
                <c:pt idx="236">
                  <c:v>14.687141174604397</c:v>
                </c:pt>
                <c:pt idx="237">
                  <c:v>14.615750652865669</c:v>
                </c:pt>
                <c:pt idx="238">
                  <c:v>14.536939465736429</c:v>
                </c:pt>
                <c:pt idx="239">
                  <c:v>14.451655837636148</c:v>
                </c:pt>
                <c:pt idx="240">
                  <c:v>14.360747899056545</c:v>
                </c:pt>
                <c:pt idx="241">
                  <c:v>14.26497312549075</c:v>
                </c:pt>
                <c:pt idx="242">
                  <c:v>14.165007126459324</c:v>
                </c:pt>
                <c:pt idx="243">
                  <c:v>14.061451774037259</c:v>
                </c:pt>
                <c:pt idx="244">
                  <c:v>13.95484267481222</c:v>
                </c:pt>
                <c:pt idx="245">
                  <c:v>13.845656001297424</c:v>
                </c:pt>
                <c:pt idx="246">
                  <c:v>13.734314708210336</c:v>
                </c:pt>
                <c:pt idx="247">
                  <c:v>13.621194165799931</c:v>
                </c:pt>
                <c:pt idx="248">
                  <c:v>13.506627246846705</c:v>
                </c:pt>
                <c:pt idx="249">
                  <c:v>13.39090890644102</c:v>
                </c:pt>
                <c:pt idx="250">
                  <c:v>13.2743002945545</c:v>
                </c:pt>
                <c:pt idx="251">
                  <c:v>13.157032441119483</c:v>
                </c:pt>
                <c:pt idx="252">
                  <c:v>13.03930955214464</c:v>
                </c:pt>
                <c:pt idx="253">
                  <c:v>12.921311953588944</c:v>
                </c:pt>
                <c:pt idx="254">
                  <c:v>12.803198717511098</c:v>
                </c:pt>
                <c:pt idx="255">
                  <c:v>12.685110002577751</c:v>
                </c:pt>
                <c:pt idx="256">
                  <c:v>12.567169138482093</c:v>
                </c:pt>
                <c:pt idx="257">
                  <c:v>12.449484481291382</c:v>
                </c:pt>
                <c:pt idx="258">
                  <c:v>12.332151064274885</c:v>
                </c:pt>
                <c:pt idx="259">
                  <c:v>12.21525206641023</c:v>
                </c:pt>
                <c:pt idx="260">
                  <c:v>12.09886011855393</c:v>
                </c:pt>
                <c:pt idx="261">
                  <c:v>11.983038465208807</c:v>
                </c:pt>
                <c:pt idx="262">
                  <c:v>11.867841997932535</c:v>
                </c:pt>
                <c:pt idx="263">
                  <c:v>11.753318174708998</c:v>
                </c:pt>
                <c:pt idx="264">
                  <c:v>11.639507838041798</c:v>
                </c:pt>
                <c:pt idx="265">
                  <c:v>11.526445943120097</c:v>
                </c:pt>
                <c:pt idx="266">
                  <c:v>11.41416220614127</c:v>
                </c:pt>
                <c:pt idx="267">
                  <c:v>11.302681681741319</c:v>
                </c:pt>
                <c:pt idx="268">
                  <c:v>11.192025277472844</c:v>
                </c:pt>
                <c:pt idx="269">
                  <c:v>11.082210212368945</c:v>
                </c:pt>
                <c:pt idx="270">
                  <c:v>10.973250425831178</c:v>
                </c:pt>
                <c:pt idx="271">
                  <c:v>10.865156942368245</c:v>
                </c:pt>
                <c:pt idx="272">
                  <c:v>10.757938197082561</c:v>
                </c:pt>
                <c:pt idx="273">
                  <c:v>10.65160032624323</c:v>
                </c:pt>
                <c:pt idx="274">
                  <c:v>10.546147426790306</c:v>
                </c:pt>
                <c:pt idx="275">
                  <c:v>10.441581788178178</c:v>
                </c:pt>
                <c:pt idx="276">
                  <c:v>10.337904099579347</c:v>
                </c:pt>
                <c:pt idx="277">
                  <c:v>10.235113635128561</c:v>
                </c:pt>
                <c:pt idx="278">
                  <c:v>10.13320841958484</c:v>
                </c:pt>
                <c:pt idx="279">
                  <c:v>10.032185376522172</c:v>
                </c:pt>
                <c:pt idx="280">
                  <c:v>9.9320404609233996</c:v>
                </c:pt>
                <c:pt idx="281">
                  <c:v>9.8327687778430466</c:v>
                </c:pt>
                <c:pt idx="282">
                  <c:v>9.7343646886199693</c:v>
                </c:pt>
                <c:pt idx="283">
                  <c:v>9.6368219059573157</c:v>
                </c:pt>
                <c:pt idx="284">
                  <c:v>9.5401335790424859</c:v>
                </c:pt>
                <c:pt idx="285">
                  <c:v>9.4442923697514161</c:v>
                </c:pt>
                <c:pt idx="286">
                  <c:v>9.3492905208681005</c:v>
                </c:pt>
                <c:pt idx="287">
                  <c:v>9.2551199171492069</c:v>
                </c:pt>
                <c:pt idx="288">
                  <c:v>9.161772139974639</c:v>
                </c:pt>
                <c:pt idx="289">
                  <c:v>9.0692385162450133</c:v>
                </c:pt>
                <c:pt idx="290">
                  <c:v>8.9775101621171114</c:v>
                </c:pt>
                <c:pt idx="291">
                  <c:v>8.8865780221052422</c:v>
                </c:pt>
                <c:pt idx="292">
                  <c:v>8.7964329040210529</c:v>
                </c:pt>
                <c:pt idx="293">
                  <c:v>8.7070655101745977</c:v>
                </c:pt>
                <c:pt idx="294">
                  <c:v>8.6184664652153682</c:v>
                </c:pt>
                <c:pt idx="295">
                  <c:v>8.5306263409526331</c:v>
                </c:pt>
                <c:pt idx="296">
                  <c:v>8.4435356784594688</c:v>
                </c:pt>
                <c:pt idx="297">
                  <c:v>8.3571850077333529</c:v>
                </c:pt>
                <c:pt idx="298">
                  <c:v>8.271564865158572</c:v>
                </c:pt>
                <c:pt idx="299">
                  <c:v>8.1866658089903392</c:v>
                </c:pt>
                <c:pt idx="300">
                  <c:v>8.102478433058641</c:v>
                </c:pt>
                <c:pt idx="301">
                  <c:v>8.0189933788695136</c:v>
                </c:pt>
                <c:pt idx="302">
                  <c:v>7.9362013462637986</c:v>
                </c:pt>
                <c:pt idx="303">
                  <c:v>7.8540931027773455</c:v>
                </c:pt>
                <c:pt idx="304">
                  <c:v>7.7726594918323224</c:v>
                </c:pt>
                <c:pt idx="305">
                  <c:v>7.6918914398764207</c:v>
                </c:pt>
                <c:pt idx="306">
                  <c:v>7.6117799625751328</c:v>
                </c:pt>
                <c:pt idx="307">
                  <c:v>7.5323161701521837</c:v>
                </c:pt>
                <c:pt idx="308">
                  <c:v>7.4534912719634425</c:v>
                </c:pt>
                <c:pt idx="309">
                  <c:v>7.3752965803817503</c:v>
                </c:pt>
                <c:pt idx="310">
                  <c:v>7.2977235140622572</c:v>
                </c:pt>
                <c:pt idx="311">
                  <c:v>7.2207636006511855</c:v>
                </c:pt>
                <c:pt idx="312">
                  <c:v>7.1444084789949001</c:v>
                </c:pt>
                <c:pt idx="313">
                  <c:v>7.0686499009005734</c:v>
                </c:pt>
                <c:pt idx="314">
                  <c:v>6.9934797324948406</c:v>
                </c:pt>
                <c:pt idx="315">
                  <c:v>6.9188899552224026</c:v>
                </c:pt>
                <c:pt idx="316">
                  <c:v>6.844872666522404</c:v>
                </c:pt>
                <c:pt idx="317">
                  <c:v>6.7714200802168891</c:v>
                </c:pt>
                <c:pt idx="318">
                  <c:v>6.6985245266423208</c:v>
                </c:pt>
                <c:pt idx="319">
                  <c:v>6.6261784525521294</c:v>
                </c:pt>
                <c:pt idx="320">
                  <c:v>6.5543744208156376</c:v>
                </c:pt>
                <c:pt idx="321">
                  <c:v>6.4831051099362957</c:v>
                </c:pt>
                <c:pt idx="322">
                  <c:v>6.4123633134098927</c:v>
                </c:pt>
                <c:pt idx="323">
                  <c:v>6.3421419389414826</c:v>
                </c:pt>
                <c:pt idx="324">
                  <c:v>6.2724340075379832</c:v>
                </c:pt>
                <c:pt idx="325">
                  <c:v>6.2032326524917654</c:v>
                </c:pt>
                <c:pt idx="326">
                  <c:v>6.1345311182689501</c:v>
                </c:pt>
                <c:pt idx="327">
                  <c:v>6.0663227593150717</c:v>
                </c:pt>
                <c:pt idx="328">
                  <c:v>5.9986010387892925</c:v>
                </c:pt>
                <c:pt idx="329">
                  <c:v>5.9313595272374027</c:v>
                </c:pt>
                <c:pt idx="330">
                  <c:v>5.8645919012127381</c:v>
                </c:pt>
                <c:pt idx="331">
                  <c:v>5.7982919418534227</c:v>
                </c:pt>
                <c:pt idx="332">
                  <c:v>5.7324535334232953</c:v>
                </c:pt>
                <c:pt idx="333">
                  <c:v>5.6670706618233391</c:v>
                </c:pt>
                <c:pt idx="334">
                  <c:v>5.6021374130796122</c:v>
                </c:pt>
                <c:pt idx="335">
                  <c:v>5.5376479718131977</c:v>
                </c:pt>
                <c:pt idx="336">
                  <c:v>5.4735966196969645</c:v>
                </c:pt>
                <c:pt idx="337">
                  <c:v>5.4099777339036557</c:v>
                </c:pt>
                <c:pt idx="338">
                  <c:v>5.3467857855491294</c:v>
                </c:pt>
                <c:pt idx="339">
                  <c:v>5.2840153381343127</c:v>
                </c:pt>
                <c:pt idx="340">
                  <c:v>5.2216610459890491</c:v>
                </c:pt>
                <c:pt idx="341">
                  <c:v>5.1597176527205431</c:v>
                </c:pt>
                <c:pt idx="342">
                  <c:v>5.0981799896689797</c:v>
                </c:pt>
                <c:pt idx="343">
                  <c:v>5.0370429743724943</c:v>
                </c:pt>
                <c:pt idx="344">
                  <c:v>4.9763016090434284</c:v>
                </c:pt>
                <c:pt idx="345">
                  <c:v>4.9159509790576044</c:v>
                </c:pt>
                <c:pt idx="346">
                  <c:v>4.855986251458158</c:v>
                </c:pt>
                <c:pt idx="347">
                  <c:v>4.7964026734751739</c:v>
                </c:pt>
                <c:pt idx="348">
                  <c:v>4.7371955710623777</c:v>
                </c:pt>
                <c:pt idx="349">
                  <c:v>4.6783603474517523</c:v>
                </c:pt>
                <c:pt idx="350">
                  <c:v>4.6198924817270575</c:v>
                </c:pt>
                <c:pt idx="351">
                  <c:v>4.561787527416846</c:v>
                </c:pt>
                <c:pt idx="352">
                  <c:v>4.5040411111076786</c:v>
                </c:pt>
                <c:pt idx="353">
                  <c:v>4.4466489310780064</c:v>
                </c:pt>
                <c:pt idx="354">
                  <c:v>4.3896067559531122</c:v>
                </c:pt>
                <c:pt idx="355">
                  <c:v>4.3329104233814419</c:v>
                </c:pt>
                <c:pt idx="356">
                  <c:v>4.2765558387325884</c:v>
                </c:pt>
                <c:pt idx="357">
                  <c:v>4.2205389738170682</c:v>
                </c:pt>
                <c:pt idx="358">
                  <c:v>4.1648558656280574</c:v>
                </c:pt>
                <c:pt idx="359">
                  <c:v>4.1095026151050646</c:v>
                </c:pt>
                <c:pt idx="360">
                  <c:v>4.0544753859196492</c:v>
                </c:pt>
                <c:pt idx="361">
                  <c:v>3.9997704032830583</c:v>
                </c:pt>
                <c:pt idx="362">
                  <c:v>3.9453839527757695</c:v>
                </c:pt>
                <c:pt idx="363">
                  <c:v>3.8913123791987796</c:v>
                </c:pt>
                <c:pt idx="364">
                  <c:v>3.8375520854465228</c:v>
                </c:pt>
                <c:pt idx="365">
                  <c:v>3.7840995314012775</c:v>
                </c:pt>
                <c:pt idx="366">
                  <c:v>3.7309512328487831</c:v>
                </c:pt>
                <c:pt idx="367">
                  <c:v>3.6781037604149351</c:v>
                </c:pt>
                <c:pt idx="368">
                  <c:v>3.6255537385232595</c:v>
                </c:pt>
                <c:pt idx="369">
                  <c:v>3.573297844372965</c:v>
                </c:pt>
                <c:pt idx="370">
                  <c:v>3.521332806937294</c:v>
                </c:pt>
                <c:pt idx="371">
                  <c:v>3.4696554059818179</c:v>
                </c:pt>
                <c:pt idx="372">
                  <c:v>3.4182624711025378</c:v>
                </c:pt>
                <c:pt idx="373">
                  <c:v>3.3671508807833428</c:v>
                </c:pt>
                <c:pt idx="374">
                  <c:v>3.3163175614726459</c:v>
                </c:pt>
                <c:pt idx="375">
                  <c:v>3.2657594866787716</c:v>
                </c:pt>
                <c:pt idx="376">
                  <c:v>3.2154736760838647</c:v>
                </c:pt>
                <c:pt idx="377">
                  <c:v>3.1654571946759873</c:v>
                </c:pt>
                <c:pt idx="378">
                  <c:v>3.1157071518990493</c:v>
                </c:pt>
                <c:pt idx="379">
                  <c:v>3.066220700820304</c:v>
                </c:pt>
                <c:pt idx="380">
                  <c:v>3.0169950373149956</c:v>
                </c:pt>
                <c:pt idx="381">
                  <c:v>2.9680273992679829</c:v>
                </c:pt>
                <c:pt idx="382">
                  <c:v>2.9193150657918454</c:v>
                </c:pt>
                <c:pt idx="383">
                  <c:v>2.8708553564612971</c:v>
                </c:pt>
                <c:pt idx="384">
                  <c:v>2.8226456305634922</c:v>
                </c:pt>
                <c:pt idx="385">
                  <c:v>2.7746832863639641</c:v>
                </c:pt>
                <c:pt idx="386">
                  <c:v>2.7269657603878734</c:v>
                </c:pt>
                <c:pt idx="387">
                  <c:v>2.6794905267161861</c:v>
                </c:pt>
                <c:pt idx="388">
                  <c:v>2.63225509629661</c:v>
                </c:pt>
                <c:pt idx="389">
                  <c:v>2.5852570162688555</c:v>
                </c:pt>
                <c:pt idx="390">
                  <c:v>2.5384938693039851</c:v>
                </c:pt>
                <c:pt idx="391">
                  <c:v>2.4919632729575549</c:v>
                </c:pt>
                <c:pt idx="392">
                  <c:v>2.4456628790362296</c:v>
                </c:pt>
                <c:pt idx="393">
                  <c:v>2.3995903729776211</c:v>
                </c:pt>
                <c:pt idx="394">
                  <c:v>2.3537434732430134</c:v>
                </c:pt>
                <c:pt idx="395">
                  <c:v>2.3081199307227767</c:v>
                </c:pt>
                <c:pt idx="396">
                  <c:v>2.2627175281541012</c:v>
                </c:pt>
                <c:pt idx="397">
                  <c:v>2.2175340795508434</c:v>
                </c:pt>
                <c:pt idx="398">
                  <c:v>2.1725674296452526</c:v>
                </c:pt>
                <c:pt idx="399">
                  <c:v>2.1278154533412188</c:v>
                </c:pt>
                <c:pt idx="400">
                  <c:v>2.0832760551788327</c:v>
                </c:pt>
                <c:pt idx="401">
                  <c:v>2.0389471688101124</c:v>
                </c:pt>
                <c:pt idx="402">
                  <c:v>1.9948267564854449</c:v>
                </c:pt>
                <c:pt idx="403">
                  <c:v>1.9509128085506842</c:v>
                </c:pt>
                <c:pt idx="404">
                  <c:v>1.9072033429545987</c:v>
                </c:pt>
                <c:pt idx="405">
                  <c:v>1.8636964047664257</c:v>
                </c:pt>
                <c:pt idx="406">
                  <c:v>1.8203900657033283</c:v>
                </c:pt>
                <c:pt idx="407">
                  <c:v>1.7772824236675517</c:v>
                </c:pt>
                <c:pt idx="408">
                  <c:v>1.7343716022930324</c:v>
                </c:pt>
                <c:pt idx="409">
                  <c:v>1.69165575050122</c:v>
                </c:pt>
                <c:pt idx="410">
                  <c:v>1.6491330420660395</c:v>
                </c:pt>
                <c:pt idx="411">
                  <c:v>1.6068016751875871</c:v>
                </c:pt>
                <c:pt idx="412">
                  <c:v>1.564659872074559</c:v>
                </c:pt>
                <c:pt idx="413">
                  <c:v>1.5227058785350891</c:v>
                </c:pt>
                <c:pt idx="414">
                  <c:v>1.4809379635758622</c:v>
                </c:pt>
                <c:pt idx="415">
                  <c:v>1.4393544190093011</c:v>
                </c:pt>
                <c:pt idx="416">
                  <c:v>1.3979535590686718</c:v>
                </c:pt>
                <c:pt idx="417">
                  <c:v>1.356733720030874</c:v>
                </c:pt>
                <c:pt idx="418">
                  <c:v>1.3156932598468376</c:v>
                </c:pt>
                <c:pt idx="419">
                  <c:v>1.2748305577792183</c:v>
                </c:pt>
                <c:pt idx="420">
                  <c:v>1.2341440140474151</c:v>
                </c:pt>
                <c:pt idx="421">
                  <c:v>1.1936320494795414</c:v>
                </c:pt>
                <c:pt idx="422">
                  <c:v>1.1532931051713582</c:v>
                </c:pt>
                <c:pt idx="423">
                  <c:v>1.1131256421519373</c:v>
                </c:pt>
                <c:pt idx="424">
                  <c:v>1.0731281410559304</c:v>
                </c:pt>
                <c:pt idx="425">
                  <c:v>1.0332991018022313</c:v>
                </c:pt>
                <c:pt idx="426">
                  <c:v>0.9936370432790308</c:v>
                </c:pt>
                <c:pt idx="427">
                  <c:v>0.95414050303495568</c:v>
                </c:pt>
                <c:pt idx="428">
                  <c:v>0.91480803697630408</c:v>
                </c:pt>
                <c:pt idx="429">
                  <c:v>0.87563821907013895</c:v>
                </c:pt>
                <c:pt idx="430">
                  <c:v>0.83662964105314142</c:v>
                </c:pt>
                <c:pt idx="431">
                  <c:v>0.79778091214612445</c:v>
                </c:pt>
                <c:pt idx="432">
                  <c:v>0.75909065877407322</c:v>
                </c:pt>
                <c:pt idx="433">
                  <c:v>0.72055752429153197</c:v>
                </c:pt>
                <c:pt idx="434">
                  <c:v>0.68218016871331244</c:v>
                </c:pt>
                <c:pt idx="435">
                  <c:v>0.64395726845034762</c:v>
                </c:pt>
                <c:pt idx="436">
                  <c:v>0.60588751605057656</c:v>
                </c:pt>
                <c:pt idx="437">
                  <c:v>0.56796961994478745</c:v>
                </c:pt>
                <c:pt idx="438">
                  <c:v>0.5302023041972953</c:v>
                </c:pt>
                <c:pt idx="439">
                  <c:v>0.49258430826131372</c:v>
                </c:pt>
                <c:pt idx="440">
                  <c:v>0.45511438673897736</c:v>
                </c:pt>
                <c:pt idx="441">
                  <c:v>0.4177913091458727</c:v>
                </c:pt>
                <c:pt idx="442">
                  <c:v>0.3806138596800116</c:v>
                </c:pt>
                <c:pt idx="443">
                  <c:v>0.343580836995099</c:v>
                </c:pt>
                <c:pt idx="444">
                  <c:v>0.30669105397807533</c:v>
                </c:pt>
                <c:pt idx="445">
                  <c:v>0.2699433375307746</c:v>
                </c:pt>
                <c:pt idx="446">
                  <c:v>0.23333652835566748</c:v>
                </c:pt>
                <c:pt idx="447">
                  <c:v>0.19686948074552846</c:v>
                </c:pt>
                <c:pt idx="448">
                  <c:v>0.16054106237704319</c:v>
                </c:pt>
                <c:pt idx="449">
                  <c:v>0.12435015410818065</c:v>
                </c:pt>
                <c:pt idx="450">
                  <c:v>8.8295649779292926E-2</c:v>
                </c:pt>
                <c:pt idx="451">
                  <c:v>5.2376456017860978E-2</c:v>
                </c:pt>
                <c:pt idx="452">
                  <c:v>1.6591492046829529E-2</c:v>
                </c:pt>
                <c:pt idx="453">
                  <c:v>-1.9060310503630697E-2</c:v>
                </c:pt>
                <c:pt idx="454">
                  <c:v>-5.4580007780875371E-2</c:v>
                </c:pt>
                <c:pt idx="455">
                  <c:v>-8.9968643891239E-2</c:v>
                </c:pt>
                <c:pt idx="456">
                  <c:v>-0.12522725107817292</c:v>
                </c:pt>
                <c:pt idx="457">
                  <c:v>-0.16035684989723453</c:v>
                </c:pt>
                <c:pt idx="458">
                  <c:v>-0.19535844938787766</c:v>
                </c:pt>
                <c:pt idx="459">
                  <c:v>-0.23023304724221544</c:v>
                </c:pt>
                <c:pt idx="460">
                  <c:v>-0.26498162997071367</c:v>
                </c:pt>
                <c:pt idx="461">
                  <c:v>-0.29960517306502171</c:v>
                </c:pt>
                <c:pt idx="462">
                  <c:v>-0.334104641157838</c:v>
                </c:pt>
                <c:pt idx="463">
                  <c:v>-0.36848098817998332</c:v>
                </c:pt>
                <c:pt idx="464">
                  <c:v>-0.40273515751470434</c:v>
                </c:pt>
                <c:pt idx="465">
                  <c:v>-0.43686808214925354</c:v>
                </c:pt>
                <c:pt idx="466">
                  <c:v>-0.47088068482382922</c:v>
                </c:pt>
                <c:pt idx="467">
                  <c:v>-0.50477387817788988</c:v>
                </c:pt>
                <c:pt idx="468">
                  <c:v>-0.53854856489392233</c:v>
                </c:pt>
                <c:pt idx="469">
                  <c:v>-0.5722056378387369</c:v>
                </c:pt>
                <c:pt idx="470">
                  <c:v>-0.60574598020229697</c:v>
                </c:pt>
                <c:pt idx="471">
                  <c:v>-0.63917046563410995</c:v>
                </c:pt>
                <c:pt idx="472">
                  <c:v>-0.67247995837737351</c:v>
                </c:pt>
                <c:pt idx="473">
                  <c:v>-0.70567531340068923</c:v>
                </c:pt>
                <c:pt idx="474">
                  <c:v>-0.73875737652763096</c:v>
                </c:pt>
                <c:pt idx="475">
                  <c:v>-0.77172698456402644</c:v>
                </c:pt>
                <c:pt idx="476">
                  <c:v>-0.80458496542309854</c:v>
                </c:pt>
                <c:pt idx="477">
                  <c:v>-0.83733213824850594</c:v>
                </c:pt>
                <c:pt idx="478">
                  <c:v>-0.86996931353525719</c:v>
                </c:pt>
                <c:pt idx="479">
                  <c:v>-0.90249729324861416</c:v>
                </c:pt>
                <c:pt idx="480">
                  <c:v>-0.93491687094097919</c:v>
                </c:pt>
                <c:pt idx="481">
                  <c:v>-0.96722883186682773</c:v>
                </c:pt>
                <c:pt idx="482">
                  <c:v>-0.99943395309572747</c:v>
                </c:pt>
                <c:pt idx="483">
                  <c:v>-1.0315330036234547</c:v>
                </c:pt>
                <c:pt idx="484">
                  <c:v>-1.0635267444812599</c:v>
                </c:pt>
                <c:pt idx="485">
                  <c:v>-1.0954159288433516</c:v>
                </c:pt>
                <c:pt idx="486">
                  <c:v>-1.1272013021325682</c:v>
                </c:pt>
                <c:pt idx="487">
                  <c:v>-1.1588836021243212</c:v>
                </c:pt>
                <c:pt idx="488">
                  <c:v>-1.1904635590488333</c:v>
                </c:pt>
                <c:pt idx="489">
                  <c:v>-1.221941895691697</c:v>
                </c:pt>
                <c:pt idx="490">
                  <c:v>-1.2533193274927943</c:v>
                </c:pt>
                <c:pt idx="491">
                  <c:v>-1.2845965626435805</c:v>
                </c:pt>
                <c:pt idx="492">
                  <c:v>-1.3157743021828161</c:v>
                </c:pt>
                <c:pt idx="493">
                  <c:v>-1.3468532400907427</c:v>
                </c:pt>
                <c:pt idx="494">
                  <c:v>-1.3778340633817137</c:v>
                </c:pt>
                <c:pt idx="495">
                  <c:v>-1.4087174521953629</c:v>
                </c:pt>
                <c:pt idx="496">
                  <c:v>-1.4395040798862802</c:v>
                </c:pt>
                <c:pt idx="497">
                  <c:v>-1.4701946131122814</c:v>
                </c:pt>
                <c:pt idx="498">
                  <c:v>-1.5007897119212343</c:v>
                </c:pt>
                <c:pt idx="499">
                  <c:v>-1.5312900298365233</c:v>
                </c:pt>
                <c:pt idx="500">
                  <c:v>-1.5616962139411517</c:v>
                </c:pt>
                <c:pt idx="501">
                  <c:v>-1.5920089049605137</c:v>
                </c:pt>
                <c:pt idx="502">
                  <c:v>-1.6222287373438429</c:v>
                </c:pt>
                <c:pt idx="503">
                  <c:v>-1.6523563393444141</c:v>
                </c:pt>
                <c:pt idx="504">
                  <c:v>-1.6823923330984301</c:v>
                </c:pt>
                <c:pt idx="505">
                  <c:v>-1.7123373347027391</c:v>
                </c:pt>
                <c:pt idx="506">
                  <c:v>-1.7421919542912723</c:v>
                </c:pt>
                <c:pt idx="507">
                  <c:v>-1.7719567961103544</c:v>
                </c:pt>
                <c:pt idx="508">
                  <c:v>-1.8016324585927821</c:v>
                </c:pt>
                <c:pt idx="509">
                  <c:v>-1.8312195344308111</c:v>
                </c:pt>
                <c:pt idx="510">
                  <c:v>-1.8607186106479736</c:v>
                </c:pt>
                <c:pt idx="511">
                  <c:v>-1.8901302686698227</c:v>
                </c:pt>
                <c:pt idx="512">
                  <c:v>-1.9194550843935514</c:v>
                </c:pt>
                <c:pt idx="513">
                  <c:v>-1.9486936282565883</c:v>
                </c:pt>
                <c:pt idx="514">
                  <c:v>-1.9778464653041419</c:v>
                </c:pt>
                <c:pt idx="515">
                  <c:v>-2.0069141552556489</c:v>
                </c:pt>
                <c:pt idx="516">
                  <c:v>-2.0358972525703107</c:v>
                </c:pt>
                <c:pt idx="517">
                  <c:v>-2.0647963065115769</c:v>
                </c:pt>
                <c:pt idx="518">
                  <c:v>-2.0936118612106638</c:v>
                </c:pt>
                <c:pt idx="519">
                  <c:v>-2.1223444557291282</c:v>
                </c:pt>
                <c:pt idx="520">
                  <c:v>-2.1509946241204929</c:v>
                </c:pt>
                <c:pt idx="521">
                  <c:v>-2.1795628954909612</c:v>
                </c:pt>
                <c:pt idx="522">
                  <c:v>-2.2080497940591877</c:v>
                </c:pt>
                <c:pt idx="523">
                  <c:v>-2.2364558392152083</c:v>
                </c:pt>
                <c:pt idx="524">
                  <c:v>-2.2647815455784777</c:v>
                </c:pt>
                <c:pt idx="525">
                  <c:v>-2.2930274230550172</c:v>
                </c:pt>
                <c:pt idx="526">
                  <c:v>-2.321193976893742</c:v>
                </c:pt>
                <c:pt idx="527">
                  <c:v>-2.3492817077419974</c:v>
                </c:pt>
                <c:pt idx="528">
                  <c:v>-2.3772911117001931</c:v>
                </c:pt>
                <c:pt idx="529">
                  <c:v>-2.4052226803757084</c:v>
                </c:pt>
                <c:pt idx="530">
                  <c:v>-2.4330769009359803</c:v>
                </c:pt>
                <c:pt idx="531">
                  <c:v>-2.46085425616082</c:v>
                </c:pt>
                <c:pt idx="532">
                  <c:v>-2.4885552244939708</c:v>
                </c:pt>
                <c:pt idx="533">
                  <c:v>-2.5161802800939159</c:v>
                </c:pt>
                <c:pt idx="534">
                  <c:v>-2.5437298928839649</c:v>
                </c:pt>
                <c:pt idx="535">
                  <c:v>-2.5712045286016014</c:v>
                </c:pt>
                <c:pt idx="536">
                  <c:v>-2.5986046488471222</c:v>
                </c:pt>
                <c:pt idx="537">
                  <c:v>-2.6259307111315926</c:v>
                </c:pt>
                <c:pt idx="538">
                  <c:v>-2.6531831689240963</c:v>
                </c:pt>
                <c:pt idx="539">
                  <c:v>-2.6803624716983308</c:v>
                </c:pt>
                <c:pt idx="540">
                  <c:v>-2.7074690649785262</c:v>
                </c:pt>
                <c:pt idx="541">
                  <c:v>-2.7345033903847216</c:v>
                </c:pt>
                <c:pt idx="542">
                  <c:v>-2.7614658856773779</c:v>
                </c:pt>
                <c:pt idx="543">
                  <c:v>-2.7883569848014162</c:v>
                </c:pt>
                <c:pt idx="544">
                  <c:v>-2.8151771179295442</c:v>
                </c:pt>
                <c:pt idx="545">
                  <c:v>-2.8419267115050917</c:v>
                </c:pt>
                <c:pt idx="546">
                  <c:v>-2.8686061882841276</c:v>
                </c:pt>
                <c:pt idx="547">
                  <c:v>-2.895215967377073</c:v>
                </c:pt>
                <c:pt idx="548">
                  <c:v>-2.9217564642896998</c:v>
                </c:pt>
                <c:pt idx="549">
                  <c:v>-2.9482280909635694</c:v>
                </c:pt>
                <c:pt idx="550">
                  <c:v>-2.9746312558159023</c:v>
                </c:pt>
                <c:pt idx="551">
                  <c:v>-3.0009663637788861</c:v>
                </c:pt>
                <c:pt idx="552">
                  <c:v>-3.0272338163384891</c:v>
                </c:pt>
                <c:pt idx="553">
                  <c:v>-3.0534340115726826</c:v>
                </c:pt>
                <c:pt idx="554">
                  <c:v>-3.0795673441891722</c:v>
                </c:pt>
                <c:pt idx="555">
                  <c:v>-3.1056342055626063</c:v>
                </c:pt>
                <c:pt idx="556">
                  <c:v>-3.1316349837712618</c:v>
                </c:pt>
                <c:pt idx="557">
                  <c:v>-3.1575700636332686</c:v>
                </c:pt>
                <c:pt idx="558">
                  <c:v>-3.183439826742287</c:v>
                </c:pt>
                <c:pt idx="559">
                  <c:v>-3.2092446515027611</c:v>
                </c:pt>
                <c:pt idx="560">
                  <c:v>-3.2349849131646549</c:v>
                </c:pt>
                <c:pt idx="561">
                  <c:v>-3.2606609838577145</c:v>
                </c:pt>
                <c:pt idx="562">
                  <c:v>-3.286273232625323</c:v>
                </c:pt>
                <c:pt idx="563">
                  <c:v>-3.3118220254578468</c:v>
                </c:pt>
                <c:pt idx="564">
                  <c:v>-3.3373077253255552</c:v>
                </c:pt>
                <c:pt idx="565">
                  <c:v>-3.3627306922111</c:v>
                </c:pt>
                <c:pt idx="566">
                  <c:v>-3.3880912831415868</c:v>
                </c:pt>
                <c:pt idx="567">
                  <c:v>-3.4133898522201584</c:v>
                </c:pt>
                <c:pt idx="568">
                  <c:v>-3.438626750657253</c:v>
                </c:pt>
                <c:pt idx="569">
                  <c:v>-3.4638023268013329</c:v>
                </c:pt>
                <c:pt idx="570">
                  <c:v>-3.4889169261693453</c:v>
                </c:pt>
                <c:pt idx="571">
                  <c:v>-3.5139708914766388</c:v>
                </c:pt>
                <c:pt idx="572">
                  <c:v>-3.5389645626666244</c:v>
                </c:pt>
                <c:pt idx="573">
                  <c:v>-3.5638982769399341</c:v>
                </c:pt>
                <c:pt idx="574">
                  <c:v>-3.5887723687832724</c:v>
                </c:pt>
                <c:pt idx="575">
                  <c:v>-3.6135871699978717</c:v>
                </c:pt>
                <c:pt idx="576">
                  <c:v>-3.6383430097275529</c:v>
                </c:pt>
                <c:pt idx="577">
                  <c:v>-3.6630402144864851</c:v>
                </c:pt>
                <c:pt idx="578">
                  <c:v>-3.6876791081865061</c:v>
                </c:pt>
                <c:pt idx="579">
                  <c:v>-3.7122600121641716</c:v>
                </c:pt>
                <c:pt idx="580">
                  <c:v>-3.7367832452073757</c:v>
                </c:pt>
                <c:pt idx="581">
                  <c:v>-3.761249123581714</c:v>
                </c:pt>
                <c:pt idx="582">
                  <c:v>-3.7856579610564274</c:v>
                </c:pt>
                <c:pt idx="583">
                  <c:v>-3.8100100689301106</c:v>
                </c:pt>
                <c:pt idx="584">
                  <c:v>-3.8343057560559748</c:v>
                </c:pt>
                <c:pt idx="585">
                  <c:v>-3.8585453288668985</c:v>
                </c:pt>
                <c:pt idx="586">
                  <c:v>-3.8827290914000994</c:v>
                </c:pt>
                <c:pt idx="587">
                  <c:v>-3.906857345321519</c:v>
                </c:pt>
                <c:pt idx="588">
                  <c:v>-3.9309303899498831</c:v>
                </c:pt>
                <c:pt idx="589">
                  <c:v>-3.9549485222804774</c:v>
                </c:pt>
                <c:pt idx="590">
                  <c:v>-3.978912037008616</c:v>
                </c:pt>
                <c:pt idx="591">
                  <c:v>-4.0028212265528103</c:v>
                </c:pt>
                <c:pt idx="592">
                  <c:v>-4.0266763810776682</c:v>
                </c:pt>
                <c:pt idx="593">
                  <c:v>-4.0504777885164769</c:v>
                </c:pt>
                <c:pt idx="594">
                  <c:v>-4.0742257345935613</c:v>
                </c:pt>
                <c:pt idx="595">
                  <c:v>-4.0979205028462671</c:v>
                </c:pt>
                <c:pt idx="596">
                  <c:v>-4.1215623746468006</c:v>
                </c:pt>
                <c:pt idx="597">
                  <c:v>-4.1451516292236885</c:v>
                </c:pt>
                <c:pt idx="598">
                  <c:v>-4.1686885436830208</c:v>
                </c:pt>
                <c:pt idx="599">
                  <c:v>-4.1921733930294476</c:v>
                </c:pt>
                <c:pt idx="600">
                  <c:v>-4.2156064501869022</c:v>
                </c:pt>
                <c:pt idx="601">
                  <c:v>-4.2389879860190289</c:v>
                </c:pt>
                <c:pt idx="602">
                  <c:v>-4.2623182693494623</c:v>
                </c:pt>
                <c:pt idx="603">
                  <c:v>-4.2855975669817452</c:v>
                </c:pt>
                <c:pt idx="604">
                  <c:v>-4.3088261437190969</c:v>
                </c:pt>
                <c:pt idx="605">
                  <c:v>-4.332004262383891</c:v>
                </c:pt>
                <c:pt idx="606">
                  <c:v>-5.4318599334585311</c:v>
                </c:pt>
                <c:pt idx="607">
                  <c:v>-6.4328494073693889</c:v>
                </c:pt>
                <c:pt idx="608">
                  <c:v>-7.3546454467321345</c:v>
                </c:pt>
                <c:pt idx="609">
                  <c:v>-8.2116879108541614</c:v>
                </c:pt>
                <c:pt idx="610">
                  <c:v>-9.0148455499667772</c:v>
                </c:pt>
                <c:pt idx="611">
                  <c:v>-9.7724706423268888</c:v>
                </c:pt>
                <c:pt idx="612">
                  <c:v>-10.491094594354751</c:v>
                </c:pt>
                <c:pt idx="613">
                  <c:v>-11.175901859560346</c:v>
                </c:pt>
                <c:pt idx="614">
                  <c:v>-11.831061841112451</c:v>
                </c:pt>
                <c:pt idx="615">
                  <c:v>-12.459966868423402</c:v>
                </c:pt>
                <c:pt idx="616">
                  <c:v>-13.065406305484014</c:v>
                </c:pt>
                <c:pt idx="617">
                  <c:v>-13.649696161393445</c:v>
                </c:pt>
                <c:pt idx="618">
                  <c:v>-13.877189494817227</c:v>
                </c:pt>
                <c:pt idx="619">
                  <c:v>-14.101733868535147</c:v>
                </c:pt>
                <c:pt idx="620">
                  <c:v>-14.323432900951156</c:v>
                </c:pt>
                <c:pt idx="621">
                  <c:v>-14.542383666415725</c:v>
                </c:pt>
                <c:pt idx="622">
                  <c:v>-14.758677226917058</c:v>
                </c:pt>
                <c:pt idx="623">
                  <c:v>-14.972399114097714</c:v>
                </c:pt>
                <c:pt idx="624">
                  <c:v>-15.183629766854699</c:v>
                </c:pt>
                <c:pt idx="625">
                  <c:v>-15.392444929147723</c:v>
                </c:pt>
                <c:pt idx="626">
                  <c:v>-15.598916012093881</c:v>
                </c:pt>
                <c:pt idx="627">
                  <c:v>-15.803110423953211</c:v>
                </c:pt>
                <c:pt idx="628">
                  <c:v>-16.005091871198726</c:v>
                </c:pt>
                <c:pt idx="629">
                  <c:v>-16.204920633506106</c:v>
                </c:pt>
                <c:pt idx="630">
                  <c:v>-16.402653815185712</c:v>
                </c:pt>
                <c:pt idx="631">
                  <c:v>-16.598345575305757</c:v>
                </c:pt>
                <c:pt idx="632">
                  <c:v>-16.792047338515253</c:v>
                </c:pt>
                <c:pt idx="633">
                  <c:v>-16.983807988364138</c:v>
                </c:pt>
                <c:pt idx="634">
                  <c:v>-17.17367404473141</c:v>
                </c:pt>
                <c:pt idx="635">
                  <c:v>-17.361689826807819</c:v>
                </c:pt>
                <c:pt idx="636">
                  <c:v>-17.547897602933553</c:v>
                </c:pt>
                <c:pt idx="637">
                  <c:v>-17.732337728462294</c:v>
                </c:pt>
                <c:pt idx="638">
                  <c:v>-17.915048772707749</c:v>
                </c:pt>
                <c:pt idx="639">
                  <c:v>-18.096067635926627</c:v>
                </c:pt>
                <c:pt idx="640">
                  <c:v>-18.275429657200387</c:v>
                </c:pt>
                <c:pt idx="641">
                  <c:v>-18.453168713996565</c:v>
                </c:pt>
                <c:pt idx="642">
                  <c:v>-18.629317314117252</c:v>
                </c:pt>
                <c:pt idx="643">
                  <c:v>-18.803906680676818</c:v>
                </c:pt>
                <c:pt idx="644">
                  <c:v>-18.976966830691889</c:v>
                </c:pt>
                <c:pt idx="645">
                  <c:v>-19.148526647813878</c:v>
                </c:pt>
                <c:pt idx="646">
                  <c:v>-19.318613949686455</c:v>
                </c:pt>
                <c:pt idx="647">
                  <c:v>-19.487255550367429</c:v>
                </c:pt>
                <c:pt idx="648">
                  <c:v>-19.654477318215584</c:v>
                </c:pt>
                <c:pt idx="649">
                  <c:v>-19.82030422960807</c:v>
                </c:pt>
                <c:pt idx="650">
                  <c:v>-19.984760418821988</c:v>
                </c:pt>
                <c:pt idx="651">
                  <c:v>-20.147869224385147</c:v>
                </c:pt>
                <c:pt idx="652">
                  <c:v>-20.309653232174817</c:v>
                </c:pt>
                <c:pt idx="653">
                  <c:v>-20.470134315519562</c:v>
                </c:pt>
                <c:pt idx="654">
                  <c:v>-20.629333672537918</c:v>
                </c:pt>
                <c:pt idx="655">
                  <c:v>-20.787271860927724</c:v>
                </c:pt>
                <c:pt idx="656">
                  <c:v>-20.943968830402476</c:v>
                </c:pt>
                <c:pt idx="657">
                  <c:v>-21.099443952954616</c:v>
                </c:pt>
                <c:pt idx="658">
                  <c:v>-21.253716051110906</c:v>
                </c:pt>
                <c:pt idx="659">
                  <c:v>-21.406803424331567</c:v>
                </c:pt>
                <c:pt idx="660">
                  <c:v>-21.558723873692553</c:v>
                </c:pt>
                <c:pt idx="661">
                  <c:v>-21.709494724979056</c:v>
                </c:pt>
                <c:pt idx="662">
                  <c:v>-21.859132850307923</c:v>
                </c:pt>
                <c:pt idx="663">
                  <c:v>-22.007654688387483</c:v>
                </c:pt>
                <c:pt idx="664">
                  <c:v>-22.155076263514538</c:v>
                </c:pt>
                <c:pt idx="665">
                  <c:v>-22.301413203400266</c:v>
                </c:pt>
                <c:pt idx="666">
                  <c:v>-22.446680755909888</c:v>
                </c:pt>
                <c:pt idx="667">
                  <c:v>-22.590893804793875</c:v>
                </c:pt>
              </c:numCache>
            </c:numRef>
          </c:yVal>
          <c:smooth val="1"/>
          <c:extLst>
            <c:ext xmlns:c16="http://schemas.microsoft.com/office/drawing/2014/chart" uri="{C3380CC4-5D6E-409C-BE32-E72D297353CC}">
              <c16:uniqueId val="{00000000-2A10-41EA-A3AE-967165122F16}"/>
            </c:ext>
          </c:extLst>
        </c:ser>
        <c:ser>
          <c:idx val="0"/>
          <c:order val="2"/>
          <c:tx>
            <c:v>Measured Gain</c:v>
          </c:tx>
          <c:spPr>
            <a:ln w="12700">
              <a:solidFill>
                <a:srgbClr val="000080"/>
              </a:solidFill>
              <a:prstDash val="solid"/>
            </a:ln>
          </c:spPr>
          <c:marker>
            <c:symbol val="diamond"/>
            <c:size val="5"/>
            <c:spPr>
              <a:solidFill>
                <a:srgbClr val="000080"/>
              </a:solidFill>
              <a:ln>
                <a:solidFill>
                  <a:srgbClr val="000080"/>
                </a:solidFill>
                <a:prstDash val="solid"/>
              </a:ln>
            </c:spPr>
          </c:marker>
          <c:xVal>
            <c:numRef>
              <c:f>'Bode Plots Calculations'!$BT$10:$BT$409</c:f>
              <c:numCache>
                <c:formatCode>#0.0#</c:formatCode>
                <c:ptCount val="400"/>
                <c:pt idx="0">
                  <c:v>100</c:v>
                </c:pt>
                <c:pt idx="1">
                  <c:v>102.32899999999999</c:v>
                </c:pt>
                <c:pt idx="2">
                  <c:v>104.71299999999999</c:v>
                </c:pt>
                <c:pt idx="3">
                  <c:v>107.152</c:v>
                </c:pt>
                <c:pt idx="4">
                  <c:v>109.648</c:v>
                </c:pt>
                <c:pt idx="5">
                  <c:v>112.202</c:v>
                </c:pt>
                <c:pt idx="6">
                  <c:v>114.815</c:v>
                </c:pt>
                <c:pt idx="7">
                  <c:v>117.49</c:v>
                </c:pt>
                <c:pt idx="8">
                  <c:v>120.226</c:v>
                </c:pt>
                <c:pt idx="9">
                  <c:v>123.027</c:v>
                </c:pt>
                <c:pt idx="10">
                  <c:v>125.893</c:v>
                </c:pt>
                <c:pt idx="11">
                  <c:v>128.82499999999999</c:v>
                </c:pt>
                <c:pt idx="12">
                  <c:v>131.82599999999999</c:v>
                </c:pt>
                <c:pt idx="13">
                  <c:v>134.89599999999999</c:v>
                </c:pt>
                <c:pt idx="14">
                  <c:v>138.03800000000001</c:v>
                </c:pt>
                <c:pt idx="15">
                  <c:v>141.25399999999999</c:v>
                </c:pt>
                <c:pt idx="16">
                  <c:v>144.54400000000001</c:v>
                </c:pt>
                <c:pt idx="17">
                  <c:v>147.911</c:v>
                </c:pt>
                <c:pt idx="18">
                  <c:v>151.35599999999999</c:v>
                </c:pt>
                <c:pt idx="19">
                  <c:v>154.88200000000001</c:v>
                </c:pt>
                <c:pt idx="20">
                  <c:v>158.489</c:v>
                </c:pt>
                <c:pt idx="21">
                  <c:v>162.18100000000001</c:v>
                </c:pt>
                <c:pt idx="22">
                  <c:v>165.959</c:v>
                </c:pt>
                <c:pt idx="23">
                  <c:v>169.82400000000001</c:v>
                </c:pt>
                <c:pt idx="24">
                  <c:v>173.78</c:v>
                </c:pt>
                <c:pt idx="25">
                  <c:v>177.828</c:v>
                </c:pt>
                <c:pt idx="26">
                  <c:v>181.97</c:v>
                </c:pt>
                <c:pt idx="27">
                  <c:v>186.209</c:v>
                </c:pt>
                <c:pt idx="28">
                  <c:v>190.54599999999999</c:v>
                </c:pt>
                <c:pt idx="29">
                  <c:v>194.98400000000001</c:v>
                </c:pt>
                <c:pt idx="30">
                  <c:v>199.52600000000001</c:v>
                </c:pt>
                <c:pt idx="31">
                  <c:v>204.17400000000001</c:v>
                </c:pt>
                <c:pt idx="32">
                  <c:v>208.93</c:v>
                </c:pt>
                <c:pt idx="33">
                  <c:v>213.79599999999999</c:v>
                </c:pt>
                <c:pt idx="34">
                  <c:v>218.77600000000001</c:v>
                </c:pt>
                <c:pt idx="35">
                  <c:v>223.87200000000001</c:v>
                </c:pt>
                <c:pt idx="36">
                  <c:v>229.08699999999999</c:v>
                </c:pt>
                <c:pt idx="37">
                  <c:v>234.423</c:v>
                </c:pt>
                <c:pt idx="38">
                  <c:v>239.88300000000001</c:v>
                </c:pt>
                <c:pt idx="39">
                  <c:v>245.471</c:v>
                </c:pt>
                <c:pt idx="40">
                  <c:v>251.18899999999999</c:v>
                </c:pt>
                <c:pt idx="41">
                  <c:v>257.04000000000002</c:v>
                </c:pt>
                <c:pt idx="42">
                  <c:v>263.02699999999999</c:v>
                </c:pt>
                <c:pt idx="43">
                  <c:v>269.15300000000002</c:v>
                </c:pt>
                <c:pt idx="44">
                  <c:v>275.423</c:v>
                </c:pt>
                <c:pt idx="45">
                  <c:v>281.83800000000002</c:v>
                </c:pt>
                <c:pt idx="46">
                  <c:v>288.40300000000002</c:v>
                </c:pt>
                <c:pt idx="47">
                  <c:v>295.12099999999998</c:v>
                </c:pt>
                <c:pt idx="48">
                  <c:v>301.995</c:v>
                </c:pt>
                <c:pt idx="49">
                  <c:v>309.02999999999997</c:v>
                </c:pt>
                <c:pt idx="50">
                  <c:v>316.22800000000001</c:v>
                </c:pt>
                <c:pt idx="51">
                  <c:v>323.59399999999999</c:v>
                </c:pt>
                <c:pt idx="52">
                  <c:v>331.13099999999997</c:v>
                </c:pt>
                <c:pt idx="53">
                  <c:v>338.84399999999999</c:v>
                </c:pt>
                <c:pt idx="54">
                  <c:v>346.73700000000002</c:v>
                </c:pt>
                <c:pt idx="55">
                  <c:v>354.81299999999999</c:v>
                </c:pt>
                <c:pt idx="56">
                  <c:v>363.07799999999997</c:v>
                </c:pt>
                <c:pt idx="57">
                  <c:v>371.53500000000003</c:v>
                </c:pt>
                <c:pt idx="58">
                  <c:v>380.18900000000002</c:v>
                </c:pt>
                <c:pt idx="59">
                  <c:v>389.04500000000002</c:v>
                </c:pt>
                <c:pt idx="60">
                  <c:v>398.10700000000003</c:v>
                </c:pt>
                <c:pt idx="61">
                  <c:v>407.38</c:v>
                </c:pt>
                <c:pt idx="62">
                  <c:v>416.86900000000003</c:v>
                </c:pt>
                <c:pt idx="63">
                  <c:v>426.58</c:v>
                </c:pt>
                <c:pt idx="64">
                  <c:v>436.51600000000002</c:v>
                </c:pt>
                <c:pt idx="65">
                  <c:v>446.68400000000003</c:v>
                </c:pt>
                <c:pt idx="66">
                  <c:v>457.08800000000002</c:v>
                </c:pt>
                <c:pt idx="67">
                  <c:v>467.73500000000001</c:v>
                </c:pt>
                <c:pt idx="68">
                  <c:v>478.63</c:v>
                </c:pt>
                <c:pt idx="69">
                  <c:v>489.779</c:v>
                </c:pt>
                <c:pt idx="70">
                  <c:v>501.18700000000001</c:v>
                </c:pt>
                <c:pt idx="71">
                  <c:v>512.86099999999999</c:v>
                </c:pt>
                <c:pt idx="72">
                  <c:v>524.80700000000002</c:v>
                </c:pt>
                <c:pt idx="73">
                  <c:v>537.03200000000004</c:v>
                </c:pt>
                <c:pt idx="74">
                  <c:v>549.54100000000005</c:v>
                </c:pt>
                <c:pt idx="75">
                  <c:v>562.34100000000001</c:v>
                </c:pt>
                <c:pt idx="76">
                  <c:v>575.44000000000005</c:v>
                </c:pt>
                <c:pt idx="77">
                  <c:v>588.84400000000005</c:v>
                </c:pt>
                <c:pt idx="78">
                  <c:v>602.55999999999995</c:v>
                </c:pt>
                <c:pt idx="79">
                  <c:v>616.59500000000003</c:v>
                </c:pt>
                <c:pt idx="80">
                  <c:v>630.95699999999999</c:v>
                </c:pt>
                <c:pt idx="81">
                  <c:v>645.654</c:v>
                </c:pt>
                <c:pt idx="82">
                  <c:v>660.69299999999998</c:v>
                </c:pt>
                <c:pt idx="83">
                  <c:v>676.08299999999997</c:v>
                </c:pt>
                <c:pt idx="84">
                  <c:v>691.83100000000002</c:v>
                </c:pt>
                <c:pt idx="85">
                  <c:v>707.94600000000003</c:v>
                </c:pt>
                <c:pt idx="86">
                  <c:v>724.43600000000004</c:v>
                </c:pt>
                <c:pt idx="87">
                  <c:v>741.31</c:v>
                </c:pt>
                <c:pt idx="88">
                  <c:v>758.57799999999997</c:v>
                </c:pt>
                <c:pt idx="89">
                  <c:v>776.24699999999996</c:v>
                </c:pt>
                <c:pt idx="90">
                  <c:v>794.32799999999997</c:v>
                </c:pt>
                <c:pt idx="91">
                  <c:v>812.83100000000002</c:v>
                </c:pt>
                <c:pt idx="92">
                  <c:v>831.76400000000001</c:v>
                </c:pt>
                <c:pt idx="93">
                  <c:v>851.13800000000003</c:v>
                </c:pt>
                <c:pt idx="94">
                  <c:v>870.96400000000006</c:v>
                </c:pt>
                <c:pt idx="95">
                  <c:v>891.25099999999998</c:v>
                </c:pt>
                <c:pt idx="96">
                  <c:v>912.01099999999997</c:v>
                </c:pt>
                <c:pt idx="97">
                  <c:v>933.25400000000002</c:v>
                </c:pt>
                <c:pt idx="98">
                  <c:v>954.99300000000005</c:v>
                </c:pt>
                <c:pt idx="99">
                  <c:v>977.23699999999997</c:v>
                </c:pt>
                <c:pt idx="100">
                  <c:v>1000</c:v>
                </c:pt>
                <c:pt idx="101">
                  <c:v>1023.293</c:v>
                </c:pt>
                <c:pt idx="102">
                  <c:v>1047.1289999999999</c:v>
                </c:pt>
                <c:pt idx="103">
                  <c:v>1071.519</c:v>
                </c:pt>
                <c:pt idx="104">
                  <c:v>1096.4780000000001</c:v>
                </c:pt>
                <c:pt idx="105">
                  <c:v>1122.018</c:v>
                </c:pt>
                <c:pt idx="106">
                  <c:v>1148.154</c:v>
                </c:pt>
                <c:pt idx="107">
                  <c:v>1174.8979999999999</c:v>
                </c:pt>
                <c:pt idx="108">
                  <c:v>1202.2639999999999</c:v>
                </c:pt>
                <c:pt idx="109">
                  <c:v>1230.269</c:v>
                </c:pt>
                <c:pt idx="110">
                  <c:v>1258.925</c:v>
                </c:pt>
                <c:pt idx="111">
                  <c:v>1288.25</c:v>
                </c:pt>
                <c:pt idx="112">
                  <c:v>1318.2570000000001</c:v>
                </c:pt>
                <c:pt idx="113">
                  <c:v>1348.963</c:v>
                </c:pt>
                <c:pt idx="114">
                  <c:v>1380.384</c:v>
                </c:pt>
                <c:pt idx="115">
                  <c:v>1412.538</c:v>
                </c:pt>
                <c:pt idx="116">
                  <c:v>1445.44</c:v>
                </c:pt>
                <c:pt idx="117">
                  <c:v>1479.1079999999999</c:v>
                </c:pt>
                <c:pt idx="118">
                  <c:v>1513.5609999999999</c:v>
                </c:pt>
                <c:pt idx="119">
                  <c:v>1548.817</c:v>
                </c:pt>
                <c:pt idx="120">
                  <c:v>1584.893</c:v>
                </c:pt>
                <c:pt idx="121">
                  <c:v>1621.81</c:v>
                </c:pt>
                <c:pt idx="122">
                  <c:v>1659.587</c:v>
                </c:pt>
                <c:pt idx="123">
                  <c:v>1698.2439999999999</c:v>
                </c:pt>
                <c:pt idx="124">
                  <c:v>1737.8009999999999</c:v>
                </c:pt>
                <c:pt idx="125">
                  <c:v>1778.279</c:v>
                </c:pt>
                <c:pt idx="126">
                  <c:v>1819.701</c:v>
                </c:pt>
                <c:pt idx="127">
                  <c:v>1862.087</c:v>
                </c:pt>
                <c:pt idx="128">
                  <c:v>1905.461</c:v>
                </c:pt>
                <c:pt idx="129">
                  <c:v>1949.845</c:v>
                </c:pt>
                <c:pt idx="130">
                  <c:v>1995.2619999999999</c:v>
                </c:pt>
                <c:pt idx="131">
                  <c:v>2041.7380000000001</c:v>
                </c:pt>
                <c:pt idx="132">
                  <c:v>2089.2959999999998</c:v>
                </c:pt>
                <c:pt idx="133">
                  <c:v>2137.962</c:v>
                </c:pt>
                <c:pt idx="134">
                  <c:v>2187.7620000000002</c:v>
                </c:pt>
                <c:pt idx="135">
                  <c:v>2238.721</c:v>
                </c:pt>
                <c:pt idx="136">
                  <c:v>2290.8679999999999</c:v>
                </c:pt>
                <c:pt idx="137">
                  <c:v>2344.2289999999998</c:v>
                </c:pt>
                <c:pt idx="138">
                  <c:v>2398.8330000000001</c:v>
                </c:pt>
                <c:pt idx="139">
                  <c:v>2454.7089999999998</c:v>
                </c:pt>
                <c:pt idx="140">
                  <c:v>2511.886</c:v>
                </c:pt>
                <c:pt idx="141">
                  <c:v>2570.3960000000002</c:v>
                </c:pt>
                <c:pt idx="142">
                  <c:v>2630.268</c:v>
                </c:pt>
                <c:pt idx="143">
                  <c:v>2691.5349999999999</c:v>
                </c:pt>
                <c:pt idx="144">
                  <c:v>2754.2289999999998</c:v>
                </c:pt>
                <c:pt idx="145">
                  <c:v>2818.3829999999998</c:v>
                </c:pt>
                <c:pt idx="146">
                  <c:v>2884.0320000000002</c:v>
                </c:pt>
                <c:pt idx="147">
                  <c:v>2951.2089999999998</c:v>
                </c:pt>
                <c:pt idx="148">
                  <c:v>3019.9520000000002</c:v>
                </c:pt>
                <c:pt idx="149">
                  <c:v>3090.2950000000001</c:v>
                </c:pt>
                <c:pt idx="150">
                  <c:v>3162.2779999999998</c:v>
                </c:pt>
                <c:pt idx="151">
                  <c:v>3235.9369999999999</c:v>
                </c:pt>
                <c:pt idx="152">
                  <c:v>3311.3110000000001</c:v>
                </c:pt>
                <c:pt idx="153">
                  <c:v>3388.442</c:v>
                </c:pt>
                <c:pt idx="154">
                  <c:v>3467.3690000000001</c:v>
                </c:pt>
                <c:pt idx="155">
                  <c:v>3548.134</c:v>
                </c:pt>
                <c:pt idx="156">
                  <c:v>3630.7809999999999</c:v>
                </c:pt>
                <c:pt idx="157">
                  <c:v>3715.3519999999999</c:v>
                </c:pt>
                <c:pt idx="158">
                  <c:v>3801.8939999999998</c:v>
                </c:pt>
                <c:pt idx="159">
                  <c:v>3890.451</c:v>
                </c:pt>
                <c:pt idx="160">
                  <c:v>3981.0720000000001</c:v>
                </c:pt>
                <c:pt idx="161">
                  <c:v>4073.8029999999999</c:v>
                </c:pt>
                <c:pt idx="162">
                  <c:v>4168.6940000000004</c:v>
                </c:pt>
                <c:pt idx="163">
                  <c:v>4265.7950000000001</c:v>
                </c:pt>
                <c:pt idx="164">
                  <c:v>4365.1580000000004</c:v>
                </c:pt>
                <c:pt idx="165">
                  <c:v>4466.8360000000002</c:v>
                </c:pt>
                <c:pt idx="166">
                  <c:v>4570.8819999999996</c:v>
                </c:pt>
                <c:pt idx="167">
                  <c:v>4677.3509999999997</c:v>
                </c:pt>
                <c:pt idx="168">
                  <c:v>4786.3010000000004</c:v>
                </c:pt>
                <c:pt idx="169">
                  <c:v>4897.7879999999996</c:v>
                </c:pt>
                <c:pt idx="170">
                  <c:v>5011.8720000000003</c:v>
                </c:pt>
                <c:pt idx="171">
                  <c:v>5128.6139999999996</c:v>
                </c:pt>
                <c:pt idx="172">
                  <c:v>5248.0749999999998</c:v>
                </c:pt>
                <c:pt idx="173">
                  <c:v>5370.3180000000002</c:v>
                </c:pt>
                <c:pt idx="174">
                  <c:v>5495.4089999999997</c:v>
                </c:pt>
                <c:pt idx="175">
                  <c:v>5623.4129999999996</c:v>
                </c:pt>
                <c:pt idx="176">
                  <c:v>5754.3990000000003</c:v>
                </c:pt>
                <c:pt idx="177">
                  <c:v>5888.4369999999999</c:v>
                </c:pt>
                <c:pt idx="178">
                  <c:v>6025.5959999999995</c:v>
                </c:pt>
                <c:pt idx="179">
                  <c:v>6165.95</c:v>
                </c:pt>
                <c:pt idx="180">
                  <c:v>6309.5730000000003</c:v>
                </c:pt>
                <c:pt idx="181">
                  <c:v>6456.5420000000004</c:v>
                </c:pt>
                <c:pt idx="182">
                  <c:v>6606.9340000000002</c:v>
                </c:pt>
                <c:pt idx="183">
                  <c:v>6760.83</c:v>
                </c:pt>
                <c:pt idx="184">
                  <c:v>6918.31</c:v>
                </c:pt>
                <c:pt idx="185">
                  <c:v>7079.4579999999996</c:v>
                </c:pt>
                <c:pt idx="186">
                  <c:v>7244.36</c:v>
                </c:pt>
                <c:pt idx="187">
                  <c:v>7413.1019999999999</c:v>
                </c:pt>
                <c:pt idx="188">
                  <c:v>7585.7759999999998</c:v>
                </c:pt>
                <c:pt idx="189">
                  <c:v>7762.4709999999995</c:v>
                </c:pt>
                <c:pt idx="190">
                  <c:v>7943.2820000000002</c:v>
                </c:pt>
                <c:pt idx="191">
                  <c:v>8128.3050000000003</c:v>
                </c:pt>
                <c:pt idx="192">
                  <c:v>8317.6380000000008</c:v>
                </c:pt>
                <c:pt idx="193">
                  <c:v>8511.3799999999992</c:v>
                </c:pt>
                <c:pt idx="194">
                  <c:v>8709.6360000000004</c:v>
                </c:pt>
                <c:pt idx="195">
                  <c:v>8912.509</c:v>
                </c:pt>
                <c:pt idx="196">
                  <c:v>9120.1080000000002</c:v>
                </c:pt>
                <c:pt idx="197">
                  <c:v>9332.5429999999997</c:v>
                </c:pt>
                <c:pt idx="198">
                  <c:v>9549.9259999999995</c:v>
                </c:pt>
                <c:pt idx="199">
                  <c:v>9772.3719999999994</c:v>
                </c:pt>
                <c:pt idx="200">
                  <c:v>10000</c:v>
                </c:pt>
                <c:pt idx="201">
                  <c:v>10232.93</c:v>
                </c:pt>
                <c:pt idx="202">
                  <c:v>10471.285</c:v>
                </c:pt>
                <c:pt idx="203">
                  <c:v>10715.192999999999</c:v>
                </c:pt>
                <c:pt idx="204">
                  <c:v>10964.781999999999</c:v>
                </c:pt>
                <c:pt idx="205">
                  <c:v>11220.184999999999</c:v>
                </c:pt>
                <c:pt idx="206">
                  <c:v>11481.536</c:v>
                </c:pt>
                <c:pt idx="207">
                  <c:v>11748.976000000001</c:v>
                </c:pt>
                <c:pt idx="208">
                  <c:v>12022.644</c:v>
                </c:pt>
                <c:pt idx="209">
                  <c:v>12302.688</c:v>
                </c:pt>
                <c:pt idx="210">
                  <c:v>12589.254000000001</c:v>
                </c:pt>
                <c:pt idx="211">
                  <c:v>12882.495999999999</c:v>
                </c:pt>
                <c:pt idx="212">
                  <c:v>13182.566999999999</c:v>
                </c:pt>
                <c:pt idx="213">
                  <c:v>13489.629000000001</c:v>
                </c:pt>
                <c:pt idx="214">
                  <c:v>13803.843000000001</c:v>
                </c:pt>
                <c:pt idx="215">
                  <c:v>14125.375</c:v>
                </c:pt>
                <c:pt idx="216">
                  <c:v>14454.397999999999</c:v>
                </c:pt>
                <c:pt idx="217">
                  <c:v>14791.084000000001</c:v>
                </c:pt>
                <c:pt idx="218">
                  <c:v>15135.611999999999</c:v>
                </c:pt>
                <c:pt idx="219">
                  <c:v>15488.165999999999</c:v>
                </c:pt>
                <c:pt idx="220">
                  <c:v>15848.932000000001</c:v>
                </c:pt>
                <c:pt idx="221">
                  <c:v>16218.101000000001</c:v>
                </c:pt>
                <c:pt idx="222">
                  <c:v>16595.868999999999</c:v>
                </c:pt>
                <c:pt idx="223">
                  <c:v>16982.437000000002</c:v>
                </c:pt>
                <c:pt idx="224">
                  <c:v>17378.008000000002</c:v>
                </c:pt>
                <c:pt idx="225">
                  <c:v>17782.794000000002</c:v>
                </c:pt>
                <c:pt idx="226">
                  <c:v>18197.008999999998</c:v>
                </c:pt>
                <c:pt idx="227">
                  <c:v>18620.870999999999</c:v>
                </c:pt>
                <c:pt idx="228">
                  <c:v>19054.607</c:v>
                </c:pt>
                <c:pt idx="229">
                  <c:v>19498.446</c:v>
                </c:pt>
                <c:pt idx="230">
                  <c:v>19952.623</c:v>
                </c:pt>
                <c:pt idx="231">
                  <c:v>20417.379000000001</c:v>
                </c:pt>
                <c:pt idx="232">
                  <c:v>20892.960999999999</c:v>
                </c:pt>
                <c:pt idx="233">
                  <c:v>21379.620999999999</c:v>
                </c:pt>
                <c:pt idx="234">
                  <c:v>21877.616000000002</c:v>
                </c:pt>
                <c:pt idx="235">
                  <c:v>22387.210999999999</c:v>
                </c:pt>
                <c:pt idx="236">
                  <c:v>22908.677</c:v>
                </c:pt>
                <c:pt idx="237">
                  <c:v>23442.288</c:v>
                </c:pt>
                <c:pt idx="238">
                  <c:v>23988.329000000002</c:v>
                </c:pt>
                <c:pt idx="239">
                  <c:v>24547.089</c:v>
                </c:pt>
                <c:pt idx="240">
                  <c:v>25118.864000000001</c:v>
                </c:pt>
                <c:pt idx="241">
                  <c:v>25703.957999999999</c:v>
                </c:pt>
                <c:pt idx="242">
                  <c:v>26302.68</c:v>
                </c:pt>
                <c:pt idx="243">
                  <c:v>26915.348000000002</c:v>
                </c:pt>
                <c:pt idx="244">
                  <c:v>27542.287</c:v>
                </c:pt>
                <c:pt idx="245">
                  <c:v>28183.829000000002</c:v>
                </c:pt>
                <c:pt idx="246">
                  <c:v>28840.314999999999</c:v>
                </c:pt>
                <c:pt idx="247">
                  <c:v>29512.092000000001</c:v>
                </c:pt>
                <c:pt idx="248">
                  <c:v>30199.517</c:v>
                </c:pt>
                <c:pt idx="249">
                  <c:v>30902.954000000002</c:v>
                </c:pt>
                <c:pt idx="250">
                  <c:v>31622.776999999998</c:v>
                </c:pt>
                <c:pt idx="251">
                  <c:v>32359.366000000002</c:v>
                </c:pt>
                <c:pt idx="252">
                  <c:v>33113.112000000001</c:v>
                </c:pt>
                <c:pt idx="253">
                  <c:v>33884.415999999997</c:v>
                </c:pt>
                <c:pt idx="254">
                  <c:v>34673.684999999998</c:v>
                </c:pt>
                <c:pt idx="255">
                  <c:v>35481.339</c:v>
                </c:pt>
                <c:pt idx="256">
                  <c:v>36307.805</c:v>
                </c:pt>
                <c:pt idx="257">
                  <c:v>37153.523000000001</c:v>
                </c:pt>
                <c:pt idx="258">
                  <c:v>38018.94</c:v>
                </c:pt>
                <c:pt idx="259">
                  <c:v>38904.514000000003</c:v>
                </c:pt>
                <c:pt idx="260">
                  <c:v>39810.716999999997</c:v>
                </c:pt>
                <c:pt idx="261">
                  <c:v>40738.027999999998</c:v>
                </c:pt>
                <c:pt idx="262">
                  <c:v>41686.938000000002</c:v>
                </c:pt>
                <c:pt idx="263">
                  <c:v>42657.951999999997</c:v>
                </c:pt>
                <c:pt idx="264">
                  <c:v>43651.582999999999</c:v>
                </c:pt>
                <c:pt idx="265">
                  <c:v>44668.358999999997</c:v>
                </c:pt>
                <c:pt idx="266">
                  <c:v>45708.819000000003</c:v>
                </c:pt>
                <c:pt idx="267">
                  <c:v>46773.514000000003</c:v>
                </c:pt>
                <c:pt idx="268">
                  <c:v>47863.008999999998</c:v>
                </c:pt>
                <c:pt idx="269">
                  <c:v>48977.881999999998</c:v>
                </c:pt>
                <c:pt idx="270">
                  <c:v>50118.722999999998</c:v>
                </c:pt>
                <c:pt idx="271">
                  <c:v>51286.137999999999</c:v>
                </c:pt>
                <c:pt idx="272">
                  <c:v>52480.745999999999</c:v>
                </c:pt>
                <c:pt idx="273">
                  <c:v>53703.18</c:v>
                </c:pt>
                <c:pt idx="274">
                  <c:v>54954.087</c:v>
                </c:pt>
                <c:pt idx="275">
                  <c:v>56234.133000000002</c:v>
                </c:pt>
                <c:pt idx="276">
                  <c:v>57543.993999999999</c:v>
                </c:pt>
                <c:pt idx="277">
                  <c:v>58884.366000000002</c:v>
                </c:pt>
                <c:pt idx="278">
                  <c:v>60255.959000000003</c:v>
                </c:pt>
                <c:pt idx="279">
                  <c:v>61659.5</c:v>
                </c:pt>
                <c:pt idx="280">
                  <c:v>63095.733999999997</c:v>
                </c:pt>
                <c:pt idx="281">
                  <c:v>64565.423000000003</c:v>
                </c:pt>
                <c:pt idx="282">
                  <c:v>66069.345000000001</c:v>
                </c:pt>
                <c:pt idx="283">
                  <c:v>67608.297999999995</c:v>
                </c:pt>
                <c:pt idx="284">
                  <c:v>69183.096999999994</c:v>
                </c:pt>
                <c:pt idx="285">
                  <c:v>70794.577999999994</c:v>
                </c:pt>
                <c:pt idx="286">
                  <c:v>72443.596000000005</c:v>
                </c:pt>
                <c:pt idx="287">
                  <c:v>74131.024000000005</c:v>
                </c:pt>
                <c:pt idx="288">
                  <c:v>75857.758000000002</c:v>
                </c:pt>
                <c:pt idx="289">
                  <c:v>77624.712</c:v>
                </c:pt>
                <c:pt idx="290">
                  <c:v>79432.823000000004</c:v>
                </c:pt>
                <c:pt idx="291">
                  <c:v>81283.051999999996</c:v>
                </c:pt>
                <c:pt idx="292">
                  <c:v>83176.376999999993</c:v>
                </c:pt>
                <c:pt idx="293">
                  <c:v>85113.804000000004</c:v>
                </c:pt>
                <c:pt idx="294">
                  <c:v>87096.358999999997</c:v>
                </c:pt>
                <c:pt idx="295">
                  <c:v>89125.093999999997</c:v>
                </c:pt>
                <c:pt idx="296">
                  <c:v>91201.084000000003</c:v>
                </c:pt>
                <c:pt idx="297">
                  <c:v>93325.43</c:v>
                </c:pt>
                <c:pt idx="298">
                  <c:v>95499.259000000005</c:v>
                </c:pt>
                <c:pt idx="299">
                  <c:v>97723.721999999994</c:v>
                </c:pt>
                <c:pt idx="300">
                  <c:v>100000</c:v>
                </c:pt>
                <c:pt idx="301">
                  <c:v>102329.299</c:v>
                </c:pt>
                <c:pt idx="302">
                  <c:v>104712.855</c:v>
                </c:pt>
                <c:pt idx="303">
                  <c:v>107151.931</c:v>
                </c:pt>
                <c:pt idx="304">
                  <c:v>109647.82</c:v>
                </c:pt>
                <c:pt idx="305">
                  <c:v>112201.845</c:v>
                </c:pt>
                <c:pt idx="306">
                  <c:v>114815.36199999999</c:v>
                </c:pt>
                <c:pt idx="307">
                  <c:v>117489.755</c:v>
                </c:pt>
                <c:pt idx="308">
                  <c:v>120226.443</c:v>
                </c:pt>
                <c:pt idx="309">
                  <c:v>123026.87699999999</c:v>
                </c:pt>
                <c:pt idx="310">
                  <c:v>125892.541</c:v>
                </c:pt>
                <c:pt idx="311">
                  <c:v>128824.955</c:v>
                </c:pt>
                <c:pt idx="312">
                  <c:v>131825.674</c:v>
                </c:pt>
                <c:pt idx="313">
                  <c:v>134896.288</c:v>
                </c:pt>
                <c:pt idx="314">
                  <c:v>138038.42600000001</c:v>
                </c:pt>
                <c:pt idx="315">
                  <c:v>141253.75399999999</c:v>
                </c:pt>
                <c:pt idx="316">
                  <c:v>144543.97700000001</c:v>
                </c:pt>
                <c:pt idx="317">
                  <c:v>147910.83900000001</c:v>
                </c:pt>
                <c:pt idx="318">
                  <c:v>151356.125</c:v>
                </c:pt>
                <c:pt idx="319">
                  <c:v>154881.66200000001</c:v>
                </c:pt>
                <c:pt idx="320">
                  <c:v>158489.31899999999</c:v>
                </c:pt>
                <c:pt idx="321">
                  <c:v>162181.01</c:v>
                </c:pt>
                <c:pt idx="322">
                  <c:v>165958.69099999999</c:v>
                </c:pt>
                <c:pt idx="323">
                  <c:v>169824.36499999999</c:v>
                </c:pt>
                <c:pt idx="324">
                  <c:v>173780.08300000001</c:v>
                </c:pt>
                <c:pt idx="325">
                  <c:v>177827.94099999999</c:v>
                </c:pt>
                <c:pt idx="326">
                  <c:v>181970.08600000001</c:v>
                </c:pt>
                <c:pt idx="327">
                  <c:v>186208.71400000001</c:v>
                </c:pt>
                <c:pt idx="328">
                  <c:v>190546.07199999999</c:v>
                </c:pt>
                <c:pt idx="329">
                  <c:v>194984.46</c:v>
                </c:pt>
                <c:pt idx="330">
                  <c:v>199526.231</c:v>
                </c:pt>
                <c:pt idx="331">
                  <c:v>204173.79399999999</c:v>
                </c:pt>
                <c:pt idx="332">
                  <c:v>208929.61300000001</c:v>
                </c:pt>
                <c:pt idx="333">
                  <c:v>213796.209</c:v>
                </c:pt>
                <c:pt idx="334">
                  <c:v>218776.16200000001</c:v>
                </c:pt>
                <c:pt idx="335">
                  <c:v>223872.114</c:v>
                </c:pt>
                <c:pt idx="336">
                  <c:v>229086.76500000001</c:v>
                </c:pt>
                <c:pt idx="337">
                  <c:v>234422.88200000001</c:v>
                </c:pt>
                <c:pt idx="338">
                  <c:v>239883.29199999999</c:v>
                </c:pt>
                <c:pt idx="339">
                  <c:v>245470.89199999999</c:v>
                </c:pt>
                <c:pt idx="340">
                  <c:v>251188.64300000001</c:v>
                </c:pt>
                <c:pt idx="341">
                  <c:v>257039.57800000001</c:v>
                </c:pt>
                <c:pt idx="342">
                  <c:v>263026.799</c:v>
                </c:pt>
                <c:pt idx="343">
                  <c:v>269153.48</c:v>
                </c:pt>
                <c:pt idx="344">
                  <c:v>275422.87</c:v>
                </c:pt>
                <c:pt idx="345">
                  <c:v>281838.29300000001</c:v>
                </c:pt>
                <c:pt idx="346">
                  <c:v>288403.15000000002</c:v>
                </c:pt>
                <c:pt idx="347">
                  <c:v>295120.92300000001</c:v>
                </c:pt>
                <c:pt idx="348">
                  <c:v>301995.17200000002</c:v>
                </c:pt>
                <c:pt idx="349">
                  <c:v>309029.54300000001</c:v>
                </c:pt>
                <c:pt idx="350">
                  <c:v>316227.766</c:v>
                </c:pt>
                <c:pt idx="351">
                  <c:v>323593.65700000001</c:v>
                </c:pt>
                <c:pt idx="352">
                  <c:v>331131.12099999998</c:v>
                </c:pt>
                <c:pt idx="353">
                  <c:v>338844.15600000002</c:v>
                </c:pt>
                <c:pt idx="354">
                  <c:v>346736.85</c:v>
                </c:pt>
                <c:pt idx="355">
                  <c:v>354813.38900000002</c:v>
                </c:pt>
                <c:pt idx="356">
                  <c:v>363078.05499999999</c:v>
                </c:pt>
                <c:pt idx="357">
                  <c:v>371535.22899999999</c:v>
                </c:pt>
                <c:pt idx="358">
                  <c:v>380189.39600000001</c:v>
                </c:pt>
                <c:pt idx="359">
                  <c:v>389045.14500000002</c:v>
                </c:pt>
                <c:pt idx="360">
                  <c:v>398107.17099999997</c:v>
                </c:pt>
                <c:pt idx="361">
                  <c:v>407380.27799999999</c:v>
                </c:pt>
                <c:pt idx="362">
                  <c:v>416869.38299999997</c:v>
                </c:pt>
                <c:pt idx="363">
                  <c:v>426579.51899999997</c:v>
                </c:pt>
                <c:pt idx="364">
                  <c:v>436515.83199999999</c:v>
                </c:pt>
                <c:pt idx="365">
                  <c:v>446683.592</c:v>
                </c:pt>
                <c:pt idx="366">
                  <c:v>457088.19</c:v>
                </c:pt>
                <c:pt idx="367">
                  <c:v>467735.141</c:v>
                </c:pt>
                <c:pt idx="368">
                  <c:v>478630.092</c:v>
                </c:pt>
                <c:pt idx="369">
                  <c:v>489778.81900000002</c:v>
                </c:pt>
                <c:pt idx="370">
                  <c:v>501187.234</c:v>
                </c:pt>
                <c:pt idx="371">
                  <c:v>512861.38400000002</c:v>
                </c:pt>
                <c:pt idx="372">
                  <c:v>524807.46</c:v>
                </c:pt>
                <c:pt idx="373">
                  <c:v>537031.79599999997</c:v>
                </c:pt>
                <c:pt idx="374">
                  <c:v>549540.87399999995</c:v>
                </c:pt>
                <c:pt idx="375">
                  <c:v>562341.32499999995</c:v>
                </c:pt>
                <c:pt idx="376">
                  <c:v>575439.93700000003</c:v>
                </c:pt>
                <c:pt idx="377">
                  <c:v>588843.65500000003</c:v>
                </c:pt>
                <c:pt idx="378">
                  <c:v>602559.58600000001</c:v>
                </c:pt>
                <c:pt idx="379">
                  <c:v>616595.00199999998</c:v>
                </c:pt>
                <c:pt idx="380">
                  <c:v>630957.34400000004</c:v>
                </c:pt>
                <c:pt idx="381">
                  <c:v>645654.22900000005</c:v>
                </c:pt>
                <c:pt idx="382">
                  <c:v>660693.44799999997</c:v>
                </c:pt>
                <c:pt idx="383">
                  <c:v>676082.97499999998</c:v>
                </c:pt>
                <c:pt idx="384">
                  <c:v>691830.97100000002</c:v>
                </c:pt>
                <c:pt idx="385">
                  <c:v>707945.78399999999</c:v>
                </c:pt>
                <c:pt idx="386">
                  <c:v>724435.96</c:v>
                </c:pt>
                <c:pt idx="387">
                  <c:v>741310.24100000004</c:v>
                </c:pt>
                <c:pt idx="388">
                  <c:v>758577.57499999995</c:v>
                </c:pt>
                <c:pt idx="389">
                  <c:v>776247.11699999997</c:v>
                </c:pt>
                <c:pt idx="390">
                  <c:v>794328.23499999999</c:v>
                </c:pt>
                <c:pt idx="391">
                  <c:v>812830.51599999995</c:v>
                </c:pt>
                <c:pt idx="392">
                  <c:v>831763.77099999995</c:v>
                </c:pt>
                <c:pt idx="393">
                  <c:v>851138.03799999994</c:v>
                </c:pt>
                <c:pt idx="394">
                  <c:v>870963.59</c:v>
                </c:pt>
                <c:pt idx="395">
                  <c:v>891250.93799999997</c:v>
                </c:pt>
                <c:pt idx="396">
                  <c:v>912010.83900000004</c:v>
                </c:pt>
                <c:pt idx="397">
                  <c:v>933254.30099999998</c:v>
                </c:pt>
                <c:pt idx="398">
                  <c:v>954992.58600000001</c:v>
                </c:pt>
                <c:pt idx="399">
                  <c:v>977237.22100000002</c:v>
                </c:pt>
              </c:numCache>
            </c:numRef>
          </c:xVal>
          <c:yVal>
            <c:numRef>
              <c:f>'Bode Plots Calculations'!$BU$10:$BU$409</c:f>
              <c:numCache>
                <c:formatCode>#0.0#</c:formatCode>
                <c:ptCount val="400"/>
                <c:pt idx="0">
                  <c:v>35.359299999999998</c:v>
                </c:pt>
                <c:pt idx="1">
                  <c:v>34.936799999999998</c:v>
                </c:pt>
                <c:pt idx="2">
                  <c:v>34.190800000000003</c:v>
                </c:pt>
                <c:pt idx="3">
                  <c:v>34.477699999999999</c:v>
                </c:pt>
                <c:pt idx="4">
                  <c:v>34.114400000000003</c:v>
                </c:pt>
                <c:pt idx="5">
                  <c:v>34.297699999999999</c:v>
                </c:pt>
                <c:pt idx="6">
                  <c:v>33.346499999999999</c:v>
                </c:pt>
                <c:pt idx="7">
                  <c:v>33.0246</c:v>
                </c:pt>
                <c:pt idx="8">
                  <c:v>33.735999999999997</c:v>
                </c:pt>
                <c:pt idx="9">
                  <c:v>32.764899999999997</c:v>
                </c:pt>
                <c:pt idx="10">
                  <c:v>32.247199999999999</c:v>
                </c:pt>
                <c:pt idx="11">
                  <c:v>32.3142</c:v>
                </c:pt>
                <c:pt idx="12">
                  <c:v>32.155799999999999</c:v>
                </c:pt>
                <c:pt idx="13">
                  <c:v>32.875300000000003</c:v>
                </c:pt>
                <c:pt idx="14">
                  <c:v>32.538699999999999</c:v>
                </c:pt>
                <c:pt idx="15">
                  <c:v>32.377000000000002</c:v>
                </c:pt>
                <c:pt idx="16">
                  <c:v>31.499099999999999</c:v>
                </c:pt>
                <c:pt idx="17">
                  <c:v>31.4819</c:v>
                </c:pt>
                <c:pt idx="18">
                  <c:v>31.0519</c:v>
                </c:pt>
                <c:pt idx="19">
                  <c:v>31.248699999999999</c:v>
                </c:pt>
                <c:pt idx="20">
                  <c:v>31.003699999999998</c:v>
                </c:pt>
                <c:pt idx="21">
                  <c:v>30.429300000000001</c:v>
                </c:pt>
                <c:pt idx="22">
                  <c:v>29.9194</c:v>
                </c:pt>
                <c:pt idx="23">
                  <c:v>29.808900000000001</c:v>
                </c:pt>
                <c:pt idx="24">
                  <c:v>30.070900000000002</c:v>
                </c:pt>
                <c:pt idx="25">
                  <c:v>29.720099999999999</c:v>
                </c:pt>
                <c:pt idx="26">
                  <c:v>30.042100000000001</c:v>
                </c:pt>
                <c:pt idx="27">
                  <c:v>29.901800000000001</c:v>
                </c:pt>
                <c:pt idx="28">
                  <c:v>29.566700000000001</c:v>
                </c:pt>
                <c:pt idx="29">
                  <c:v>29.685600000000001</c:v>
                </c:pt>
                <c:pt idx="30">
                  <c:v>29.050999999999998</c:v>
                </c:pt>
                <c:pt idx="31">
                  <c:v>28.424299999999999</c:v>
                </c:pt>
                <c:pt idx="32">
                  <c:v>28.510899999999999</c:v>
                </c:pt>
                <c:pt idx="33">
                  <c:v>28.178999999999998</c:v>
                </c:pt>
                <c:pt idx="34">
                  <c:v>27.706399999999999</c:v>
                </c:pt>
                <c:pt idx="35">
                  <c:v>27.937100000000001</c:v>
                </c:pt>
                <c:pt idx="36">
                  <c:v>27.676300000000001</c:v>
                </c:pt>
                <c:pt idx="37">
                  <c:v>27.670300000000001</c:v>
                </c:pt>
                <c:pt idx="38">
                  <c:v>27.2761</c:v>
                </c:pt>
                <c:pt idx="39">
                  <c:v>27.075500000000002</c:v>
                </c:pt>
                <c:pt idx="40">
                  <c:v>27.043399999999998</c:v>
                </c:pt>
                <c:pt idx="41">
                  <c:v>26.677600000000002</c:v>
                </c:pt>
                <c:pt idx="42">
                  <c:v>26.270299999999999</c:v>
                </c:pt>
                <c:pt idx="43">
                  <c:v>26.235900000000001</c:v>
                </c:pt>
                <c:pt idx="44">
                  <c:v>25.845600000000001</c:v>
                </c:pt>
                <c:pt idx="45">
                  <c:v>26.1068</c:v>
                </c:pt>
                <c:pt idx="46">
                  <c:v>25.784400000000002</c:v>
                </c:pt>
                <c:pt idx="47">
                  <c:v>25.581099999999999</c:v>
                </c:pt>
                <c:pt idx="48">
                  <c:v>24.917000000000002</c:v>
                </c:pt>
                <c:pt idx="49">
                  <c:v>24.825199999999999</c:v>
                </c:pt>
                <c:pt idx="50">
                  <c:v>24.722000000000001</c:v>
                </c:pt>
                <c:pt idx="51">
                  <c:v>24.5962</c:v>
                </c:pt>
                <c:pt idx="52">
                  <c:v>24.386800000000001</c:v>
                </c:pt>
                <c:pt idx="53">
                  <c:v>24.136900000000001</c:v>
                </c:pt>
                <c:pt idx="54">
                  <c:v>24.040400000000002</c:v>
                </c:pt>
                <c:pt idx="55">
                  <c:v>23.629000000000001</c:v>
                </c:pt>
                <c:pt idx="56">
                  <c:v>23.6126</c:v>
                </c:pt>
                <c:pt idx="57">
                  <c:v>23.315999999999999</c:v>
                </c:pt>
                <c:pt idx="58">
                  <c:v>23.2133</c:v>
                </c:pt>
                <c:pt idx="59">
                  <c:v>22.955200000000001</c:v>
                </c:pt>
                <c:pt idx="60">
                  <c:v>22.738499999999998</c:v>
                </c:pt>
                <c:pt idx="61">
                  <c:v>22.7593</c:v>
                </c:pt>
                <c:pt idx="62">
                  <c:v>22.4206</c:v>
                </c:pt>
                <c:pt idx="63">
                  <c:v>22.373699999999999</c:v>
                </c:pt>
                <c:pt idx="64">
                  <c:v>22.074100000000001</c:v>
                </c:pt>
                <c:pt idx="65">
                  <c:v>21.761099999999999</c:v>
                </c:pt>
                <c:pt idx="66">
                  <c:v>21.6126</c:v>
                </c:pt>
                <c:pt idx="67">
                  <c:v>21.3672</c:v>
                </c:pt>
                <c:pt idx="68">
                  <c:v>21.195799999999998</c:v>
                </c:pt>
                <c:pt idx="69">
                  <c:v>20.944800000000001</c:v>
                </c:pt>
                <c:pt idx="70">
                  <c:v>20.7819</c:v>
                </c:pt>
                <c:pt idx="71">
                  <c:v>20.634799999999998</c:v>
                </c:pt>
                <c:pt idx="72">
                  <c:v>20.243600000000001</c:v>
                </c:pt>
                <c:pt idx="73">
                  <c:v>20.2926</c:v>
                </c:pt>
                <c:pt idx="74">
                  <c:v>19.992000000000001</c:v>
                </c:pt>
                <c:pt idx="75">
                  <c:v>19.682300000000001</c:v>
                </c:pt>
                <c:pt idx="76">
                  <c:v>19.596</c:v>
                </c:pt>
                <c:pt idx="77">
                  <c:v>19.373200000000001</c:v>
                </c:pt>
                <c:pt idx="78">
                  <c:v>19.198</c:v>
                </c:pt>
                <c:pt idx="79">
                  <c:v>18.983699999999999</c:v>
                </c:pt>
                <c:pt idx="80">
                  <c:v>18.802900000000001</c:v>
                </c:pt>
                <c:pt idx="81">
                  <c:v>18.598600000000001</c:v>
                </c:pt>
                <c:pt idx="82">
                  <c:v>18.468</c:v>
                </c:pt>
                <c:pt idx="83">
                  <c:v>18.2744</c:v>
                </c:pt>
                <c:pt idx="84">
                  <c:v>18.092600000000001</c:v>
                </c:pt>
                <c:pt idx="85">
                  <c:v>17.887</c:v>
                </c:pt>
                <c:pt idx="86">
                  <c:v>17.753599999999999</c:v>
                </c:pt>
                <c:pt idx="87">
                  <c:v>17.416399999999999</c:v>
                </c:pt>
                <c:pt idx="88">
                  <c:v>17.283200000000001</c:v>
                </c:pt>
                <c:pt idx="89">
                  <c:v>17.007100000000001</c:v>
                </c:pt>
                <c:pt idx="90">
                  <c:v>16.8354</c:v>
                </c:pt>
                <c:pt idx="91">
                  <c:v>16.6614</c:v>
                </c:pt>
                <c:pt idx="92">
                  <c:v>16.509799999999998</c:v>
                </c:pt>
                <c:pt idx="93">
                  <c:v>16.276800000000001</c:v>
                </c:pt>
                <c:pt idx="94">
                  <c:v>16.106100000000001</c:v>
                </c:pt>
                <c:pt idx="95">
                  <c:v>15.882400000000001</c:v>
                </c:pt>
                <c:pt idx="96">
                  <c:v>15.6715</c:v>
                </c:pt>
                <c:pt idx="97">
                  <c:v>15.471399999999999</c:v>
                </c:pt>
                <c:pt idx="98">
                  <c:v>15.352499999999999</c:v>
                </c:pt>
                <c:pt idx="99">
                  <c:v>15.0807</c:v>
                </c:pt>
                <c:pt idx="100">
                  <c:v>14.883800000000001</c:v>
                </c:pt>
                <c:pt idx="101">
                  <c:v>14.7437</c:v>
                </c:pt>
                <c:pt idx="102">
                  <c:v>14.586600000000001</c:v>
                </c:pt>
                <c:pt idx="103">
                  <c:v>14.3581</c:v>
                </c:pt>
                <c:pt idx="104">
                  <c:v>14.1501</c:v>
                </c:pt>
                <c:pt idx="105">
                  <c:v>13.9679</c:v>
                </c:pt>
                <c:pt idx="106">
                  <c:v>13.7508</c:v>
                </c:pt>
                <c:pt idx="107">
                  <c:v>13.6038</c:v>
                </c:pt>
                <c:pt idx="108">
                  <c:v>13.412800000000001</c:v>
                </c:pt>
                <c:pt idx="109">
                  <c:v>13.1837</c:v>
                </c:pt>
                <c:pt idx="110">
                  <c:v>13.0792</c:v>
                </c:pt>
                <c:pt idx="111">
                  <c:v>12.807</c:v>
                </c:pt>
                <c:pt idx="112">
                  <c:v>12.682600000000001</c:v>
                </c:pt>
                <c:pt idx="113">
                  <c:v>12.475899999999999</c:v>
                </c:pt>
                <c:pt idx="114">
                  <c:v>12.2584</c:v>
                </c:pt>
                <c:pt idx="115">
                  <c:v>12.0929</c:v>
                </c:pt>
                <c:pt idx="116">
                  <c:v>11.918900000000001</c:v>
                </c:pt>
                <c:pt idx="117">
                  <c:v>11.714700000000001</c:v>
                </c:pt>
                <c:pt idx="118">
                  <c:v>11.5252</c:v>
                </c:pt>
                <c:pt idx="119">
                  <c:v>11.3354</c:v>
                </c:pt>
                <c:pt idx="120">
                  <c:v>11.160399999999999</c:v>
                </c:pt>
                <c:pt idx="121">
                  <c:v>10.9787</c:v>
                </c:pt>
                <c:pt idx="122">
                  <c:v>10.7578</c:v>
                </c:pt>
                <c:pt idx="123">
                  <c:v>10.580500000000001</c:v>
                </c:pt>
                <c:pt idx="124">
                  <c:v>10.4643</c:v>
                </c:pt>
                <c:pt idx="125">
                  <c:v>10.213699999999999</c:v>
                </c:pt>
                <c:pt idx="126">
                  <c:v>10.045199999999999</c:v>
                </c:pt>
                <c:pt idx="127">
                  <c:v>9.8767200000000006</c:v>
                </c:pt>
                <c:pt idx="128">
                  <c:v>9.7134199999999993</c:v>
                </c:pt>
                <c:pt idx="129">
                  <c:v>9.5268499999999996</c:v>
                </c:pt>
                <c:pt idx="130">
                  <c:v>9.3349399999999996</c:v>
                </c:pt>
                <c:pt idx="131">
                  <c:v>9.0884699999999992</c:v>
                </c:pt>
                <c:pt idx="132">
                  <c:v>8.9698600000000006</c:v>
                </c:pt>
                <c:pt idx="133">
                  <c:v>8.68736</c:v>
                </c:pt>
                <c:pt idx="134">
                  <c:v>8.5308799999999998</c:v>
                </c:pt>
                <c:pt idx="135">
                  <c:v>8.3496900000000007</c:v>
                </c:pt>
                <c:pt idx="136">
                  <c:v>8.2818299999999994</c:v>
                </c:pt>
                <c:pt idx="137">
                  <c:v>8.0662299999999991</c:v>
                </c:pt>
                <c:pt idx="138">
                  <c:v>7.8140200000000002</c:v>
                </c:pt>
                <c:pt idx="139">
                  <c:v>7.6423899999999998</c:v>
                </c:pt>
                <c:pt idx="140">
                  <c:v>7.45716</c:v>
                </c:pt>
                <c:pt idx="141">
                  <c:v>7.31271</c:v>
                </c:pt>
                <c:pt idx="142">
                  <c:v>7.13504</c:v>
                </c:pt>
                <c:pt idx="143">
                  <c:v>6.8809300000000002</c:v>
                </c:pt>
                <c:pt idx="144">
                  <c:v>6.7009400000000001</c:v>
                </c:pt>
                <c:pt idx="145">
                  <c:v>6.5356199999999998</c:v>
                </c:pt>
                <c:pt idx="146">
                  <c:v>6.3265200000000004</c:v>
                </c:pt>
                <c:pt idx="147">
                  <c:v>6.1830800000000004</c:v>
                </c:pt>
                <c:pt idx="148">
                  <c:v>6.0130600000000003</c:v>
                </c:pt>
                <c:pt idx="149">
                  <c:v>5.8544900000000002</c:v>
                </c:pt>
                <c:pt idx="150">
                  <c:v>5.6099300000000003</c:v>
                </c:pt>
                <c:pt idx="151">
                  <c:v>5.4320899999999996</c:v>
                </c:pt>
                <c:pt idx="152">
                  <c:v>5.2356100000000003</c:v>
                </c:pt>
                <c:pt idx="153">
                  <c:v>5.0528199999999996</c:v>
                </c:pt>
                <c:pt idx="154">
                  <c:v>4.9028999999999998</c:v>
                </c:pt>
                <c:pt idx="155">
                  <c:v>4.6522600000000001</c:v>
                </c:pt>
                <c:pt idx="156">
                  <c:v>4.4950999999999999</c:v>
                </c:pt>
                <c:pt idx="157">
                  <c:v>4.3437000000000001</c:v>
                </c:pt>
                <c:pt idx="158">
                  <c:v>4.1437400000000002</c:v>
                </c:pt>
                <c:pt idx="159">
                  <c:v>3.9573</c:v>
                </c:pt>
                <c:pt idx="160">
                  <c:v>3.8980899999999998</c:v>
                </c:pt>
                <c:pt idx="161">
                  <c:v>3.5600999999999998</c:v>
                </c:pt>
                <c:pt idx="162">
                  <c:v>3.4098799999999998</c:v>
                </c:pt>
                <c:pt idx="163">
                  <c:v>3.2244999999999999</c:v>
                </c:pt>
                <c:pt idx="164">
                  <c:v>3.07782</c:v>
                </c:pt>
                <c:pt idx="165">
                  <c:v>2.9233199999999999</c:v>
                </c:pt>
                <c:pt idx="166">
                  <c:v>2.7266900000000001</c:v>
                </c:pt>
                <c:pt idx="167">
                  <c:v>2.54392</c:v>
                </c:pt>
                <c:pt idx="168">
                  <c:v>2.5307499999999998</c:v>
                </c:pt>
                <c:pt idx="169">
                  <c:v>2.1795599999999999</c:v>
                </c:pt>
                <c:pt idx="170">
                  <c:v>2.08934</c:v>
                </c:pt>
                <c:pt idx="171">
                  <c:v>1.7954699999999999</c:v>
                </c:pt>
                <c:pt idx="172">
                  <c:v>1.6024099999999999</c:v>
                </c:pt>
                <c:pt idx="173">
                  <c:v>1.48515</c:v>
                </c:pt>
                <c:pt idx="174">
                  <c:v>1.35836</c:v>
                </c:pt>
                <c:pt idx="175">
                  <c:v>1.07298</c:v>
                </c:pt>
                <c:pt idx="176">
                  <c:v>0.86915299999999995</c:v>
                </c:pt>
                <c:pt idx="177">
                  <c:v>0.80323599999999995</c:v>
                </c:pt>
                <c:pt idx="178">
                  <c:v>0.76992799999999995</c:v>
                </c:pt>
                <c:pt idx="179">
                  <c:v>0.46947800000000001</c:v>
                </c:pt>
                <c:pt idx="180">
                  <c:v>0.36985299999999999</c:v>
                </c:pt>
                <c:pt idx="181">
                  <c:v>0.12767600000000001</c:v>
                </c:pt>
                <c:pt idx="182">
                  <c:v>3.6938100000000001E-2</c:v>
                </c:pt>
                <c:pt idx="183">
                  <c:v>-4.9019100000000003E-2</c:v>
                </c:pt>
                <c:pt idx="184">
                  <c:v>-0.21798300000000001</c:v>
                </c:pt>
                <c:pt idx="185">
                  <c:v>-0.38401400000000002</c:v>
                </c:pt>
                <c:pt idx="186">
                  <c:v>-0.57486000000000004</c:v>
                </c:pt>
                <c:pt idx="187">
                  <c:v>-0.73329999999999995</c:v>
                </c:pt>
                <c:pt idx="188">
                  <c:v>-0.87090199999999995</c:v>
                </c:pt>
                <c:pt idx="189">
                  <c:v>-1.0348599999999999</c:v>
                </c:pt>
                <c:pt idx="190">
                  <c:v>-1.2307999999999999</c:v>
                </c:pt>
                <c:pt idx="191">
                  <c:v>-1.3526100000000001</c:v>
                </c:pt>
                <c:pt idx="192">
                  <c:v>-1.29555</c:v>
                </c:pt>
                <c:pt idx="193">
                  <c:v>-1.5137499999999999</c:v>
                </c:pt>
                <c:pt idx="194">
                  <c:v>-1.62094</c:v>
                </c:pt>
                <c:pt idx="195">
                  <c:v>-1.6954</c:v>
                </c:pt>
                <c:pt idx="196">
                  <c:v>-1.76502</c:v>
                </c:pt>
                <c:pt idx="197">
                  <c:v>-1.99203</c:v>
                </c:pt>
                <c:pt idx="198">
                  <c:v>-2.1278299999999999</c:v>
                </c:pt>
                <c:pt idx="199">
                  <c:v>-1.9944299999999999</c:v>
                </c:pt>
                <c:pt idx="200">
                  <c:v>-2.2209699999999999</c:v>
                </c:pt>
                <c:pt idx="201">
                  <c:v>-2.4867400000000002</c:v>
                </c:pt>
                <c:pt idx="202">
                  <c:v>-2.3517399999999999</c:v>
                </c:pt>
                <c:pt idx="203">
                  <c:v>-2.5136799999999999</c:v>
                </c:pt>
                <c:pt idx="204">
                  <c:v>-2.5043700000000002</c:v>
                </c:pt>
                <c:pt idx="205">
                  <c:v>-2.7486899999999999</c:v>
                </c:pt>
                <c:pt idx="206">
                  <c:v>-2.86917</c:v>
                </c:pt>
                <c:pt idx="207">
                  <c:v>-3.0396299999999998</c:v>
                </c:pt>
                <c:pt idx="208">
                  <c:v>-3.2097500000000001</c:v>
                </c:pt>
                <c:pt idx="209">
                  <c:v>-3.2360000000000002</c:v>
                </c:pt>
                <c:pt idx="210">
                  <c:v>-3.6465100000000001</c:v>
                </c:pt>
                <c:pt idx="211">
                  <c:v>-3.6234700000000002</c:v>
                </c:pt>
                <c:pt idx="212">
                  <c:v>-4.1132799999999996</c:v>
                </c:pt>
                <c:pt idx="213">
                  <c:v>-3.8779599999999999</c:v>
                </c:pt>
                <c:pt idx="214">
                  <c:v>-4.0306600000000001</c:v>
                </c:pt>
                <c:pt idx="215">
                  <c:v>-4.0179099999999996</c:v>
                </c:pt>
                <c:pt idx="216">
                  <c:v>-3.9652699999999999</c:v>
                </c:pt>
                <c:pt idx="217">
                  <c:v>-3.9583900000000001</c:v>
                </c:pt>
                <c:pt idx="218">
                  <c:v>-3.8792200000000001</c:v>
                </c:pt>
                <c:pt idx="219">
                  <c:v>-3.9822899999999999</c:v>
                </c:pt>
                <c:pt idx="220">
                  <c:v>-3.9450400000000001</c:v>
                </c:pt>
                <c:pt idx="221">
                  <c:v>-3.9639700000000002</c:v>
                </c:pt>
                <c:pt idx="222">
                  <c:v>-3.91065</c:v>
                </c:pt>
                <c:pt idx="223">
                  <c:v>-3.9488799999999999</c:v>
                </c:pt>
                <c:pt idx="224">
                  <c:v>-3.8028900000000001</c:v>
                </c:pt>
                <c:pt idx="225">
                  <c:v>-3.8474200000000001</c:v>
                </c:pt>
                <c:pt idx="226">
                  <c:v>-3.8303199999999999</c:v>
                </c:pt>
                <c:pt idx="227">
                  <c:v>-3.77474</c:v>
                </c:pt>
                <c:pt idx="228">
                  <c:v>-3.7312500000000002</c:v>
                </c:pt>
                <c:pt idx="229">
                  <c:v>-3.7243200000000001</c:v>
                </c:pt>
                <c:pt idx="230">
                  <c:v>-3.67421</c:v>
                </c:pt>
                <c:pt idx="231">
                  <c:v>-3.6440899999999998</c:v>
                </c:pt>
                <c:pt idx="232">
                  <c:v>-3.5620099999999999</c:v>
                </c:pt>
                <c:pt idx="233">
                  <c:v>-3.5589</c:v>
                </c:pt>
                <c:pt idx="234">
                  <c:v>-3.49654</c:v>
                </c:pt>
                <c:pt idx="235">
                  <c:v>-3.4356</c:v>
                </c:pt>
                <c:pt idx="236">
                  <c:v>-3.37297</c:v>
                </c:pt>
                <c:pt idx="237">
                  <c:v>-3.29522</c:v>
                </c:pt>
                <c:pt idx="238">
                  <c:v>-3.2437399999999998</c:v>
                </c:pt>
                <c:pt idx="239">
                  <c:v>-3.1709299999999998</c:v>
                </c:pt>
                <c:pt idx="240">
                  <c:v>-3.1069800000000001</c:v>
                </c:pt>
                <c:pt idx="241">
                  <c:v>-3.0172699999999999</c:v>
                </c:pt>
                <c:pt idx="242">
                  <c:v>-2.9494799999999999</c:v>
                </c:pt>
                <c:pt idx="243">
                  <c:v>-2.8411300000000002</c:v>
                </c:pt>
                <c:pt idx="244">
                  <c:v>-2.7366600000000001</c:v>
                </c:pt>
                <c:pt idx="245">
                  <c:v>-2.6523400000000001</c:v>
                </c:pt>
                <c:pt idx="246">
                  <c:v>-2.5506799999999998</c:v>
                </c:pt>
                <c:pt idx="247">
                  <c:v>-2.44991</c:v>
                </c:pt>
                <c:pt idx="248">
                  <c:v>-2.3553299999999999</c:v>
                </c:pt>
                <c:pt idx="249">
                  <c:v>-2.2543500000000001</c:v>
                </c:pt>
                <c:pt idx="250">
                  <c:v>-2.1282199999999998</c:v>
                </c:pt>
                <c:pt idx="251">
                  <c:v>-2.03586</c:v>
                </c:pt>
                <c:pt idx="252">
                  <c:v>-1.91717</c:v>
                </c:pt>
                <c:pt idx="253">
                  <c:v>-1.81593</c:v>
                </c:pt>
                <c:pt idx="254">
                  <c:v>-1.6807799999999999</c:v>
                </c:pt>
                <c:pt idx="255">
                  <c:v>-1.5620799999999999</c:v>
                </c:pt>
                <c:pt idx="256">
                  <c:v>-1.4274800000000001</c:v>
                </c:pt>
                <c:pt idx="257">
                  <c:v>-1.30297</c:v>
                </c:pt>
                <c:pt idx="258">
                  <c:v>-1.18652</c:v>
                </c:pt>
                <c:pt idx="259">
                  <c:v>-1.0515600000000001</c:v>
                </c:pt>
                <c:pt idx="260">
                  <c:v>-0.92721699999999996</c:v>
                </c:pt>
                <c:pt idx="261">
                  <c:v>-0.80365399999999998</c:v>
                </c:pt>
                <c:pt idx="262">
                  <c:v>-0.666377</c:v>
                </c:pt>
                <c:pt idx="263">
                  <c:v>-0.55182299999999995</c:v>
                </c:pt>
                <c:pt idx="264">
                  <c:v>-0.43071199999999998</c:v>
                </c:pt>
                <c:pt idx="265">
                  <c:v>-0.21105299999999999</c:v>
                </c:pt>
                <c:pt idx="266">
                  <c:v>0.52166999999999997</c:v>
                </c:pt>
                <c:pt idx="267">
                  <c:v>0.78233600000000003</c:v>
                </c:pt>
                <c:pt idx="268">
                  <c:v>0.81724300000000005</c:v>
                </c:pt>
                <c:pt idx="269">
                  <c:v>0.86195100000000002</c:v>
                </c:pt>
                <c:pt idx="270">
                  <c:v>0.950021</c:v>
                </c:pt>
                <c:pt idx="271">
                  <c:v>1.0492999999999999</c:v>
                </c:pt>
                <c:pt idx="272">
                  <c:v>1.1752400000000001</c:v>
                </c:pt>
                <c:pt idx="273">
                  <c:v>1.3152900000000001</c:v>
                </c:pt>
                <c:pt idx="274">
                  <c:v>1.4637500000000001</c:v>
                </c:pt>
                <c:pt idx="275">
                  <c:v>1.62296</c:v>
                </c:pt>
                <c:pt idx="276">
                  <c:v>1.78169</c:v>
                </c:pt>
                <c:pt idx="277">
                  <c:v>1.9421999999999999</c:v>
                </c:pt>
                <c:pt idx="278">
                  <c:v>2.1075200000000001</c:v>
                </c:pt>
                <c:pt idx="279">
                  <c:v>2.2781099999999999</c:v>
                </c:pt>
                <c:pt idx="280">
                  <c:v>2.4499300000000002</c:v>
                </c:pt>
                <c:pt idx="281">
                  <c:v>2.6258699999999999</c:v>
                </c:pt>
                <c:pt idx="282">
                  <c:v>2.7940900000000002</c:v>
                </c:pt>
                <c:pt idx="283">
                  <c:v>2.9581400000000002</c:v>
                </c:pt>
                <c:pt idx="284">
                  <c:v>3.15646</c:v>
                </c:pt>
                <c:pt idx="285">
                  <c:v>3.32565</c:v>
                </c:pt>
                <c:pt idx="286">
                  <c:v>3.4992100000000002</c:v>
                </c:pt>
                <c:pt idx="287">
                  <c:v>3.6540400000000002</c:v>
                </c:pt>
                <c:pt idx="288">
                  <c:v>3.8307899999999999</c:v>
                </c:pt>
                <c:pt idx="289">
                  <c:v>4.0309799999999996</c:v>
                </c:pt>
                <c:pt idx="290">
                  <c:v>4.23407</c:v>
                </c:pt>
                <c:pt idx="291">
                  <c:v>4.4202000000000004</c:v>
                </c:pt>
                <c:pt idx="292">
                  <c:v>4.5639399999999997</c:v>
                </c:pt>
                <c:pt idx="293">
                  <c:v>4.7605300000000002</c:v>
                </c:pt>
                <c:pt idx="294">
                  <c:v>4.9475499999999997</c:v>
                </c:pt>
                <c:pt idx="295">
                  <c:v>5.2143100000000002</c:v>
                </c:pt>
                <c:pt idx="296">
                  <c:v>5.4050900000000004</c:v>
                </c:pt>
                <c:pt idx="297">
                  <c:v>5.6014999999999997</c:v>
                </c:pt>
                <c:pt idx="298">
                  <c:v>5.7946099999999996</c:v>
                </c:pt>
                <c:pt idx="299">
                  <c:v>5.9855799999999997</c:v>
                </c:pt>
                <c:pt idx="300">
                  <c:v>6.1811499999999997</c:v>
                </c:pt>
                <c:pt idx="301">
                  <c:v>6.3762999999999996</c:v>
                </c:pt>
                <c:pt idx="302">
                  <c:v>6.5692300000000001</c:v>
                </c:pt>
                <c:pt idx="303">
                  <c:v>6.77081</c:v>
                </c:pt>
                <c:pt idx="304">
                  <c:v>6.9849899999999998</c:v>
                </c:pt>
                <c:pt idx="305">
                  <c:v>7.2120699999999998</c:v>
                </c:pt>
                <c:pt idx="306">
                  <c:v>7.47248</c:v>
                </c:pt>
                <c:pt idx="307">
                  <c:v>7.6753600000000004</c:v>
                </c:pt>
                <c:pt idx="308">
                  <c:v>7.9446199999999996</c:v>
                </c:pt>
                <c:pt idx="309">
                  <c:v>8.1865900000000007</c:v>
                </c:pt>
                <c:pt idx="310">
                  <c:v>8.4445800000000002</c:v>
                </c:pt>
                <c:pt idx="311">
                  <c:v>8.6780500000000007</c:v>
                </c:pt>
                <c:pt idx="312">
                  <c:v>8.8889499999999995</c:v>
                </c:pt>
                <c:pt idx="313">
                  <c:v>9.0986999999999991</c:v>
                </c:pt>
                <c:pt idx="314">
                  <c:v>9.3196600000000007</c:v>
                </c:pt>
                <c:pt idx="315">
                  <c:v>9.5290400000000002</c:v>
                </c:pt>
                <c:pt idx="316">
                  <c:v>9.7312899999999996</c:v>
                </c:pt>
                <c:pt idx="317">
                  <c:v>9.9010099999999994</c:v>
                </c:pt>
                <c:pt idx="318">
                  <c:v>10.0764</c:v>
                </c:pt>
                <c:pt idx="319">
                  <c:v>10.266</c:v>
                </c:pt>
                <c:pt idx="320">
                  <c:v>10.4788</c:v>
                </c:pt>
                <c:pt idx="321">
                  <c:v>10.741899999999999</c:v>
                </c:pt>
                <c:pt idx="322">
                  <c:v>11.0235</c:v>
                </c:pt>
                <c:pt idx="323">
                  <c:v>11.234299999999999</c:v>
                </c:pt>
                <c:pt idx="324">
                  <c:v>11.3918</c:v>
                </c:pt>
                <c:pt idx="325">
                  <c:v>11.612500000000001</c:v>
                </c:pt>
                <c:pt idx="326">
                  <c:v>11.8933</c:v>
                </c:pt>
                <c:pt idx="327">
                  <c:v>12.027799999999999</c:v>
                </c:pt>
                <c:pt idx="328">
                  <c:v>12.182600000000001</c:v>
                </c:pt>
                <c:pt idx="329">
                  <c:v>12.458399999999999</c:v>
                </c:pt>
                <c:pt idx="330">
                  <c:v>12.6511</c:v>
                </c:pt>
                <c:pt idx="331">
                  <c:v>12.903600000000001</c:v>
                </c:pt>
                <c:pt idx="332">
                  <c:v>13.1541</c:v>
                </c:pt>
                <c:pt idx="333">
                  <c:v>13.368399999999999</c:v>
                </c:pt>
                <c:pt idx="334">
                  <c:v>13.6015</c:v>
                </c:pt>
                <c:pt idx="335">
                  <c:v>13.8704</c:v>
                </c:pt>
                <c:pt idx="336">
                  <c:v>14.1297</c:v>
                </c:pt>
                <c:pt idx="337">
                  <c:v>14.451599999999999</c:v>
                </c:pt>
                <c:pt idx="338">
                  <c:v>14.4628</c:v>
                </c:pt>
                <c:pt idx="339">
                  <c:v>14.575900000000001</c:v>
                </c:pt>
                <c:pt idx="340">
                  <c:v>14.7446</c:v>
                </c:pt>
                <c:pt idx="341">
                  <c:v>14.891</c:v>
                </c:pt>
                <c:pt idx="342">
                  <c:v>14.9779</c:v>
                </c:pt>
                <c:pt idx="343">
                  <c:v>15.0854</c:v>
                </c:pt>
                <c:pt idx="344">
                  <c:v>15.1145</c:v>
                </c:pt>
                <c:pt idx="345">
                  <c:v>15.1486</c:v>
                </c:pt>
                <c:pt idx="346">
                  <c:v>14.961</c:v>
                </c:pt>
                <c:pt idx="347">
                  <c:v>14.946199999999999</c:v>
                </c:pt>
                <c:pt idx="348">
                  <c:v>15.1762</c:v>
                </c:pt>
                <c:pt idx="349">
                  <c:v>15.284700000000001</c:v>
                </c:pt>
                <c:pt idx="350">
                  <c:v>15.331799999999999</c:v>
                </c:pt>
                <c:pt idx="351">
                  <c:v>15.3347</c:v>
                </c:pt>
                <c:pt idx="352">
                  <c:v>15.331</c:v>
                </c:pt>
                <c:pt idx="353">
                  <c:v>15.2844</c:v>
                </c:pt>
                <c:pt idx="354">
                  <c:v>15.295400000000001</c:v>
                </c:pt>
                <c:pt idx="355">
                  <c:v>15.3028</c:v>
                </c:pt>
                <c:pt idx="356">
                  <c:v>15.049200000000001</c:v>
                </c:pt>
                <c:pt idx="357">
                  <c:v>14.9002</c:v>
                </c:pt>
                <c:pt idx="358">
                  <c:v>14.938000000000001</c:v>
                </c:pt>
                <c:pt idx="359">
                  <c:v>14.7561</c:v>
                </c:pt>
                <c:pt idx="360">
                  <c:v>14.525499999999999</c:v>
                </c:pt>
                <c:pt idx="361">
                  <c:v>14.4298</c:v>
                </c:pt>
                <c:pt idx="362">
                  <c:v>14.126799999999999</c:v>
                </c:pt>
                <c:pt idx="363">
                  <c:v>14.106299999999999</c:v>
                </c:pt>
                <c:pt idx="364">
                  <c:v>13.8226</c:v>
                </c:pt>
                <c:pt idx="365">
                  <c:v>13.599500000000001</c:v>
                </c:pt>
                <c:pt idx="366">
                  <c:v>13.3674</c:v>
                </c:pt>
                <c:pt idx="367">
                  <c:v>13.1959</c:v>
                </c:pt>
                <c:pt idx="368">
                  <c:v>13.0069</c:v>
                </c:pt>
                <c:pt idx="369">
                  <c:v>12.7394</c:v>
                </c:pt>
                <c:pt idx="370">
                  <c:v>12.4757</c:v>
                </c:pt>
                <c:pt idx="371">
                  <c:v>12.1639</c:v>
                </c:pt>
                <c:pt idx="372">
                  <c:v>11.9579</c:v>
                </c:pt>
                <c:pt idx="373">
                  <c:v>11.690200000000001</c:v>
                </c:pt>
                <c:pt idx="374">
                  <c:v>11.575799999999999</c:v>
                </c:pt>
                <c:pt idx="375">
                  <c:v>11.314</c:v>
                </c:pt>
                <c:pt idx="376">
                  <c:v>11.0791</c:v>
                </c:pt>
                <c:pt idx="377">
                  <c:v>10.8666</c:v>
                </c:pt>
                <c:pt idx="378">
                  <c:v>10.6013</c:v>
                </c:pt>
                <c:pt idx="379">
                  <c:v>10.4749</c:v>
                </c:pt>
                <c:pt idx="380">
                  <c:v>10.283799999999999</c:v>
                </c:pt>
                <c:pt idx="381">
                  <c:v>9.9821899999999992</c:v>
                </c:pt>
                <c:pt idx="382">
                  <c:v>9.7520900000000008</c:v>
                </c:pt>
                <c:pt idx="383">
                  <c:v>9.5117999999999991</c:v>
                </c:pt>
                <c:pt idx="384">
                  <c:v>9.28308</c:v>
                </c:pt>
                <c:pt idx="385">
                  <c:v>9.1002899999999993</c:v>
                </c:pt>
                <c:pt idx="386">
                  <c:v>8.7908299999999997</c:v>
                </c:pt>
                <c:pt idx="387">
                  <c:v>8.6150300000000009</c:v>
                </c:pt>
                <c:pt idx="388">
                  <c:v>8.3056699999999992</c:v>
                </c:pt>
                <c:pt idx="389">
                  <c:v>7.9999099999999999</c:v>
                </c:pt>
                <c:pt idx="390">
                  <c:v>7.7399399999999998</c:v>
                </c:pt>
                <c:pt idx="391">
                  <c:v>7.5259600000000004</c:v>
                </c:pt>
                <c:pt idx="392">
                  <c:v>7.3913599999999997</c:v>
                </c:pt>
                <c:pt idx="393">
                  <c:v>7.3125499999999999</c:v>
                </c:pt>
                <c:pt idx="394">
                  <c:v>7.1463099999999997</c:v>
                </c:pt>
                <c:pt idx="395">
                  <c:v>6.8612700000000002</c:v>
                </c:pt>
                <c:pt idx="396">
                  <c:v>6.4708399999999999</c:v>
                </c:pt>
                <c:pt idx="397">
                  <c:v>6.2453099999999999</c:v>
                </c:pt>
                <c:pt idx="398">
                  <c:v>6.1328699999999996</c:v>
                </c:pt>
                <c:pt idx="399">
                  <c:v>5.7547600000000001</c:v>
                </c:pt>
              </c:numCache>
            </c:numRef>
          </c:yVal>
          <c:smooth val="1"/>
          <c:extLst>
            <c:ext xmlns:c16="http://schemas.microsoft.com/office/drawing/2014/chart" uri="{C3380CC4-5D6E-409C-BE32-E72D297353CC}">
              <c16:uniqueId val="{00000001-2A10-41EA-A3AE-967165122F16}"/>
            </c:ext>
          </c:extLst>
        </c:ser>
        <c:dLbls>
          <c:showLegendKey val="0"/>
          <c:showVal val="0"/>
          <c:showCatName val="0"/>
          <c:showSerName val="0"/>
          <c:showPercent val="0"/>
          <c:showBubbleSize val="0"/>
        </c:dLbls>
        <c:axId val="176934912"/>
        <c:axId val="176937216"/>
      </c:scatterChart>
      <c:scatterChart>
        <c:scatterStyle val="lineMarker"/>
        <c:varyColors val="0"/>
        <c:ser>
          <c:idx val="3"/>
          <c:order val="1"/>
          <c:tx>
            <c:v>Theoretical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Calculations'!$BD$9:$BD$676</c:f>
              <c:numCache>
                <c:formatCode>General</c:formatCode>
                <c:ptCount val="668"/>
                <c:pt idx="0">
                  <c:v>-220.76131638208642</c:v>
                </c:pt>
                <c:pt idx="1">
                  <c:v>-239.85798931652371</c:v>
                </c:pt>
                <c:pt idx="2">
                  <c:v>-248.80432996437744</c:v>
                </c:pt>
                <c:pt idx="3">
                  <c:v>-253.7456563863467</c:v>
                </c:pt>
                <c:pt idx="4">
                  <c:v>-256.83084361631194</c:v>
                </c:pt>
                <c:pt idx="5">
                  <c:v>-258.92536774808519</c:v>
                </c:pt>
                <c:pt idx="6">
                  <c:v>-260.43386156351346</c:v>
                </c:pt>
                <c:pt idx="7">
                  <c:v>-261.56847356447076</c:v>
                </c:pt>
                <c:pt idx="8">
                  <c:v>-262.45051173173005</c:v>
                </c:pt>
                <c:pt idx="9">
                  <c:v>-263.15414748858024</c:v>
                </c:pt>
                <c:pt idx="10">
                  <c:v>-266.21503530832587</c:v>
                </c:pt>
                <c:pt idx="11">
                  <c:v>-267.08532751882063</c:v>
                </c:pt>
                <c:pt idx="12">
                  <c:v>-267.40415417479085</c:v>
                </c:pt>
                <c:pt idx="13">
                  <c:v>-267.50202149322399</c:v>
                </c:pt>
                <c:pt idx="14">
                  <c:v>-267.489338231381</c:v>
                </c:pt>
                <c:pt idx="15">
                  <c:v>-267.41346793676718</c:v>
                </c:pt>
                <c:pt idx="16">
                  <c:v>-267.29810533770058</c:v>
                </c:pt>
                <c:pt idx="17">
                  <c:v>-267.15641917177402</c:v>
                </c:pt>
                <c:pt idx="18">
                  <c:v>-266.99631318724448</c:v>
                </c:pt>
                <c:pt idx="19">
                  <c:v>-264.99123617962289</c:v>
                </c:pt>
                <c:pt idx="20">
                  <c:v>-262.76970997054275</c:v>
                </c:pt>
                <c:pt idx="21">
                  <c:v>-260.50015789692395</c:v>
                </c:pt>
                <c:pt idx="22">
                  <c:v>-258.21814605878842</c:v>
                </c:pt>
                <c:pt idx="23">
                  <c:v>-255.9370388859104</c:v>
                </c:pt>
                <c:pt idx="24">
                  <c:v>-253.66379676976038</c:v>
                </c:pt>
                <c:pt idx="25">
                  <c:v>-251.40291641303116</c:v>
                </c:pt>
                <c:pt idx="26">
                  <c:v>-249.1577373748683</c:v>
                </c:pt>
                <c:pt idx="27">
                  <c:v>-246.93095965835829</c:v>
                </c:pt>
                <c:pt idx="28">
                  <c:v>-236.14412730784392</c:v>
                </c:pt>
                <c:pt idx="29">
                  <c:v>-226.06532324115295</c:v>
                </c:pt>
                <c:pt idx="30">
                  <c:v>-216.79607242440255</c:v>
                </c:pt>
                <c:pt idx="31">
                  <c:v>-208.366441488443</c:v>
                </c:pt>
                <c:pt idx="32">
                  <c:v>-200.75769925219331</c:v>
                </c:pt>
                <c:pt idx="33">
                  <c:v>-193.92173040867274</c:v>
                </c:pt>
                <c:pt idx="34">
                  <c:v>-187.79561003880474</c:v>
                </c:pt>
                <c:pt idx="35">
                  <c:v>-182.31131584887075</c:v>
                </c:pt>
                <c:pt idx="36">
                  <c:v>-177.40159244124399</c:v>
                </c:pt>
                <c:pt idx="37">
                  <c:v>-173.00315075602506</c:v>
                </c:pt>
                <c:pt idx="38">
                  <c:v>-169.0581715176867</c:v>
                </c:pt>
                <c:pt idx="39">
                  <c:v>-165.51479529311709</c:v>
                </c:pt>
                <c:pt idx="40">
                  <c:v>-162.32704269544556</c:v>
                </c:pt>
                <c:pt idx="41">
                  <c:v>-159.45443878596055</c:v>
                </c:pt>
                <c:pt idx="42">
                  <c:v>-156.86150475448835</c:v>
                </c:pt>
                <c:pt idx="43">
                  <c:v>-154.51721042252842</c:v>
                </c:pt>
                <c:pt idx="44">
                  <c:v>-152.3944387328809</c:v>
                </c:pt>
                <c:pt idx="45">
                  <c:v>-150.46948811328267</c:v>
                </c:pt>
                <c:pt idx="46">
                  <c:v>-148.72162386287033</c:v>
                </c:pt>
                <c:pt idx="47">
                  <c:v>-147.13268137084086</c:v>
                </c:pt>
                <c:pt idx="48">
                  <c:v>-145.6867194759715</c:v>
                </c:pt>
                <c:pt idx="49">
                  <c:v>-144.36972004526612</c:v>
                </c:pt>
                <c:pt idx="50">
                  <c:v>-143.16932893577902</c:v>
                </c:pt>
                <c:pt idx="51">
                  <c:v>-142.07463332920349</c:v>
                </c:pt>
                <c:pt idx="52">
                  <c:v>-141.07597064902677</c:v>
                </c:pt>
                <c:pt idx="53">
                  <c:v>-140.16476468120317</c:v>
                </c:pt>
                <c:pt idx="54">
                  <c:v>-139.33338500364127</c:v>
                </c:pt>
                <c:pt idx="55">
                  <c:v>-138.57502632158989</c:v>
                </c:pt>
                <c:pt idx="56">
                  <c:v>-137.88360477065132</c:v>
                </c:pt>
                <c:pt idx="57">
                  <c:v>-137.25366867041822</c:v>
                </c:pt>
                <c:pt idx="58">
                  <c:v>-136.68032158396935</c:v>
                </c:pt>
                <c:pt idx="59">
                  <c:v>-136.15915586186688</c:v>
                </c:pt>
                <c:pt idx="60">
                  <c:v>-135.68619512710274</c:v>
                </c:pt>
                <c:pt idx="61">
                  <c:v>-135.25784439423055</c:v>
                </c:pt>
                <c:pt idx="62">
                  <c:v>-134.8708467166968</c:v>
                </c:pt>
                <c:pt idx="63">
                  <c:v>-134.52224542604097</c:v>
                </c:pt>
                <c:pt idx="64">
                  <c:v>-134.20935116968477</c:v>
                </c:pt>
                <c:pt idx="65">
                  <c:v>-133.92971307451131</c:v>
                </c:pt>
                <c:pt idx="66">
                  <c:v>-133.68109346486142</c:v>
                </c:pt>
                <c:pt idx="67">
                  <c:v>-133.46144564897057</c:v>
                </c:pt>
                <c:pt idx="68">
                  <c:v>-133.26889435981462</c:v>
                </c:pt>
                <c:pt idx="69">
                  <c:v>-133.10171849699611</c:v>
                </c:pt>
                <c:pt idx="70">
                  <c:v>-132.95833586751584</c:v>
                </c:pt>
                <c:pt idx="71">
                  <c:v>-132.83728966656864</c:v>
                </c:pt>
                <c:pt idx="72">
                  <c:v>-132.73723647615751</c:v>
                </c:pt>
                <c:pt idx="73">
                  <c:v>-132.65693559040574</c:v>
                </c:pt>
                <c:pt idx="74">
                  <c:v>-132.59523950285586</c:v>
                </c:pt>
                <c:pt idx="75">
                  <c:v>-132.55108541351925</c:v>
                </c:pt>
                <c:pt idx="76">
                  <c:v>-132.52348763260417</c:v>
                </c:pt>
                <c:pt idx="77">
                  <c:v>-132.51153077422089</c:v>
                </c:pt>
                <c:pt idx="78">
                  <c:v>-132.5143636473739</c:v>
                </c:pt>
                <c:pt idx="79">
                  <c:v>-132.53119376356705</c:v>
                </c:pt>
                <c:pt idx="80">
                  <c:v>-132.56128239066936</c:v>
                </c:pt>
                <c:pt idx="81">
                  <c:v>-132.60394009157795</c:v>
                </c:pt>
                <c:pt idx="82">
                  <c:v>-132.65852269387565</c:v>
                </c:pt>
                <c:pt idx="83">
                  <c:v>-132.72442764330586</c:v>
                </c:pt>
                <c:pt idx="84">
                  <c:v>-132.8010906996189</c:v>
                </c:pt>
                <c:pt idx="85">
                  <c:v>-132.88798293831599</c:v>
                </c:pt>
                <c:pt idx="86">
                  <c:v>-132.98460802613752</c:v>
                </c:pt>
                <c:pt idx="87">
                  <c:v>-133.09049974190305</c:v>
                </c:pt>
                <c:pt idx="88">
                  <c:v>-133.20521971758819</c:v>
                </c:pt>
                <c:pt idx="89">
                  <c:v>-133.32835537738876</c:v>
                </c:pt>
                <c:pt idx="90">
                  <c:v>-133.4595180550275</c:v>
                </c:pt>
                <c:pt idx="91">
                  <c:v>-133.59834127175625</c:v>
                </c:pt>
                <c:pt idx="92">
                  <c:v>-133.74447915943318</c:v>
                </c:pt>
                <c:pt idx="93">
                  <c:v>-133.89760501475132</c:v>
                </c:pt>
                <c:pt idx="94">
                  <c:v>-134.05740997218726</c:v>
                </c:pt>
                <c:pt idx="95">
                  <c:v>-134.22360178455637</c:v>
                </c:pt>
                <c:pt idx="96">
                  <c:v>-134.39590370122397</c:v>
                </c:pt>
                <c:pt idx="97">
                  <c:v>-134.57405343505204</c:v>
                </c:pt>
                <c:pt idx="98">
                  <c:v>-134.75780221007298</c:v>
                </c:pt>
                <c:pt idx="99">
                  <c:v>-134.94691388269155</c:v>
                </c:pt>
                <c:pt idx="100">
                  <c:v>-135.14116412993496</c:v>
                </c:pt>
                <c:pt idx="101">
                  <c:v>-135.34033969891195</c:v>
                </c:pt>
                <c:pt idx="102">
                  <c:v>-135.54423771221107</c:v>
                </c:pt>
                <c:pt idx="103">
                  <c:v>-135.75266502447826</c:v>
                </c:pt>
                <c:pt idx="104">
                  <c:v>-135.96543762586737</c:v>
                </c:pt>
                <c:pt idx="105">
                  <c:v>-136.18238008846464</c:v>
                </c:pt>
                <c:pt idx="106">
                  <c:v>-136.4033250521525</c:v>
                </c:pt>
                <c:pt idx="107">
                  <c:v>-136.62811274670375</c:v>
                </c:pt>
                <c:pt idx="108">
                  <c:v>-136.85659054719176</c:v>
                </c:pt>
                <c:pt idx="109">
                  <c:v>-137.0886125600648</c:v>
                </c:pt>
                <c:pt idx="110">
                  <c:v>-137.32403923747063</c:v>
                </c:pt>
                <c:pt idx="111">
                  <c:v>-137.56273701763095</c:v>
                </c:pt>
                <c:pt idx="112">
                  <c:v>-137.80457798925769</c:v>
                </c:pt>
                <c:pt idx="113">
                  <c:v>-138.04943957817846</c:v>
                </c:pt>
                <c:pt idx="114">
                  <c:v>-138.29720425449409</c:v>
                </c:pt>
                <c:pt idx="115">
                  <c:v>-138.54775925873531</c:v>
                </c:pt>
                <c:pt idx="116">
                  <c:v>-138.80099634561367</c:v>
                </c:pt>
                <c:pt idx="117">
                  <c:v>-139.05681154407836</c:v>
                </c:pt>
                <c:pt idx="118">
                  <c:v>-139.3151049324982</c:v>
                </c:pt>
                <c:pt idx="119">
                  <c:v>-139.57578042788333</c:v>
                </c:pt>
                <c:pt idx="120">
                  <c:v>-139.83874558814864</c:v>
                </c:pt>
                <c:pt idx="121">
                  <c:v>-140.10391142650224</c:v>
                </c:pt>
                <c:pt idx="122">
                  <c:v>-140.37119223711358</c:v>
                </c:pt>
                <c:pt idx="123">
                  <c:v>-140.64050543128269</c:v>
                </c:pt>
                <c:pt idx="124">
                  <c:v>-140.91177138339285</c:v>
                </c:pt>
                <c:pt idx="125">
                  <c:v>-141.18491328598387</c:v>
                </c:pt>
                <c:pt idx="126">
                  <c:v>-141.45985701333376</c:v>
                </c:pt>
                <c:pt idx="127">
                  <c:v>-141.73653099298343</c:v>
                </c:pt>
                <c:pt idx="128">
                  <c:v>-142.01486608468048</c:v>
                </c:pt>
                <c:pt idx="129">
                  <c:v>-142.29479546625774</c:v>
                </c:pt>
                <c:pt idx="130">
                  <c:v>-142.57625452599774</c:v>
                </c:pt>
                <c:pt idx="131">
                  <c:v>-142.85918076106674</c:v>
                </c:pt>
                <c:pt idx="132">
                  <c:v>-143.14351368163219</c:v>
                </c:pt>
                <c:pt idx="133">
                  <c:v>-143.42919472030496</c:v>
                </c:pt>
                <c:pt idx="134">
                  <c:v>-143.71616714657355</c:v>
                </c:pt>
                <c:pt idx="135">
                  <c:v>-144.00437598592052</c:v>
                </c:pt>
                <c:pt idx="136">
                  <c:v>-144.29376794333268</c:v>
                </c:pt>
                <c:pt idx="137">
                  <c:v>-144.58429133093733</c:v>
                </c:pt>
                <c:pt idx="138">
                  <c:v>-144.87589599951465</c:v>
                </c:pt>
                <c:pt idx="139">
                  <c:v>-145.16853327365305</c:v>
                </c:pt>
                <c:pt idx="140">
                  <c:v>-145.46215589033056</c:v>
                </c:pt>
                <c:pt idx="141">
                  <c:v>-145.75671794071945</c:v>
                </c:pt>
                <c:pt idx="142">
                  <c:v>-146.05217481502513</c:v>
                </c:pt>
                <c:pt idx="143">
                  <c:v>-146.34848315018166</c:v>
                </c:pt>
                <c:pt idx="144">
                  <c:v>-146.64560078023953</c:v>
                </c:pt>
                <c:pt idx="145">
                  <c:v>-146.94348668928995</c:v>
                </c:pt>
                <c:pt idx="146">
                  <c:v>-147.242100966782</c:v>
                </c:pt>
                <c:pt idx="147">
                  <c:v>-147.54140476509582</c:v>
                </c:pt>
                <c:pt idx="148">
                  <c:v>-147.84136025924573</c:v>
                </c:pt>
                <c:pt idx="149">
                  <c:v>-148.14193060859367</c:v>
                </c:pt>
                <c:pt idx="150">
                  <c:v>-148.44307992046109</c:v>
                </c:pt>
                <c:pt idx="151">
                  <c:v>-148.74477321553496</c:v>
                </c:pt>
                <c:pt idx="152">
                  <c:v>-149.04697639496837</c:v>
                </c:pt>
                <c:pt idx="153">
                  <c:v>-149.34965620908463</c:v>
                </c:pt>
                <c:pt idx="154">
                  <c:v>-149.652780227596</c:v>
                </c:pt>
                <c:pt idx="155">
                  <c:v>-149.95631681125721</c:v>
                </c:pt>
                <c:pt idx="156">
                  <c:v>-150.26023508487509</c:v>
                </c:pt>
                <c:pt idx="157">
                  <c:v>-150.56450491160308</c:v>
                </c:pt>
                <c:pt idx="158">
                  <c:v>-150.86909686845112</c:v>
                </c:pt>
                <c:pt idx="159">
                  <c:v>-151.17398222294813</c:v>
                </c:pt>
                <c:pt idx="160">
                  <c:v>-151.479132910895</c:v>
                </c:pt>
                <c:pt idx="161">
                  <c:v>-151.78452151515177</c:v>
                </c:pt>
                <c:pt idx="162">
                  <c:v>-152.09012124540462</c:v>
                </c:pt>
                <c:pt idx="163">
                  <c:v>-152.39590591886204</c:v>
                </c:pt>
                <c:pt idx="164">
                  <c:v>-152.70184994183208</c:v>
                </c:pt>
                <c:pt idx="165">
                  <c:v>-153.00792829213489</c:v>
                </c:pt>
                <c:pt idx="166">
                  <c:v>-153.31411650230785</c:v>
                </c:pt>
                <c:pt idx="167">
                  <c:v>-153.62039064356307</c:v>
                </c:pt>
                <c:pt idx="168">
                  <c:v>-153.92672731045829</c:v>
                </c:pt>
                <c:pt idx="169">
                  <c:v>-154.23310360624495</c:v>
                </c:pt>
                <c:pt idx="170">
                  <c:v>-154.53949712885961</c:v>
                </c:pt>
                <c:pt idx="171">
                  <c:v>-154.84588595752552</c:v>
                </c:pt>
                <c:pt idx="172">
                  <c:v>-155.15224863993404</c:v>
                </c:pt>
                <c:pt idx="173">
                  <c:v>-155.45856417997629</c:v>
                </c:pt>
                <c:pt idx="174">
                  <c:v>-155.76481202599746</c:v>
                </c:pt>
                <c:pt idx="175">
                  <c:v>-156.07097205954835</c:v>
                </c:pt>
                <c:pt idx="176">
                  <c:v>-156.37702458460785</c:v>
                </c:pt>
                <c:pt idx="177">
                  <c:v>-156.68295031725393</c:v>
                </c:pt>
                <c:pt idx="178">
                  <c:v>-156.98873037576035</c:v>
                </c:pt>
                <c:pt idx="179">
                  <c:v>-157.29434627109805</c:v>
                </c:pt>
                <c:pt idx="180">
                  <c:v>-157.59977989782078</c:v>
                </c:pt>
                <c:pt idx="181">
                  <c:v>-157.90501352531601</c:v>
                </c:pt>
                <c:pt idx="182">
                  <c:v>-158.21002978940322</c:v>
                </c:pt>
                <c:pt idx="183">
                  <c:v>-158.51481168426199</c:v>
                </c:pt>
                <c:pt idx="184">
                  <c:v>-158.81934255467345</c:v>
                </c:pt>
                <c:pt idx="185">
                  <c:v>-159.12360608856005</c:v>
                </c:pt>
                <c:pt idx="186">
                  <c:v>-159.42758630980839</c:v>
                </c:pt>
                <c:pt idx="187">
                  <c:v>-159.73126757136109</c:v>
                </c:pt>
                <c:pt idx="188">
                  <c:v>-160.03463454856484</c:v>
                </c:pt>
                <c:pt idx="189">
                  <c:v>-160.33767223276101</c:v>
                </c:pt>
                <c:pt idx="190">
                  <c:v>-160.64036592510823</c:v>
                </c:pt>
                <c:pt idx="191">
                  <c:v>-160.94270123062375</c:v>
                </c:pt>
                <c:pt idx="192">
                  <c:v>-161.2446640524339</c:v>
                </c:pt>
                <c:pt idx="193">
                  <c:v>-161.54624058622309</c:v>
                </c:pt>
                <c:pt idx="194">
                  <c:v>-161.84741731487082</c:v>
                </c:pt>
                <c:pt idx="195">
                  <c:v>-162.14818100326877</c:v>
                </c:pt>
                <c:pt idx="196">
                  <c:v>-162.44851869330694</c:v>
                </c:pt>
                <c:pt idx="197">
                  <c:v>-162.74841769902272</c:v>
                </c:pt>
                <c:pt idx="198">
                  <c:v>-163.04786560190294</c:v>
                </c:pt>
                <c:pt idx="199">
                  <c:v>-163.34685024633265</c:v>
                </c:pt>
                <c:pt idx="200">
                  <c:v>-163.64535973518198</c:v>
                </c:pt>
                <c:pt idx="201">
                  <c:v>-163.94338242552573</c:v>
                </c:pt>
                <c:pt idx="202">
                  <c:v>-164.24090692448789</c:v>
                </c:pt>
                <c:pt idx="203">
                  <c:v>-164.53792208520517</c:v>
                </c:pt>
                <c:pt idx="204">
                  <c:v>-164.83441700290402</c:v>
                </c:pt>
                <c:pt idx="205">
                  <c:v>-165.13038101108506</c:v>
                </c:pt>
                <c:pt idx="206">
                  <c:v>-165.42580367780974</c:v>
                </c:pt>
                <c:pt idx="207">
                  <c:v>-165.72067480208383</c:v>
                </c:pt>
                <c:pt idx="208">
                  <c:v>-166.01498441033397</c:v>
                </c:pt>
                <c:pt idx="209">
                  <c:v>-166.30872275297068</c:v>
                </c:pt>
                <c:pt idx="210">
                  <c:v>-166.60188030103623</c:v>
                </c:pt>
                <c:pt idx="211">
                  <c:v>-166.89444774293031</c:v>
                </c:pt>
                <c:pt idx="212">
                  <c:v>-167.18641598121192</c:v>
                </c:pt>
                <c:pt idx="213">
                  <c:v>-167.47777612947272</c:v>
                </c:pt>
                <c:pt idx="214">
                  <c:v>-167.76851950927801</c:v>
                </c:pt>
                <c:pt idx="215">
                  <c:v>-168.05863764717307</c:v>
                </c:pt>
                <c:pt idx="216">
                  <c:v>-168.34812227175055</c:v>
                </c:pt>
                <c:pt idx="217">
                  <c:v>-168.63696531077682</c:v>
                </c:pt>
                <c:pt idx="218">
                  <c:v>-168.92515888837391</c:v>
                </c:pt>
                <c:pt idx="219">
                  <c:v>-169.21269532225455</c:v>
                </c:pt>
                <c:pt idx="220">
                  <c:v>-169.4995671210078</c:v>
                </c:pt>
                <c:pt idx="221">
                  <c:v>-169.78576698143263</c:v>
                </c:pt>
                <c:pt idx="222">
                  <c:v>-170.0712877859178</c:v>
                </c:pt>
                <c:pt idx="223">
                  <c:v>-170.35612259986485</c:v>
                </c:pt>
                <c:pt idx="224">
                  <c:v>-170.64026466915357</c:v>
                </c:pt>
                <c:pt idx="225">
                  <c:v>-170.92370741764663</c:v>
                </c:pt>
                <c:pt idx="226">
                  <c:v>-173.71834795120293</c:v>
                </c:pt>
                <c:pt idx="227">
                  <c:v>-176.43705377343392</c:v>
                </c:pt>
                <c:pt idx="228">
                  <c:v>-179.07582920274447</c:v>
                </c:pt>
                <c:pt idx="229">
                  <c:v>-181.63198596882171</c:v>
                </c:pt>
                <c:pt idx="230">
                  <c:v>-184.10395923992368</c:v>
                </c:pt>
                <c:pt idx="231">
                  <c:v>-186.49113923403326</c:v>
                </c:pt>
                <c:pt idx="232">
                  <c:v>-188.79371741543412</c:v>
                </c:pt>
                <c:pt idx="233">
                  <c:v>-191.01254707468246</c:v>
                </c:pt>
                <c:pt idx="234">
                  <c:v>-193.14901828593037</c:v>
                </c:pt>
                <c:pt idx="235">
                  <c:v>-195.20494711772625</c:v>
                </c:pt>
                <c:pt idx="236">
                  <c:v>-197.18247872538211</c:v>
                </c:pt>
                <c:pt idx="237">
                  <c:v>-199.08400368478939</c:v>
                </c:pt>
                <c:pt idx="238">
                  <c:v>-200.91208669827262</c:v>
                </c:pt>
                <c:pt idx="239">
                  <c:v>-202.66940663820156</c:v>
                </c:pt>
                <c:pt idx="240">
                  <c:v>-204.35870679846767</c:v>
                </c:pt>
                <c:pt idx="241">
                  <c:v>-205.98275419094608</c:v>
                </c:pt>
                <c:pt idx="242">
                  <c:v>-207.54430674180335</c:v>
                </c:pt>
                <c:pt idx="243">
                  <c:v>-209.04608729768933</c:v>
                </c:pt>
                <c:pt idx="244">
                  <c:v>-210.49076343199857</c:v>
                </c:pt>
                <c:pt idx="245">
                  <c:v>-211.88093213593388</c:v>
                </c:pt>
                <c:pt idx="246">
                  <c:v>-213.21910857973498</c:v>
                </c:pt>
                <c:pt idx="247">
                  <c:v>-214.50771823001881</c:v>
                </c:pt>
                <c:pt idx="248">
                  <c:v>-215.74909170549546</c:v>
                </c:pt>
                <c:pt idx="249">
                  <c:v>-216.94546184271741</c:v>
                </c:pt>
                <c:pt idx="250">
                  <c:v>-218.09896252451941</c:v>
                </c:pt>
                <c:pt idx="251">
                  <c:v>-219.21162889583397</c:v>
                </c:pt>
                <c:pt idx="252">
                  <c:v>-220.28539865463307</c:v>
                </c:pt>
                <c:pt idx="253">
                  <c:v>-221.32211416027843</c:v>
                </c:pt>
                <c:pt idx="254">
                  <c:v>-222.32352514820434</c:v>
                </c:pt>
                <c:pt idx="255">
                  <c:v>-223.29129187939532</c:v>
                </c:pt>
                <c:pt idx="256">
                  <c:v>-224.22698858635792</c:v>
                </c:pt>
                <c:pt idx="257">
                  <c:v>-225.13210710504035</c:v>
                </c:pt>
                <c:pt idx="258">
                  <c:v>-226.00806060516575</c:v>
                </c:pt>
                <c:pt idx="259">
                  <c:v>-226.85618735042343</c:v>
                </c:pt>
                <c:pt idx="260">
                  <c:v>-227.67775443551244</c:v>
                </c:pt>
                <c:pt idx="261">
                  <c:v>-228.47396145971061</c:v>
                </c:pt>
                <c:pt idx="262">
                  <c:v>-229.24594410691392</c:v>
                </c:pt>
                <c:pt idx="263">
                  <c:v>-229.99477761036806</c:v>
                </c:pt>
                <c:pt idx="264">
                  <c:v>-230.72148008693858</c:v>
                </c:pt>
                <c:pt idx="265">
                  <c:v>-231.42701573103164</c:v>
                </c:pt>
                <c:pt idx="266">
                  <c:v>-232.11229786243069</c:v>
                </c:pt>
                <c:pt idx="267">
                  <c:v>-232.77819182555555</c:v>
                </c:pt>
                <c:pt idx="268">
                  <c:v>-233.42551774015692</c:v>
                </c:pt>
                <c:pt idx="269">
                  <c:v>-234.05505310536495</c:v>
                </c:pt>
                <c:pt idx="270">
                  <c:v>-234.66753526043516</c:v>
                </c:pt>
                <c:pt idx="271">
                  <c:v>-235.26366370657627</c:v>
                </c:pt>
                <c:pt idx="272">
                  <c:v>-235.8441022949728</c:v>
                </c:pt>
                <c:pt idx="273">
                  <c:v>-236.40948128660477</c:v>
                </c:pt>
                <c:pt idx="274">
                  <c:v>-236.96039928976239</c:v>
                </c:pt>
                <c:pt idx="275">
                  <c:v>-237.4974250812968</c:v>
                </c:pt>
                <c:pt idx="276">
                  <c:v>-238.0210993176814</c:v>
                </c:pt>
                <c:pt idx="277">
                  <c:v>-238.5319361418974</c:v>
                </c:pt>
                <c:pt idx="278">
                  <c:v>-239.0304246920349</c:v>
                </c:pt>
                <c:pt idx="279">
                  <c:v>-239.51703051732827</c:v>
                </c:pt>
                <c:pt idx="280">
                  <c:v>-239.99219690713704</c:v>
                </c:pt>
                <c:pt idx="281">
                  <c:v>-240.4563461381556</c:v>
                </c:pt>
                <c:pt idx="282">
                  <c:v>-240.90988064488954</c:v>
                </c:pt>
                <c:pt idx="283">
                  <c:v>-241.35318411818554</c:v>
                </c:pt>
                <c:pt idx="284">
                  <c:v>-241.78662253634812</c:v>
                </c:pt>
                <c:pt idx="285">
                  <c:v>-242.21054513312413</c:v>
                </c:pt>
                <c:pt idx="286">
                  <c:v>-242.62528530658847</c:v>
                </c:pt>
                <c:pt idx="287">
                  <c:v>-243.03116147272513</c:v>
                </c:pt>
                <c:pt idx="288">
                  <c:v>-243.42847786726452</c:v>
                </c:pt>
                <c:pt idx="289">
                  <c:v>-243.81752529911677</c:v>
                </c:pt>
                <c:pt idx="290">
                  <c:v>-244.19858185852951</c:v>
                </c:pt>
                <c:pt idx="291">
                  <c:v>-244.57191358289538</c:v>
                </c:pt>
                <c:pt idx="292">
                  <c:v>-244.93777508294659</c:v>
                </c:pt>
                <c:pt idx="293">
                  <c:v>-245.29641013189246</c:v>
                </c:pt>
                <c:pt idx="294">
                  <c:v>-245.64805221988769</c:v>
                </c:pt>
                <c:pt idx="295">
                  <c:v>-245.99292507606052</c:v>
                </c:pt>
                <c:pt idx="296">
                  <c:v>-246.3312431601795</c:v>
                </c:pt>
                <c:pt idx="297">
                  <c:v>-246.66321212590077</c:v>
                </c:pt>
                <c:pt idx="298">
                  <c:v>-246.98902925740495</c:v>
                </c:pt>
                <c:pt idx="299">
                  <c:v>-247.30888388111239</c:v>
                </c:pt>
                <c:pt idx="300">
                  <c:v>-247.62295775405175</c:v>
                </c:pt>
                <c:pt idx="301">
                  <c:v>-247.93142543035032</c:v>
                </c:pt>
                <c:pt idx="302">
                  <c:v>-248.23445460721632</c:v>
                </c:pt>
                <c:pt idx="303">
                  <c:v>-248.53220645169174</c:v>
                </c:pt>
                <c:pt idx="304">
                  <c:v>-248.82483590936715</c:v>
                </c:pt>
                <c:pt idx="305">
                  <c:v>-249.11249199617203</c:v>
                </c:pt>
                <c:pt idx="306">
                  <c:v>-249.39531807427858</c:v>
                </c:pt>
                <c:pt idx="307">
                  <c:v>-249.67345211308879</c:v>
                </c:pt>
                <c:pt idx="308">
                  <c:v>-249.9470269362094</c:v>
                </c:pt>
                <c:pt idx="309">
                  <c:v>-250.21617045526057</c:v>
                </c:pt>
                <c:pt idx="310">
                  <c:v>-250.48100589130786</c:v>
                </c:pt>
                <c:pt idx="311">
                  <c:v>-250.74165198465528</c:v>
                </c:pt>
                <c:pt idx="312">
                  <c:v>-250.9982231936894</c:v>
                </c:pt>
                <c:pt idx="313">
                  <c:v>-251.25082988341978</c:v>
                </c:pt>
                <c:pt idx="314">
                  <c:v>-251.49957850431835</c:v>
                </c:pt>
                <c:pt idx="315">
                  <c:v>-251.74457176202267</c:v>
                </c:pt>
                <c:pt idx="316">
                  <c:v>-251.98590877843168</c:v>
                </c:pt>
                <c:pt idx="317">
                  <c:v>-252.22368524468754</c:v>
                </c:pt>
                <c:pt idx="318">
                  <c:v>-252.45799356650804</c:v>
                </c:pt>
                <c:pt idx="319">
                  <c:v>-252.68892300230249</c:v>
                </c:pt>
                <c:pt idx="320">
                  <c:v>-252.9165597944791</c:v>
                </c:pt>
                <c:pt idx="321">
                  <c:v>-253.14098729432405</c:v>
                </c:pt>
                <c:pt idx="322">
                  <c:v>-253.36228608081115</c:v>
                </c:pt>
                <c:pt idx="323">
                  <c:v>-253.58053407367674</c:v>
                </c:pt>
                <c:pt idx="324">
                  <c:v>-253.79580664107567</c:v>
                </c:pt>
                <c:pt idx="325">
                  <c:v>-254.00817670211381</c:v>
                </c:pt>
                <c:pt idx="326">
                  <c:v>-254.21771482453539</c:v>
                </c:pt>
                <c:pt idx="327">
                  <c:v>-254.42448931782536</c:v>
                </c:pt>
                <c:pt idx="328">
                  <c:v>-254.62856632197349</c:v>
                </c:pt>
                <c:pt idx="329">
                  <c:v>-254.83000989213016</c:v>
                </c:pt>
                <c:pt idx="330">
                  <c:v>-255.02888207937104</c:v>
                </c:pt>
                <c:pt idx="331">
                  <c:v>-255.22524300777565</c:v>
                </c:pt>
                <c:pt idx="332">
                  <c:v>-255.41915094801101</c:v>
                </c:pt>
                <c:pt idx="333">
                  <c:v>-255.61066238760276</c:v>
                </c:pt>
                <c:pt idx="334">
                  <c:v>-255.79983209806358</c:v>
                </c:pt>
                <c:pt idx="335">
                  <c:v>-255.98671319903997</c:v>
                </c:pt>
                <c:pt idx="336">
                  <c:v>-256.17135721962927</c:v>
                </c:pt>
                <c:pt idx="337">
                  <c:v>-256.35381415700925</c:v>
                </c:pt>
                <c:pt idx="338">
                  <c:v>-256.5341325325162</c:v>
                </c:pt>
                <c:pt idx="339">
                  <c:v>-256.71235944529775</c:v>
                </c:pt>
                <c:pt idx="340">
                  <c:v>-256.88854062366136</c:v>
                </c:pt>
                <c:pt idx="341">
                  <c:v>-257.06272047423198</c:v>
                </c:pt>
                <c:pt idx="342">
                  <c:v>-257.23494212902551</c:v>
                </c:pt>
                <c:pt idx="343">
                  <c:v>-257.40524749054003</c:v>
                </c:pt>
                <c:pt idx="344">
                  <c:v>-257.57367727496097</c:v>
                </c:pt>
                <c:pt idx="345">
                  <c:v>-257.74027105356936</c:v>
                </c:pt>
                <c:pt idx="346">
                  <c:v>-257.90506729244066</c:v>
                </c:pt>
                <c:pt idx="347">
                  <c:v>-258.06810339051452</c:v>
                </c:pt>
                <c:pt idx="348">
                  <c:v>-258.22941571611165</c:v>
                </c:pt>
                <c:pt idx="349">
                  <c:v>-258.38903964197209</c:v>
                </c:pt>
                <c:pt idx="350">
                  <c:v>-258.54700957888235</c:v>
                </c:pt>
                <c:pt idx="351">
                  <c:v>-258.70335900795737</c:v>
                </c:pt>
                <c:pt idx="352">
                  <c:v>-258.85812051163936</c:v>
                </c:pt>
                <c:pt idx="353">
                  <c:v>-259.01132580347166</c:v>
                </c:pt>
                <c:pt idx="354">
                  <c:v>-259.16300575670397</c:v>
                </c:pt>
                <c:pt idx="355">
                  <c:v>-259.31319043178092</c:v>
                </c:pt>
                <c:pt idx="356">
                  <c:v>-259.46190910276545</c:v>
                </c:pt>
                <c:pt idx="357">
                  <c:v>-259.60919028274276</c:v>
                </c:pt>
                <c:pt idx="358">
                  <c:v>-259.75506174825182</c:v>
                </c:pt>
                <c:pt idx="359">
                  <c:v>-259.89955056278632</c:v>
                </c:pt>
                <c:pt idx="360">
                  <c:v>-260.04268309940625</c:v>
                </c:pt>
                <c:pt idx="361">
                  <c:v>-260.18448506249854</c:v>
                </c:pt>
                <c:pt idx="362">
                  <c:v>-260.32498150872442</c:v>
                </c:pt>
                <c:pt idx="363">
                  <c:v>-260.4641968671877</c:v>
                </c:pt>
                <c:pt idx="364">
                  <c:v>-260.6021549588578</c:v>
                </c:pt>
                <c:pt idx="365">
                  <c:v>-260.73887901527917</c:v>
                </c:pt>
                <c:pt idx="366">
                  <c:v>-260.87439169659763</c:v>
                </c:pt>
                <c:pt idx="367">
                  <c:v>-261.00871510893188</c:v>
                </c:pt>
                <c:pt idx="368">
                  <c:v>-261.14187082111789</c:v>
                </c:pt>
                <c:pt idx="369">
                  <c:v>-261.27387988085241</c:v>
                </c:pt>
                <c:pt idx="370">
                  <c:v>-261.40476283026055</c:v>
                </c:pt>
                <c:pt idx="371">
                  <c:v>-261.53453972091023</c:v>
                </c:pt>
                <c:pt idx="372">
                  <c:v>-261.66323012829793</c:v>
                </c:pt>
                <c:pt idx="373">
                  <c:v>-261.7908531658253</c:v>
                </c:pt>
                <c:pt idx="374">
                  <c:v>-261.9174274982887</c:v>
                </c:pt>
                <c:pt idx="375">
                  <c:v>-262.04297135490083</c:v>
                </c:pt>
                <c:pt idx="376">
                  <c:v>-262.16750254186252</c:v>
                </c:pt>
                <c:pt idx="377">
                  <c:v>-262.29103845450402</c:v>
                </c:pt>
                <c:pt idx="378">
                  <c:v>-262.41359608901143</c:v>
                </c:pt>
                <c:pt idx="379">
                  <c:v>-262.53519205375579</c:v>
                </c:pt>
                <c:pt idx="380">
                  <c:v>-262.6558425802391</c:v>
                </c:pt>
                <c:pt idx="381">
                  <c:v>-262.77556353367396</c:v>
                </c:pt>
                <c:pt idx="382">
                  <c:v>-262.89437042320901</c:v>
                </c:pt>
                <c:pt idx="383">
                  <c:v>-263.01227841181583</c:v>
                </c:pt>
                <c:pt idx="384">
                  <c:v>-263.12930232584847</c:v>
                </c:pt>
                <c:pt idx="385">
                  <c:v>-263.24545666428952</c:v>
                </c:pt>
                <c:pt idx="386">
                  <c:v>-263.3607556076941</c:v>
                </c:pt>
                <c:pt idx="387">
                  <c:v>-263.47521302684271</c:v>
                </c:pt>
                <c:pt idx="388">
                  <c:v>-263.58884249111475</c:v>
                </c:pt>
                <c:pt idx="389">
                  <c:v>-263.70165727659253</c:v>
                </c:pt>
                <c:pt idx="390">
                  <c:v>-263.81367037390589</c:v>
                </c:pt>
                <c:pt idx="391">
                  <c:v>-263.92489449582774</c:v>
                </c:pt>
                <c:pt idx="392">
                  <c:v>-264.03534208462798</c:v>
                </c:pt>
                <c:pt idx="393">
                  <c:v>-264.14502531919698</c:v>
                </c:pt>
                <c:pt idx="394">
                  <c:v>-264.25395612194473</c:v>
                </c:pt>
                <c:pt idx="395">
                  <c:v>-264.3621461654858</c:v>
                </c:pt>
                <c:pt idx="396">
                  <c:v>-264.46960687911604</c:v>
                </c:pt>
                <c:pt idx="397">
                  <c:v>-264.57634945508994</c:v>
                </c:pt>
                <c:pt idx="398">
                  <c:v>-264.68238485470482</c:v>
                </c:pt>
                <c:pt idx="399">
                  <c:v>-264.78772381419969</c:v>
                </c:pt>
                <c:pt idx="400">
                  <c:v>-264.89237685047368</c:v>
                </c:pt>
                <c:pt idx="401">
                  <c:v>-264.99635426663241</c:v>
                </c:pt>
                <c:pt idx="402">
                  <c:v>-265.09966615736698</c:v>
                </c:pt>
                <c:pt idx="403">
                  <c:v>-265.20232241417159</c:v>
                </c:pt>
                <c:pt idx="404">
                  <c:v>-265.30433273040609</c:v>
                </c:pt>
                <c:pt idx="405">
                  <c:v>-265.40570660620767</c:v>
                </c:pt>
                <c:pt idx="406">
                  <c:v>-265.50645335325817</c:v>
                </c:pt>
                <c:pt idx="407">
                  <c:v>-265.60658209941067</c:v>
                </c:pt>
                <c:pt idx="408">
                  <c:v>-265.70610179318135</c:v>
                </c:pt>
                <c:pt idx="409">
                  <c:v>-265.80502120811025</c:v>
                </c:pt>
                <c:pt idx="410">
                  <c:v>-265.90334894699561</c:v>
                </c:pt>
                <c:pt idx="411">
                  <c:v>-266.00109344600651</c:v>
                </c:pt>
                <c:pt idx="412">
                  <c:v>-266.09826297867727</c:v>
                </c:pt>
                <c:pt idx="413">
                  <c:v>-266.19486565978758</c:v>
                </c:pt>
                <c:pt idx="414">
                  <c:v>-266.29090944913258</c:v>
                </c:pt>
                <c:pt idx="415">
                  <c:v>-266.38640215518637</c:v>
                </c:pt>
                <c:pt idx="416">
                  <c:v>-266.48135143866199</c:v>
                </c:pt>
                <c:pt idx="417">
                  <c:v>-266.57576481597164</c:v>
                </c:pt>
                <c:pt idx="418">
                  <c:v>-266.66964966259064</c:v>
                </c:pt>
                <c:pt idx="419">
                  <c:v>-266.76301321632764</c:v>
                </c:pt>
                <c:pt idx="420">
                  <c:v>-266.85586258050438</c:v>
                </c:pt>
                <c:pt idx="421">
                  <c:v>-266.94820472704828</c:v>
                </c:pt>
                <c:pt idx="422">
                  <c:v>-267.04004649949979</c:v>
                </c:pt>
                <c:pt idx="423">
                  <c:v>-267.13139461593778</c:v>
                </c:pt>
                <c:pt idx="424">
                  <c:v>-267.22225567182591</c:v>
                </c:pt>
                <c:pt idx="425">
                  <c:v>-267.31263614278157</c:v>
                </c:pt>
                <c:pt idx="426">
                  <c:v>-267.40254238727033</c:v>
                </c:pt>
                <c:pt idx="427">
                  <c:v>-267.49198064922848</c:v>
                </c:pt>
                <c:pt idx="428">
                  <c:v>-267.58095706061516</c:v>
                </c:pt>
                <c:pt idx="429">
                  <c:v>-267.66947764389698</c:v>
                </c:pt>
                <c:pt idx="430">
                  <c:v>-267.75754831446687</c:v>
                </c:pt>
                <c:pt idx="431">
                  <c:v>-267.845174882999</c:v>
                </c:pt>
                <c:pt idx="432">
                  <c:v>-267.93236305774246</c:v>
                </c:pt>
                <c:pt idx="433">
                  <c:v>-268.01911844675442</c:v>
                </c:pt>
                <c:pt idx="434">
                  <c:v>-268.10544656007556</c:v>
                </c:pt>
                <c:pt idx="435">
                  <c:v>-268.19135281184936</c:v>
                </c:pt>
                <c:pt idx="436">
                  <c:v>-268.27684252238623</c:v>
                </c:pt>
                <c:pt idx="437">
                  <c:v>-268.36192092017524</c:v>
                </c:pt>
                <c:pt idx="438">
                  <c:v>-268.44659314384381</c:v>
                </c:pt>
                <c:pt idx="439">
                  <c:v>-268.53086424406825</c:v>
                </c:pt>
                <c:pt idx="440">
                  <c:v>-268.61473918543527</c:v>
                </c:pt>
                <c:pt idx="441">
                  <c:v>-268.69822284825659</c:v>
                </c:pt>
                <c:pt idx="442">
                  <c:v>-268.78132003033829</c:v>
                </c:pt>
                <c:pt idx="443">
                  <c:v>-268.86403544870547</c:v>
                </c:pt>
                <c:pt idx="444">
                  <c:v>-268.94637374128411</c:v>
                </c:pt>
                <c:pt idx="445">
                  <c:v>-269.02833946854105</c:v>
                </c:pt>
                <c:pt idx="446">
                  <c:v>-269.10993711508371</c:v>
                </c:pt>
                <c:pt idx="447">
                  <c:v>-269.19117109121987</c:v>
                </c:pt>
                <c:pt idx="448">
                  <c:v>-269.27204573447978</c:v>
                </c:pt>
                <c:pt idx="449">
                  <c:v>-269.3525653111007</c:v>
                </c:pt>
                <c:pt idx="450">
                  <c:v>-269.43273401747547</c:v>
                </c:pt>
                <c:pt idx="451">
                  <c:v>-269.51255598156581</c:v>
                </c:pt>
                <c:pt idx="452">
                  <c:v>-269.59203526428206</c:v>
                </c:pt>
                <c:pt idx="453">
                  <c:v>-269.67117586082873</c:v>
                </c:pt>
                <c:pt idx="454">
                  <c:v>-269.74998170201889</c:v>
                </c:pt>
                <c:pt idx="455">
                  <c:v>-269.82845665555664</c:v>
                </c:pt>
                <c:pt idx="456">
                  <c:v>-269.90660452728901</c:v>
                </c:pt>
                <c:pt idx="457">
                  <c:v>-269.98442906242877</c:v>
                </c:pt>
                <c:pt idx="458">
                  <c:v>-270.06193394674784</c:v>
                </c:pt>
                <c:pt idx="459">
                  <c:v>-270.13912280774309</c:v>
                </c:pt>
                <c:pt idx="460">
                  <c:v>-270.2159992157745</c:v>
                </c:pt>
                <c:pt idx="461">
                  <c:v>-270.29256668517723</c:v>
                </c:pt>
                <c:pt idx="462">
                  <c:v>-270.36882867534752</c:v>
                </c:pt>
                <c:pt idx="463">
                  <c:v>-270.44478859180367</c:v>
                </c:pt>
                <c:pt idx="464">
                  <c:v>-270.52044978722233</c:v>
                </c:pt>
                <c:pt idx="465">
                  <c:v>-270.59581556245166</c:v>
                </c:pt>
                <c:pt idx="466">
                  <c:v>-270.67088916750026</c:v>
                </c:pt>
                <c:pt idx="467">
                  <c:v>-270.74567380250477</c:v>
                </c:pt>
                <c:pt idx="468">
                  <c:v>-270.82017261867446</c:v>
                </c:pt>
                <c:pt idx="469">
                  <c:v>-270.89438871921521</c:v>
                </c:pt>
                <c:pt idx="470">
                  <c:v>-270.96832516023244</c:v>
                </c:pt>
                <c:pt idx="471">
                  <c:v>-271.04198495161359</c:v>
                </c:pt>
                <c:pt idx="472">
                  <c:v>-271.11537105789102</c:v>
                </c:pt>
                <c:pt idx="473">
                  <c:v>-271.18848639908606</c:v>
                </c:pt>
                <c:pt idx="474">
                  <c:v>-271.26133385153349</c:v>
                </c:pt>
                <c:pt idx="475">
                  <c:v>-271.33391624868864</c:v>
                </c:pt>
                <c:pt idx="476">
                  <c:v>-271.40623638191619</c:v>
                </c:pt>
                <c:pt idx="477">
                  <c:v>-271.47829700126192</c:v>
                </c:pt>
                <c:pt idx="478">
                  <c:v>-271.55010081620742</c:v>
                </c:pt>
                <c:pt idx="479">
                  <c:v>-271.62165049640839</c:v>
                </c:pt>
                <c:pt idx="480">
                  <c:v>-271.69294867241712</c:v>
                </c:pt>
                <c:pt idx="481">
                  <c:v>-271.76399793638888</c:v>
                </c:pt>
                <c:pt idx="482">
                  <c:v>-271.83480084277369</c:v>
                </c:pt>
                <c:pt idx="483">
                  <c:v>-271.90535990899264</c:v>
                </c:pt>
                <c:pt idx="484">
                  <c:v>-271.97567761610014</c:v>
                </c:pt>
                <c:pt idx="485">
                  <c:v>-272.04575640943193</c:v>
                </c:pt>
                <c:pt idx="486">
                  <c:v>-272.11559869923911</c:v>
                </c:pt>
                <c:pt idx="487">
                  <c:v>-272.18520686130927</c:v>
                </c:pt>
                <c:pt idx="488">
                  <c:v>-272.2545832375738</c:v>
                </c:pt>
                <c:pt idx="489">
                  <c:v>-272.32373013670303</c:v>
                </c:pt>
                <c:pt idx="490">
                  <c:v>-272.3926498346886</c:v>
                </c:pt>
                <c:pt idx="491">
                  <c:v>-272.46134457541382</c:v>
                </c:pt>
                <c:pt idx="492">
                  <c:v>-272.52981657121188</c:v>
                </c:pt>
                <c:pt idx="493">
                  <c:v>-272.59806800341278</c:v>
                </c:pt>
                <c:pt idx="494">
                  <c:v>-272.6661010228791</c:v>
                </c:pt>
                <c:pt idx="495">
                  <c:v>-272.73391775053</c:v>
                </c:pt>
                <c:pt idx="496">
                  <c:v>-272.80152027785527</c:v>
                </c:pt>
                <c:pt idx="497">
                  <c:v>-272.8689106674185</c:v>
                </c:pt>
                <c:pt idx="498">
                  <c:v>-272.93609095335006</c:v>
                </c:pt>
                <c:pt idx="499">
                  <c:v>-273.00306314182984</c:v>
                </c:pt>
                <c:pt idx="500">
                  <c:v>-273.06982921156066</c:v>
                </c:pt>
                <c:pt idx="501">
                  <c:v>-273.13639111423174</c:v>
                </c:pt>
                <c:pt idx="502">
                  <c:v>-273.20275077497286</c:v>
                </c:pt>
                <c:pt idx="503">
                  <c:v>-273.26891009279973</c:v>
                </c:pt>
                <c:pt idx="504">
                  <c:v>-273.33487094105033</c:v>
                </c:pt>
                <c:pt idx="505">
                  <c:v>-273.40063516781208</c:v>
                </c:pt>
                <c:pt idx="506">
                  <c:v>-273.4662045963413</c:v>
                </c:pt>
                <c:pt idx="507">
                  <c:v>-273.53158102547405</c:v>
                </c:pt>
                <c:pt idx="508">
                  <c:v>-273.59676623002844</c:v>
                </c:pt>
                <c:pt idx="509">
                  <c:v>-273.66176196119972</c:v>
                </c:pt>
                <c:pt idx="510">
                  <c:v>-273.72656994694734</c:v>
                </c:pt>
                <c:pt idx="511">
                  <c:v>-273.79119189237417</c:v>
                </c:pt>
                <c:pt idx="512">
                  <c:v>-273.85562948009891</c:v>
                </c:pt>
                <c:pt idx="513">
                  <c:v>-273.91988437062076</c:v>
                </c:pt>
                <c:pt idx="514">
                  <c:v>-273.98395820267723</c:v>
                </c:pt>
                <c:pt idx="515">
                  <c:v>-274.04785259359522</c:v>
                </c:pt>
                <c:pt idx="516">
                  <c:v>-274.11156913963504</c:v>
                </c:pt>
                <c:pt idx="517">
                  <c:v>-274.17510941632804</c:v>
                </c:pt>
                <c:pt idx="518">
                  <c:v>-274.23847497880774</c:v>
                </c:pt>
                <c:pt idx="519">
                  <c:v>-274.30166736213459</c:v>
                </c:pt>
                <c:pt idx="520">
                  <c:v>-274.36468808161487</c:v>
                </c:pt>
                <c:pt idx="521">
                  <c:v>-274.42753863311304</c:v>
                </c:pt>
                <c:pt idx="522">
                  <c:v>-274.49022049335849</c:v>
                </c:pt>
                <c:pt idx="523">
                  <c:v>-274.55273512024672</c:v>
                </c:pt>
                <c:pt idx="524">
                  <c:v>-274.61508395313462</c:v>
                </c:pt>
                <c:pt idx="525">
                  <c:v>-274.67726841313004</c:v>
                </c:pt>
                <c:pt idx="526">
                  <c:v>-274.73928990337657</c:v>
                </c:pt>
                <c:pt idx="527">
                  <c:v>-274.80114980933229</c:v>
                </c:pt>
                <c:pt idx="528">
                  <c:v>-274.86284949904416</c:v>
                </c:pt>
                <c:pt idx="529">
                  <c:v>-274.9243903234165</c:v>
                </c:pt>
                <c:pt idx="530">
                  <c:v>-274.98577361647517</c:v>
                </c:pt>
                <c:pt idx="531">
                  <c:v>-275.04700069562682</c:v>
                </c:pt>
                <c:pt idx="532">
                  <c:v>-275.108072861913</c:v>
                </c:pt>
                <c:pt idx="533">
                  <c:v>-275.16899140025998</c:v>
                </c:pt>
                <c:pt idx="534">
                  <c:v>-275.22975757972415</c:v>
                </c:pt>
                <c:pt idx="535">
                  <c:v>-275.29037265373245</c:v>
                </c:pt>
                <c:pt idx="536">
                  <c:v>-275.35083786031913</c:v>
                </c:pt>
                <c:pt idx="537">
                  <c:v>-275.41115442235764</c:v>
                </c:pt>
                <c:pt idx="538">
                  <c:v>-275.4713235477887</c:v>
                </c:pt>
                <c:pt idx="539">
                  <c:v>-275.53134642984429</c:v>
                </c:pt>
                <c:pt idx="540">
                  <c:v>-275.59122424726735</c:v>
                </c:pt>
                <c:pt idx="541">
                  <c:v>-275.65095816452794</c:v>
                </c:pt>
                <c:pt idx="542">
                  <c:v>-275.71054933203538</c:v>
                </c:pt>
                <c:pt idx="543">
                  <c:v>-275.76999888634657</c:v>
                </c:pt>
                <c:pt idx="544">
                  <c:v>-275.82930795037078</c:v>
                </c:pt>
                <c:pt idx="545">
                  <c:v>-275.88847763357074</c:v>
                </c:pt>
                <c:pt idx="546">
                  <c:v>-275.94750903216027</c:v>
                </c:pt>
                <c:pt idx="547">
                  <c:v>-276.00640322929837</c:v>
                </c:pt>
                <c:pt idx="548">
                  <c:v>-276.06516129527995</c:v>
                </c:pt>
                <c:pt idx="549">
                  <c:v>-276.12378428772342</c:v>
                </c:pt>
                <c:pt idx="550">
                  <c:v>-276.18227325175468</c:v>
                </c:pt>
                <c:pt idx="551">
                  <c:v>-276.24062922018828</c:v>
                </c:pt>
                <c:pt idx="552">
                  <c:v>-276.29885321370517</c:v>
                </c:pt>
                <c:pt idx="553">
                  <c:v>-276.35694624102763</c:v>
                </c:pt>
                <c:pt idx="554">
                  <c:v>-276.41490929909105</c:v>
                </c:pt>
                <c:pt idx="555">
                  <c:v>-276.47274337321284</c:v>
                </c:pt>
                <c:pt idx="556">
                  <c:v>-276.53044943725831</c:v>
                </c:pt>
                <c:pt idx="557">
                  <c:v>-276.5880284538041</c:v>
                </c:pt>
                <c:pt idx="558">
                  <c:v>-276.64548137429847</c:v>
                </c:pt>
                <c:pt idx="559">
                  <c:v>-276.70280913921891</c:v>
                </c:pt>
                <c:pt idx="560">
                  <c:v>-276.76001267822744</c:v>
                </c:pt>
                <c:pt idx="561">
                  <c:v>-276.81709291032274</c:v>
                </c:pt>
                <c:pt idx="562">
                  <c:v>-276.87405074399044</c:v>
                </c:pt>
                <c:pt idx="563">
                  <c:v>-276.93088707735012</c:v>
                </c:pt>
                <c:pt idx="564">
                  <c:v>-276.98760279830054</c:v>
                </c:pt>
                <c:pt idx="565">
                  <c:v>-277.04419878466194</c:v>
                </c:pt>
                <c:pt idx="566">
                  <c:v>-277.10067590431629</c:v>
                </c:pt>
                <c:pt idx="567">
                  <c:v>-277.15703501534517</c:v>
                </c:pt>
                <c:pt idx="568">
                  <c:v>-277.21327696616538</c:v>
                </c:pt>
                <c:pt idx="569">
                  <c:v>-277.26940259566203</c:v>
                </c:pt>
                <c:pt idx="570">
                  <c:v>-277.32541273332015</c:v>
                </c:pt>
                <c:pt idx="571">
                  <c:v>-277.38130819935304</c:v>
                </c:pt>
                <c:pt idx="572">
                  <c:v>-277.43708980482995</c:v>
                </c:pt>
                <c:pt idx="573">
                  <c:v>-277.49275835180038</c:v>
                </c:pt>
                <c:pt idx="574">
                  <c:v>-277.54831463341702</c:v>
                </c:pt>
                <c:pt idx="575">
                  <c:v>-277.60375943405666</c:v>
                </c:pt>
                <c:pt idx="576">
                  <c:v>-277.65909352943908</c:v>
                </c:pt>
                <c:pt idx="577">
                  <c:v>-277.71431768674381</c:v>
                </c:pt>
                <c:pt idx="578">
                  <c:v>-277.76943266472563</c:v>
                </c:pt>
                <c:pt idx="579">
                  <c:v>-277.82443921382742</c:v>
                </c:pt>
                <c:pt idx="580">
                  <c:v>-277.87933807629184</c:v>
                </c:pt>
                <c:pt idx="581">
                  <c:v>-277.93412998627088</c:v>
                </c:pt>
                <c:pt idx="582">
                  <c:v>-277.98881566993384</c:v>
                </c:pt>
                <c:pt idx="583">
                  <c:v>-278.04339584557357</c:v>
                </c:pt>
                <c:pt idx="584">
                  <c:v>-278.09787122371102</c:v>
                </c:pt>
                <c:pt idx="585">
                  <c:v>-278.15224250719808</c:v>
                </c:pt>
                <c:pt idx="586">
                  <c:v>-278.20651039131883</c:v>
                </c:pt>
                <c:pt idx="587">
                  <c:v>-278.26067556388932</c:v>
                </c:pt>
                <c:pt idx="588">
                  <c:v>-278.31473870535569</c:v>
                </c:pt>
                <c:pt idx="589">
                  <c:v>-278.36870048889079</c:v>
                </c:pt>
                <c:pt idx="590">
                  <c:v>-278.42256158048917</c:v>
                </c:pt>
                <c:pt idx="591">
                  <c:v>-278.47632263906098</c:v>
                </c:pt>
                <c:pt idx="592">
                  <c:v>-278.52998431652355</c:v>
                </c:pt>
                <c:pt idx="593">
                  <c:v>-278.58354725789297</c:v>
                </c:pt>
                <c:pt idx="594">
                  <c:v>-278.63701210137287</c:v>
                </c:pt>
                <c:pt idx="595">
                  <c:v>-278.69037947844254</c:v>
                </c:pt>
                <c:pt idx="596">
                  <c:v>-278.74365001394364</c:v>
                </c:pt>
                <c:pt idx="597">
                  <c:v>-278.79682432616545</c:v>
                </c:pt>
                <c:pt idx="598">
                  <c:v>-278.84990302692904</c:v>
                </c:pt>
                <c:pt idx="599">
                  <c:v>-278.90288672166963</c:v>
                </c:pt>
                <c:pt idx="600">
                  <c:v>-278.95577600951867</c:v>
                </c:pt>
                <c:pt idx="601">
                  <c:v>-279.00857148338349</c:v>
                </c:pt>
                <c:pt idx="602">
                  <c:v>-279.06127373002676</c:v>
                </c:pt>
                <c:pt idx="603">
                  <c:v>-279.11388333014418</c:v>
                </c:pt>
                <c:pt idx="604">
                  <c:v>-279.16640085844108</c:v>
                </c:pt>
                <c:pt idx="605">
                  <c:v>-279.21882688370829</c:v>
                </c:pt>
                <c:pt idx="606">
                  <c:v>-281.73450982481768</c:v>
                </c:pt>
                <c:pt idx="607">
                  <c:v>-284.07633989596133</c:v>
                </c:pt>
                <c:pt idx="608">
                  <c:v>-286.27970625547317</c:v>
                </c:pt>
                <c:pt idx="609">
                  <c:v>-288.36780477915363</c:v>
                </c:pt>
                <c:pt idx="610">
                  <c:v>-290.35646170815551</c:v>
                </c:pt>
                <c:pt idx="611">
                  <c:v>-292.25688179381683</c:v>
                </c:pt>
                <c:pt idx="612">
                  <c:v>-294.0772869737778</c:v>
                </c:pt>
                <c:pt idx="613">
                  <c:v>-295.82392964607749</c:v>
                </c:pt>
                <c:pt idx="614">
                  <c:v>-297.50173751191784</c:v>
                </c:pt>
                <c:pt idx="615">
                  <c:v>-299.11473324669026</c:v>
                </c:pt>
                <c:pt idx="616">
                  <c:v>-300.66631229409859</c:v>
                </c:pt>
                <c:pt idx="617">
                  <c:v>-302.15942900419134</c:v>
                </c:pt>
                <c:pt idx="618">
                  <c:v>-302.77701161628192</c:v>
                </c:pt>
                <c:pt idx="619">
                  <c:v>-303.38462524102539</c:v>
                </c:pt>
                <c:pt idx="620">
                  <c:v>-303.98248837861752</c:v>
                </c:pt>
                <c:pt idx="621">
                  <c:v>-304.57080987733138</c:v>
                </c:pt>
                <c:pt idx="622">
                  <c:v>-305.1497898852748</c:v>
                </c:pt>
                <c:pt idx="623">
                  <c:v>-305.71962068178004</c:v>
                </c:pt>
                <c:pt idx="624">
                  <c:v>-306.28048740438533</c:v>
                </c:pt>
                <c:pt idx="625">
                  <c:v>-306.83256868514536</c:v>
                </c:pt>
                <c:pt idx="626">
                  <c:v>-307.37603720811649</c:v>
                </c:pt>
                <c:pt idx="627">
                  <c:v>-307.91106019825253</c:v>
                </c:pt>
                <c:pt idx="628">
                  <c:v>-308.43779985057211</c:v>
                </c:pt>
                <c:pt idx="629">
                  <c:v>-308.95641370727776</c:v>
                </c:pt>
                <c:pt idx="630">
                  <c:v>-309.46705498949643</c:v>
                </c:pt>
                <c:pt idx="631">
                  <c:v>-309.96987288943876</c:v>
                </c:pt>
                <c:pt idx="632">
                  <c:v>-310.46501282802211</c:v>
                </c:pt>
                <c:pt idx="633">
                  <c:v>-310.95261668235491</c:v>
                </c:pt>
                <c:pt idx="634">
                  <c:v>-311.43282298691349</c:v>
                </c:pt>
                <c:pt idx="635">
                  <c:v>-311.90576711175856</c:v>
                </c:pt>
                <c:pt idx="636">
                  <c:v>-312.37158142071121</c:v>
                </c:pt>
                <c:pt idx="637">
                  <c:v>-312.83039541203993</c:v>
                </c:pt>
                <c:pt idx="638">
                  <c:v>-313.28233584389056</c:v>
                </c:pt>
                <c:pt idx="639">
                  <c:v>-313.7275268464079</c:v>
                </c:pt>
                <c:pt idx="640">
                  <c:v>-314.16609002225402</c:v>
                </c:pt>
                <c:pt idx="641">
                  <c:v>-314.5981445370146</c:v>
                </c:pt>
                <c:pt idx="642">
                  <c:v>-315.02380720079617</c:v>
                </c:pt>
                <c:pt idx="643">
                  <c:v>-315.44319254215452</c:v>
                </c:pt>
                <c:pt idx="644">
                  <c:v>-315.85641287534906</c:v>
                </c:pt>
                <c:pt idx="645">
                  <c:v>-316.26357836179409</c:v>
                </c:pt>
                <c:pt idx="646">
                  <c:v>-316.66479706646555</c:v>
                </c:pt>
                <c:pt idx="647">
                  <c:v>-317.06017500992704</c:v>
                </c:pt>
                <c:pt idx="648">
                  <c:v>-317.44981621655108</c:v>
                </c:pt>
                <c:pt idx="649">
                  <c:v>-317.83382275944109</c:v>
                </c:pt>
                <c:pt idx="650">
                  <c:v>-318.21229480248985</c:v>
                </c:pt>
                <c:pt idx="651">
                  <c:v>-318.58533063995606</c:v>
                </c:pt>
                <c:pt idx="652">
                  <c:v>-318.95302673388903</c:v>
                </c:pt>
                <c:pt idx="653">
                  <c:v>-319.3154777496876</c:v>
                </c:pt>
                <c:pt idx="654">
                  <c:v>-319.6727765900406</c:v>
                </c:pt>
                <c:pt idx="655">
                  <c:v>-320.02501442746279</c:v>
                </c:pt>
                <c:pt idx="656">
                  <c:v>-320.37228073560999</c:v>
                </c:pt>
                <c:pt idx="657">
                  <c:v>-320.71466331953275</c:v>
                </c:pt>
                <c:pt idx="658">
                  <c:v>-321.05224834500245</c:v>
                </c:pt>
                <c:pt idx="659">
                  <c:v>-321.38512036702696</c:v>
                </c:pt>
                <c:pt idx="660">
                  <c:v>-321.71336235765438</c:v>
                </c:pt>
                <c:pt idx="661">
                  <c:v>-322.03705573314824</c:v>
                </c:pt>
                <c:pt idx="662">
                  <c:v>-322.3562803806052</c:v>
                </c:pt>
                <c:pt idx="663">
                  <c:v>-322.67111468407415</c:v>
                </c:pt>
                <c:pt idx="664">
                  <c:v>-322.98163555022836</c:v>
                </c:pt>
                <c:pt idx="665">
                  <c:v>-323.28791843362819</c:v>
                </c:pt>
                <c:pt idx="666">
                  <c:v>-323.5900373616131</c:v>
                </c:pt>
                <c:pt idx="667">
                  <c:v>-323.88806495884671</c:v>
                </c:pt>
              </c:numCache>
            </c:numRef>
          </c:yVal>
          <c:smooth val="0"/>
          <c:extLst>
            <c:ext xmlns:c16="http://schemas.microsoft.com/office/drawing/2014/chart" uri="{C3380CC4-5D6E-409C-BE32-E72D297353CC}">
              <c16:uniqueId val="{00000002-2A10-41EA-A3AE-967165122F16}"/>
            </c:ext>
          </c:extLst>
        </c:ser>
        <c:ser>
          <c:idx val="1"/>
          <c:order val="3"/>
          <c:tx>
            <c:v>Measured Phase</c:v>
          </c:tx>
          <c:spPr>
            <a:ln w="12700">
              <a:solidFill>
                <a:srgbClr val="FF00FF"/>
              </a:solidFill>
              <a:prstDash val="solid"/>
            </a:ln>
          </c:spPr>
          <c:marker>
            <c:symbol val="square"/>
            <c:size val="5"/>
            <c:spPr>
              <a:solidFill>
                <a:srgbClr val="FF00FF"/>
              </a:solidFill>
              <a:ln>
                <a:solidFill>
                  <a:srgbClr val="FF00FF"/>
                </a:solidFill>
                <a:prstDash val="solid"/>
              </a:ln>
            </c:spPr>
          </c:marker>
          <c:xVal>
            <c:numRef>
              <c:f>'Bode Plots Calculations'!$BT$10:$BT$409</c:f>
              <c:numCache>
                <c:formatCode>#0.0#</c:formatCode>
                <c:ptCount val="400"/>
                <c:pt idx="0">
                  <c:v>100</c:v>
                </c:pt>
                <c:pt idx="1">
                  <c:v>102.32899999999999</c:v>
                </c:pt>
                <c:pt idx="2">
                  <c:v>104.71299999999999</c:v>
                </c:pt>
                <c:pt idx="3">
                  <c:v>107.152</c:v>
                </c:pt>
                <c:pt idx="4">
                  <c:v>109.648</c:v>
                </c:pt>
                <c:pt idx="5">
                  <c:v>112.202</c:v>
                </c:pt>
                <c:pt idx="6">
                  <c:v>114.815</c:v>
                </c:pt>
                <c:pt idx="7">
                  <c:v>117.49</c:v>
                </c:pt>
                <c:pt idx="8">
                  <c:v>120.226</c:v>
                </c:pt>
                <c:pt idx="9">
                  <c:v>123.027</c:v>
                </c:pt>
                <c:pt idx="10">
                  <c:v>125.893</c:v>
                </c:pt>
                <c:pt idx="11">
                  <c:v>128.82499999999999</c:v>
                </c:pt>
                <c:pt idx="12">
                  <c:v>131.82599999999999</c:v>
                </c:pt>
                <c:pt idx="13">
                  <c:v>134.89599999999999</c:v>
                </c:pt>
                <c:pt idx="14">
                  <c:v>138.03800000000001</c:v>
                </c:pt>
                <c:pt idx="15">
                  <c:v>141.25399999999999</c:v>
                </c:pt>
                <c:pt idx="16">
                  <c:v>144.54400000000001</c:v>
                </c:pt>
                <c:pt idx="17">
                  <c:v>147.911</c:v>
                </c:pt>
                <c:pt idx="18">
                  <c:v>151.35599999999999</c:v>
                </c:pt>
                <c:pt idx="19">
                  <c:v>154.88200000000001</c:v>
                </c:pt>
                <c:pt idx="20">
                  <c:v>158.489</c:v>
                </c:pt>
                <c:pt idx="21">
                  <c:v>162.18100000000001</c:v>
                </c:pt>
                <c:pt idx="22">
                  <c:v>165.959</c:v>
                </c:pt>
                <c:pt idx="23">
                  <c:v>169.82400000000001</c:v>
                </c:pt>
                <c:pt idx="24">
                  <c:v>173.78</c:v>
                </c:pt>
                <c:pt idx="25">
                  <c:v>177.828</c:v>
                </c:pt>
                <c:pt idx="26">
                  <c:v>181.97</c:v>
                </c:pt>
                <c:pt idx="27">
                  <c:v>186.209</c:v>
                </c:pt>
                <c:pt idx="28">
                  <c:v>190.54599999999999</c:v>
                </c:pt>
                <c:pt idx="29">
                  <c:v>194.98400000000001</c:v>
                </c:pt>
                <c:pt idx="30">
                  <c:v>199.52600000000001</c:v>
                </c:pt>
                <c:pt idx="31">
                  <c:v>204.17400000000001</c:v>
                </c:pt>
                <c:pt idx="32">
                  <c:v>208.93</c:v>
                </c:pt>
                <c:pt idx="33">
                  <c:v>213.79599999999999</c:v>
                </c:pt>
                <c:pt idx="34">
                  <c:v>218.77600000000001</c:v>
                </c:pt>
                <c:pt idx="35">
                  <c:v>223.87200000000001</c:v>
                </c:pt>
                <c:pt idx="36">
                  <c:v>229.08699999999999</c:v>
                </c:pt>
                <c:pt idx="37">
                  <c:v>234.423</c:v>
                </c:pt>
                <c:pt idx="38">
                  <c:v>239.88300000000001</c:v>
                </c:pt>
                <c:pt idx="39">
                  <c:v>245.471</c:v>
                </c:pt>
                <c:pt idx="40">
                  <c:v>251.18899999999999</c:v>
                </c:pt>
                <c:pt idx="41">
                  <c:v>257.04000000000002</c:v>
                </c:pt>
                <c:pt idx="42">
                  <c:v>263.02699999999999</c:v>
                </c:pt>
                <c:pt idx="43">
                  <c:v>269.15300000000002</c:v>
                </c:pt>
                <c:pt idx="44">
                  <c:v>275.423</c:v>
                </c:pt>
                <c:pt idx="45">
                  <c:v>281.83800000000002</c:v>
                </c:pt>
                <c:pt idx="46">
                  <c:v>288.40300000000002</c:v>
                </c:pt>
                <c:pt idx="47">
                  <c:v>295.12099999999998</c:v>
                </c:pt>
                <c:pt idx="48">
                  <c:v>301.995</c:v>
                </c:pt>
                <c:pt idx="49">
                  <c:v>309.02999999999997</c:v>
                </c:pt>
                <c:pt idx="50">
                  <c:v>316.22800000000001</c:v>
                </c:pt>
                <c:pt idx="51">
                  <c:v>323.59399999999999</c:v>
                </c:pt>
                <c:pt idx="52">
                  <c:v>331.13099999999997</c:v>
                </c:pt>
                <c:pt idx="53">
                  <c:v>338.84399999999999</c:v>
                </c:pt>
                <c:pt idx="54">
                  <c:v>346.73700000000002</c:v>
                </c:pt>
                <c:pt idx="55">
                  <c:v>354.81299999999999</c:v>
                </c:pt>
                <c:pt idx="56">
                  <c:v>363.07799999999997</c:v>
                </c:pt>
                <c:pt idx="57">
                  <c:v>371.53500000000003</c:v>
                </c:pt>
                <c:pt idx="58">
                  <c:v>380.18900000000002</c:v>
                </c:pt>
                <c:pt idx="59">
                  <c:v>389.04500000000002</c:v>
                </c:pt>
                <c:pt idx="60">
                  <c:v>398.10700000000003</c:v>
                </c:pt>
                <c:pt idx="61">
                  <c:v>407.38</c:v>
                </c:pt>
                <c:pt idx="62">
                  <c:v>416.86900000000003</c:v>
                </c:pt>
                <c:pt idx="63">
                  <c:v>426.58</c:v>
                </c:pt>
                <c:pt idx="64">
                  <c:v>436.51600000000002</c:v>
                </c:pt>
                <c:pt idx="65">
                  <c:v>446.68400000000003</c:v>
                </c:pt>
                <c:pt idx="66">
                  <c:v>457.08800000000002</c:v>
                </c:pt>
                <c:pt idx="67">
                  <c:v>467.73500000000001</c:v>
                </c:pt>
                <c:pt idx="68">
                  <c:v>478.63</c:v>
                </c:pt>
                <c:pt idx="69">
                  <c:v>489.779</c:v>
                </c:pt>
                <c:pt idx="70">
                  <c:v>501.18700000000001</c:v>
                </c:pt>
                <c:pt idx="71">
                  <c:v>512.86099999999999</c:v>
                </c:pt>
                <c:pt idx="72">
                  <c:v>524.80700000000002</c:v>
                </c:pt>
                <c:pt idx="73">
                  <c:v>537.03200000000004</c:v>
                </c:pt>
                <c:pt idx="74">
                  <c:v>549.54100000000005</c:v>
                </c:pt>
                <c:pt idx="75">
                  <c:v>562.34100000000001</c:v>
                </c:pt>
                <c:pt idx="76">
                  <c:v>575.44000000000005</c:v>
                </c:pt>
                <c:pt idx="77">
                  <c:v>588.84400000000005</c:v>
                </c:pt>
                <c:pt idx="78">
                  <c:v>602.55999999999995</c:v>
                </c:pt>
                <c:pt idx="79">
                  <c:v>616.59500000000003</c:v>
                </c:pt>
                <c:pt idx="80">
                  <c:v>630.95699999999999</c:v>
                </c:pt>
                <c:pt idx="81">
                  <c:v>645.654</c:v>
                </c:pt>
                <c:pt idx="82">
                  <c:v>660.69299999999998</c:v>
                </c:pt>
                <c:pt idx="83">
                  <c:v>676.08299999999997</c:v>
                </c:pt>
                <c:pt idx="84">
                  <c:v>691.83100000000002</c:v>
                </c:pt>
                <c:pt idx="85">
                  <c:v>707.94600000000003</c:v>
                </c:pt>
                <c:pt idx="86">
                  <c:v>724.43600000000004</c:v>
                </c:pt>
                <c:pt idx="87">
                  <c:v>741.31</c:v>
                </c:pt>
                <c:pt idx="88">
                  <c:v>758.57799999999997</c:v>
                </c:pt>
                <c:pt idx="89">
                  <c:v>776.24699999999996</c:v>
                </c:pt>
                <c:pt idx="90">
                  <c:v>794.32799999999997</c:v>
                </c:pt>
                <c:pt idx="91">
                  <c:v>812.83100000000002</c:v>
                </c:pt>
                <c:pt idx="92">
                  <c:v>831.76400000000001</c:v>
                </c:pt>
                <c:pt idx="93">
                  <c:v>851.13800000000003</c:v>
                </c:pt>
                <c:pt idx="94">
                  <c:v>870.96400000000006</c:v>
                </c:pt>
                <c:pt idx="95">
                  <c:v>891.25099999999998</c:v>
                </c:pt>
                <c:pt idx="96">
                  <c:v>912.01099999999997</c:v>
                </c:pt>
                <c:pt idx="97">
                  <c:v>933.25400000000002</c:v>
                </c:pt>
                <c:pt idx="98">
                  <c:v>954.99300000000005</c:v>
                </c:pt>
                <c:pt idx="99">
                  <c:v>977.23699999999997</c:v>
                </c:pt>
                <c:pt idx="100">
                  <c:v>1000</c:v>
                </c:pt>
                <c:pt idx="101">
                  <c:v>1023.293</c:v>
                </c:pt>
                <c:pt idx="102">
                  <c:v>1047.1289999999999</c:v>
                </c:pt>
                <c:pt idx="103">
                  <c:v>1071.519</c:v>
                </c:pt>
                <c:pt idx="104">
                  <c:v>1096.4780000000001</c:v>
                </c:pt>
                <c:pt idx="105">
                  <c:v>1122.018</c:v>
                </c:pt>
                <c:pt idx="106">
                  <c:v>1148.154</c:v>
                </c:pt>
                <c:pt idx="107">
                  <c:v>1174.8979999999999</c:v>
                </c:pt>
                <c:pt idx="108">
                  <c:v>1202.2639999999999</c:v>
                </c:pt>
                <c:pt idx="109">
                  <c:v>1230.269</c:v>
                </c:pt>
                <c:pt idx="110">
                  <c:v>1258.925</c:v>
                </c:pt>
                <c:pt idx="111">
                  <c:v>1288.25</c:v>
                </c:pt>
                <c:pt idx="112">
                  <c:v>1318.2570000000001</c:v>
                </c:pt>
                <c:pt idx="113">
                  <c:v>1348.963</c:v>
                </c:pt>
                <c:pt idx="114">
                  <c:v>1380.384</c:v>
                </c:pt>
                <c:pt idx="115">
                  <c:v>1412.538</c:v>
                </c:pt>
                <c:pt idx="116">
                  <c:v>1445.44</c:v>
                </c:pt>
                <c:pt idx="117">
                  <c:v>1479.1079999999999</c:v>
                </c:pt>
                <c:pt idx="118">
                  <c:v>1513.5609999999999</c:v>
                </c:pt>
                <c:pt idx="119">
                  <c:v>1548.817</c:v>
                </c:pt>
                <c:pt idx="120">
                  <c:v>1584.893</c:v>
                </c:pt>
                <c:pt idx="121">
                  <c:v>1621.81</c:v>
                </c:pt>
                <c:pt idx="122">
                  <c:v>1659.587</c:v>
                </c:pt>
                <c:pt idx="123">
                  <c:v>1698.2439999999999</c:v>
                </c:pt>
                <c:pt idx="124">
                  <c:v>1737.8009999999999</c:v>
                </c:pt>
                <c:pt idx="125">
                  <c:v>1778.279</c:v>
                </c:pt>
                <c:pt idx="126">
                  <c:v>1819.701</c:v>
                </c:pt>
                <c:pt idx="127">
                  <c:v>1862.087</c:v>
                </c:pt>
                <c:pt idx="128">
                  <c:v>1905.461</c:v>
                </c:pt>
                <c:pt idx="129">
                  <c:v>1949.845</c:v>
                </c:pt>
                <c:pt idx="130">
                  <c:v>1995.2619999999999</c:v>
                </c:pt>
                <c:pt idx="131">
                  <c:v>2041.7380000000001</c:v>
                </c:pt>
                <c:pt idx="132">
                  <c:v>2089.2959999999998</c:v>
                </c:pt>
                <c:pt idx="133">
                  <c:v>2137.962</c:v>
                </c:pt>
                <c:pt idx="134">
                  <c:v>2187.7620000000002</c:v>
                </c:pt>
                <c:pt idx="135">
                  <c:v>2238.721</c:v>
                </c:pt>
                <c:pt idx="136">
                  <c:v>2290.8679999999999</c:v>
                </c:pt>
                <c:pt idx="137">
                  <c:v>2344.2289999999998</c:v>
                </c:pt>
                <c:pt idx="138">
                  <c:v>2398.8330000000001</c:v>
                </c:pt>
                <c:pt idx="139">
                  <c:v>2454.7089999999998</c:v>
                </c:pt>
                <c:pt idx="140">
                  <c:v>2511.886</c:v>
                </c:pt>
                <c:pt idx="141">
                  <c:v>2570.3960000000002</c:v>
                </c:pt>
                <c:pt idx="142">
                  <c:v>2630.268</c:v>
                </c:pt>
                <c:pt idx="143">
                  <c:v>2691.5349999999999</c:v>
                </c:pt>
                <c:pt idx="144">
                  <c:v>2754.2289999999998</c:v>
                </c:pt>
                <c:pt idx="145">
                  <c:v>2818.3829999999998</c:v>
                </c:pt>
                <c:pt idx="146">
                  <c:v>2884.0320000000002</c:v>
                </c:pt>
                <c:pt idx="147">
                  <c:v>2951.2089999999998</c:v>
                </c:pt>
                <c:pt idx="148">
                  <c:v>3019.9520000000002</c:v>
                </c:pt>
                <c:pt idx="149">
                  <c:v>3090.2950000000001</c:v>
                </c:pt>
                <c:pt idx="150">
                  <c:v>3162.2779999999998</c:v>
                </c:pt>
                <c:pt idx="151">
                  <c:v>3235.9369999999999</c:v>
                </c:pt>
                <c:pt idx="152">
                  <c:v>3311.3110000000001</c:v>
                </c:pt>
                <c:pt idx="153">
                  <c:v>3388.442</c:v>
                </c:pt>
                <c:pt idx="154">
                  <c:v>3467.3690000000001</c:v>
                </c:pt>
                <c:pt idx="155">
                  <c:v>3548.134</c:v>
                </c:pt>
                <c:pt idx="156">
                  <c:v>3630.7809999999999</c:v>
                </c:pt>
                <c:pt idx="157">
                  <c:v>3715.3519999999999</c:v>
                </c:pt>
                <c:pt idx="158">
                  <c:v>3801.8939999999998</c:v>
                </c:pt>
                <c:pt idx="159">
                  <c:v>3890.451</c:v>
                </c:pt>
                <c:pt idx="160">
                  <c:v>3981.0720000000001</c:v>
                </c:pt>
                <c:pt idx="161">
                  <c:v>4073.8029999999999</c:v>
                </c:pt>
                <c:pt idx="162">
                  <c:v>4168.6940000000004</c:v>
                </c:pt>
                <c:pt idx="163">
                  <c:v>4265.7950000000001</c:v>
                </c:pt>
                <c:pt idx="164">
                  <c:v>4365.1580000000004</c:v>
                </c:pt>
                <c:pt idx="165">
                  <c:v>4466.8360000000002</c:v>
                </c:pt>
                <c:pt idx="166">
                  <c:v>4570.8819999999996</c:v>
                </c:pt>
                <c:pt idx="167">
                  <c:v>4677.3509999999997</c:v>
                </c:pt>
                <c:pt idx="168">
                  <c:v>4786.3010000000004</c:v>
                </c:pt>
                <c:pt idx="169">
                  <c:v>4897.7879999999996</c:v>
                </c:pt>
                <c:pt idx="170">
                  <c:v>5011.8720000000003</c:v>
                </c:pt>
                <c:pt idx="171">
                  <c:v>5128.6139999999996</c:v>
                </c:pt>
                <c:pt idx="172">
                  <c:v>5248.0749999999998</c:v>
                </c:pt>
                <c:pt idx="173">
                  <c:v>5370.3180000000002</c:v>
                </c:pt>
                <c:pt idx="174">
                  <c:v>5495.4089999999997</c:v>
                </c:pt>
                <c:pt idx="175">
                  <c:v>5623.4129999999996</c:v>
                </c:pt>
                <c:pt idx="176">
                  <c:v>5754.3990000000003</c:v>
                </c:pt>
                <c:pt idx="177">
                  <c:v>5888.4369999999999</c:v>
                </c:pt>
                <c:pt idx="178">
                  <c:v>6025.5959999999995</c:v>
                </c:pt>
                <c:pt idx="179">
                  <c:v>6165.95</c:v>
                </c:pt>
                <c:pt idx="180">
                  <c:v>6309.5730000000003</c:v>
                </c:pt>
                <c:pt idx="181">
                  <c:v>6456.5420000000004</c:v>
                </c:pt>
                <c:pt idx="182">
                  <c:v>6606.9340000000002</c:v>
                </c:pt>
                <c:pt idx="183">
                  <c:v>6760.83</c:v>
                </c:pt>
                <c:pt idx="184">
                  <c:v>6918.31</c:v>
                </c:pt>
                <c:pt idx="185">
                  <c:v>7079.4579999999996</c:v>
                </c:pt>
                <c:pt idx="186">
                  <c:v>7244.36</c:v>
                </c:pt>
                <c:pt idx="187">
                  <c:v>7413.1019999999999</c:v>
                </c:pt>
                <c:pt idx="188">
                  <c:v>7585.7759999999998</c:v>
                </c:pt>
                <c:pt idx="189">
                  <c:v>7762.4709999999995</c:v>
                </c:pt>
                <c:pt idx="190">
                  <c:v>7943.2820000000002</c:v>
                </c:pt>
                <c:pt idx="191">
                  <c:v>8128.3050000000003</c:v>
                </c:pt>
                <c:pt idx="192">
                  <c:v>8317.6380000000008</c:v>
                </c:pt>
                <c:pt idx="193">
                  <c:v>8511.3799999999992</c:v>
                </c:pt>
                <c:pt idx="194">
                  <c:v>8709.6360000000004</c:v>
                </c:pt>
                <c:pt idx="195">
                  <c:v>8912.509</c:v>
                </c:pt>
                <c:pt idx="196">
                  <c:v>9120.1080000000002</c:v>
                </c:pt>
                <c:pt idx="197">
                  <c:v>9332.5429999999997</c:v>
                </c:pt>
                <c:pt idx="198">
                  <c:v>9549.9259999999995</c:v>
                </c:pt>
                <c:pt idx="199">
                  <c:v>9772.3719999999994</c:v>
                </c:pt>
                <c:pt idx="200">
                  <c:v>10000</c:v>
                </c:pt>
                <c:pt idx="201">
                  <c:v>10232.93</c:v>
                </c:pt>
                <c:pt idx="202">
                  <c:v>10471.285</c:v>
                </c:pt>
                <c:pt idx="203">
                  <c:v>10715.192999999999</c:v>
                </c:pt>
                <c:pt idx="204">
                  <c:v>10964.781999999999</c:v>
                </c:pt>
                <c:pt idx="205">
                  <c:v>11220.184999999999</c:v>
                </c:pt>
                <c:pt idx="206">
                  <c:v>11481.536</c:v>
                </c:pt>
                <c:pt idx="207">
                  <c:v>11748.976000000001</c:v>
                </c:pt>
                <c:pt idx="208">
                  <c:v>12022.644</c:v>
                </c:pt>
                <c:pt idx="209">
                  <c:v>12302.688</c:v>
                </c:pt>
                <c:pt idx="210">
                  <c:v>12589.254000000001</c:v>
                </c:pt>
                <c:pt idx="211">
                  <c:v>12882.495999999999</c:v>
                </c:pt>
                <c:pt idx="212">
                  <c:v>13182.566999999999</c:v>
                </c:pt>
                <c:pt idx="213">
                  <c:v>13489.629000000001</c:v>
                </c:pt>
                <c:pt idx="214">
                  <c:v>13803.843000000001</c:v>
                </c:pt>
                <c:pt idx="215">
                  <c:v>14125.375</c:v>
                </c:pt>
                <c:pt idx="216">
                  <c:v>14454.397999999999</c:v>
                </c:pt>
                <c:pt idx="217">
                  <c:v>14791.084000000001</c:v>
                </c:pt>
                <c:pt idx="218">
                  <c:v>15135.611999999999</c:v>
                </c:pt>
                <c:pt idx="219">
                  <c:v>15488.165999999999</c:v>
                </c:pt>
                <c:pt idx="220">
                  <c:v>15848.932000000001</c:v>
                </c:pt>
                <c:pt idx="221">
                  <c:v>16218.101000000001</c:v>
                </c:pt>
                <c:pt idx="222">
                  <c:v>16595.868999999999</c:v>
                </c:pt>
                <c:pt idx="223">
                  <c:v>16982.437000000002</c:v>
                </c:pt>
                <c:pt idx="224">
                  <c:v>17378.008000000002</c:v>
                </c:pt>
                <c:pt idx="225">
                  <c:v>17782.794000000002</c:v>
                </c:pt>
                <c:pt idx="226">
                  <c:v>18197.008999999998</c:v>
                </c:pt>
                <c:pt idx="227">
                  <c:v>18620.870999999999</c:v>
                </c:pt>
                <c:pt idx="228">
                  <c:v>19054.607</c:v>
                </c:pt>
                <c:pt idx="229">
                  <c:v>19498.446</c:v>
                </c:pt>
                <c:pt idx="230">
                  <c:v>19952.623</c:v>
                </c:pt>
                <c:pt idx="231">
                  <c:v>20417.379000000001</c:v>
                </c:pt>
                <c:pt idx="232">
                  <c:v>20892.960999999999</c:v>
                </c:pt>
                <c:pt idx="233">
                  <c:v>21379.620999999999</c:v>
                </c:pt>
                <c:pt idx="234">
                  <c:v>21877.616000000002</c:v>
                </c:pt>
                <c:pt idx="235">
                  <c:v>22387.210999999999</c:v>
                </c:pt>
                <c:pt idx="236">
                  <c:v>22908.677</c:v>
                </c:pt>
                <c:pt idx="237">
                  <c:v>23442.288</c:v>
                </c:pt>
                <c:pt idx="238">
                  <c:v>23988.329000000002</c:v>
                </c:pt>
                <c:pt idx="239">
                  <c:v>24547.089</c:v>
                </c:pt>
                <c:pt idx="240">
                  <c:v>25118.864000000001</c:v>
                </c:pt>
                <c:pt idx="241">
                  <c:v>25703.957999999999</c:v>
                </c:pt>
                <c:pt idx="242">
                  <c:v>26302.68</c:v>
                </c:pt>
                <c:pt idx="243">
                  <c:v>26915.348000000002</c:v>
                </c:pt>
                <c:pt idx="244">
                  <c:v>27542.287</c:v>
                </c:pt>
                <c:pt idx="245">
                  <c:v>28183.829000000002</c:v>
                </c:pt>
                <c:pt idx="246">
                  <c:v>28840.314999999999</c:v>
                </c:pt>
                <c:pt idx="247">
                  <c:v>29512.092000000001</c:v>
                </c:pt>
                <c:pt idx="248">
                  <c:v>30199.517</c:v>
                </c:pt>
                <c:pt idx="249">
                  <c:v>30902.954000000002</c:v>
                </c:pt>
                <c:pt idx="250">
                  <c:v>31622.776999999998</c:v>
                </c:pt>
                <c:pt idx="251">
                  <c:v>32359.366000000002</c:v>
                </c:pt>
                <c:pt idx="252">
                  <c:v>33113.112000000001</c:v>
                </c:pt>
                <c:pt idx="253">
                  <c:v>33884.415999999997</c:v>
                </c:pt>
                <c:pt idx="254">
                  <c:v>34673.684999999998</c:v>
                </c:pt>
                <c:pt idx="255">
                  <c:v>35481.339</c:v>
                </c:pt>
                <c:pt idx="256">
                  <c:v>36307.805</c:v>
                </c:pt>
                <c:pt idx="257">
                  <c:v>37153.523000000001</c:v>
                </c:pt>
                <c:pt idx="258">
                  <c:v>38018.94</c:v>
                </c:pt>
                <c:pt idx="259">
                  <c:v>38904.514000000003</c:v>
                </c:pt>
                <c:pt idx="260">
                  <c:v>39810.716999999997</c:v>
                </c:pt>
                <c:pt idx="261">
                  <c:v>40738.027999999998</c:v>
                </c:pt>
                <c:pt idx="262">
                  <c:v>41686.938000000002</c:v>
                </c:pt>
                <c:pt idx="263">
                  <c:v>42657.951999999997</c:v>
                </c:pt>
                <c:pt idx="264">
                  <c:v>43651.582999999999</c:v>
                </c:pt>
                <c:pt idx="265">
                  <c:v>44668.358999999997</c:v>
                </c:pt>
                <c:pt idx="266">
                  <c:v>45708.819000000003</c:v>
                </c:pt>
                <c:pt idx="267">
                  <c:v>46773.514000000003</c:v>
                </c:pt>
                <c:pt idx="268">
                  <c:v>47863.008999999998</c:v>
                </c:pt>
                <c:pt idx="269">
                  <c:v>48977.881999999998</c:v>
                </c:pt>
                <c:pt idx="270">
                  <c:v>50118.722999999998</c:v>
                </c:pt>
                <c:pt idx="271">
                  <c:v>51286.137999999999</c:v>
                </c:pt>
                <c:pt idx="272">
                  <c:v>52480.745999999999</c:v>
                </c:pt>
                <c:pt idx="273">
                  <c:v>53703.18</c:v>
                </c:pt>
                <c:pt idx="274">
                  <c:v>54954.087</c:v>
                </c:pt>
                <c:pt idx="275">
                  <c:v>56234.133000000002</c:v>
                </c:pt>
                <c:pt idx="276">
                  <c:v>57543.993999999999</c:v>
                </c:pt>
                <c:pt idx="277">
                  <c:v>58884.366000000002</c:v>
                </c:pt>
                <c:pt idx="278">
                  <c:v>60255.959000000003</c:v>
                </c:pt>
                <c:pt idx="279">
                  <c:v>61659.5</c:v>
                </c:pt>
                <c:pt idx="280">
                  <c:v>63095.733999999997</c:v>
                </c:pt>
                <c:pt idx="281">
                  <c:v>64565.423000000003</c:v>
                </c:pt>
                <c:pt idx="282">
                  <c:v>66069.345000000001</c:v>
                </c:pt>
                <c:pt idx="283">
                  <c:v>67608.297999999995</c:v>
                </c:pt>
                <c:pt idx="284">
                  <c:v>69183.096999999994</c:v>
                </c:pt>
                <c:pt idx="285">
                  <c:v>70794.577999999994</c:v>
                </c:pt>
                <c:pt idx="286">
                  <c:v>72443.596000000005</c:v>
                </c:pt>
                <c:pt idx="287">
                  <c:v>74131.024000000005</c:v>
                </c:pt>
                <c:pt idx="288">
                  <c:v>75857.758000000002</c:v>
                </c:pt>
                <c:pt idx="289">
                  <c:v>77624.712</c:v>
                </c:pt>
                <c:pt idx="290">
                  <c:v>79432.823000000004</c:v>
                </c:pt>
                <c:pt idx="291">
                  <c:v>81283.051999999996</c:v>
                </c:pt>
                <c:pt idx="292">
                  <c:v>83176.376999999993</c:v>
                </c:pt>
                <c:pt idx="293">
                  <c:v>85113.804000000004</c:v>
                </c:pt>
                <c:pt idx="294">
                  <c:v>87096.358999999997</c:v>
                </c:pt>
                <c:pt idx="295">
                  <c:v>89125.093999999997</c:v>
                </c:pt>
                <c:pt idx="296">
                  <c:v>91201.084000000003</c:v>
                </c:pt>
                <c:pt idx="297">
                  <c:v>93325.43</c:v>
                </c:pt>
                <c:pt idx="298">
                  <c:v>95499.259000000005</c:v>
                </c:pt>
                <c:pt idx="299">
                  <c:v>97723.721999999994</c:v>
                </c:pt>
                <c:pt idx="300">
                  <c:v>100000</c:v>
                </c:pt>
                <c:pt idx="301">
                  <c:v>102329.299</c:v>
                </c:pt>
                <c:pt idx="302">
                  <c:v>104712.855</c:v>
                </c:pt>
                <c:pt idx="303">
                  <c:v>107151.931</c:v>
                </c:pt>
                <c:pt idx="304">
                  <c:v>109647.82</c:v>
                </c:pt>
                <c:pt idx="305">
                  <c:v>112201.845</c:v>
                </c:pt>
                <c:pt idx="306">
                  <c:v>114815.36199999999</c:v>
                </c:pt>
                <c:pt idx="307">
                  <c:v>117489.755</c:v>
                </c:pt>
                <c:pt idx="308">
                  <c:v>120226.443</c:v>
                </c:pt>
                <c:pt idx="309">
                  <c:v>123026.87699999999</c:v>
                </c:pt>
                <c:pt idx="310">
                  <c:v>125892.541</c:v>
                </c:pt>
                <c:pt idx="311">
                  <c:v>128824.955</c:v>
                </c:pt>
                <c:pt idx="312">
                  <c:v>131825.674</c:v>
                </c:pt>
                <c:pt idx="313">
                  <c:v>134896.288</c:v>
                </c:pt>
                <c:pt idx="314">
                  <c:v>138038.42600000001</c:v>
                </c:pt>
                <c:pt idx="315">
                  <c:v>141253.75399999999</c:v>
                </c:pt>
                <c:pt idx="316">
                  <c:v>144543.97700000001</c:v>
                </c:pt>
                <c:pt idx="317">
                  <c:v>147910.83900000001</c:v>
                </c:pt>
                <c:pt idx="318">
                  <c:v>151356.125</c:v>
                </c:pt>
                <c:pt idx="319">
                  <c:v>154881.66200000001</c:v>
                </c:pt>
                <c:pt idx="320">
                  <c:v>158489.31899999999</c:v>
                </c:pt>
                <c:pt idx="321">
                  <c:v>162181.01</c:v>
                </c:pt>
                <c:pt idx="322">
                  <c:v>165958.69099999999</c:v>
                </c:pt>
                <c:pt idx="323">
                  <c:v>169824.36499999999</c:v>
                </c:pt>
                <c:pt idx="324">
                  <c:v>173780.08300000001</c:v>
                </c:pt>
                <c:pt idx="325">
                  <c:v>177827.94099999999</c:v>
                </c:pt>
                <c:pt idx="326">
                  <c:v>181970.08600000001</c:v>
                </c:pt>
                <c:pt idx="327">
                  <c:v>186208.71400000001</c:v>
                </c:pt>
                <c:pt idx="328">
                  <c:v>190546.07199999999</c:v>
                </c:pt>
                <c:pt idx="329">
                  <c:v>194984.46</c:v>
                </c:pt>
                <c:pt idx="330">
                  <c:v>199526.231</c:v>
                </c:pt>
                <c:pt idx="331">
                  <c:v>204173.79399999999</c:v>
                </c:pt>
                <c:pt idx="332">
                  <c:v>208929.61300000001</c:v>
                </c:pt>
                <c:pt idx="333">
                  <c:v>213796.209</c:v>
                </c:pt>
                <c:pt idx="334">
                  <c:v>218776.16200000001</c:v>
                </c:pt>
                <c:pt idx="335">
                  <c:v>223872.114</c:v>
                </c:pt>
                <c:pt idx="336">
                  <c:v>229086.76500000001</c:v>
                </c:pt>
                <c:pt idx="337">
                  <c:v>234422.88200000001</c:v>
                </c:pt>
                <c:pt idx="338">
                  <c:v>239883.29199999999</c:v>
                </c:pt>
                <c:pt idx="339">
                  <c:v>245470.89199999999</c:v>
                </c:pt>
                <c:pt idx="340">
                  <c:v>251188.64300000001</c:v>
                </c:pt>
                <c:pt idx="341">
                  <c:v>257039.57800000001</c:v>
                </c:pt>
                <c:pt idx="342">
                  <c:v>263026.799</c:v>
                </c:pt>
                <c:pt idx="343">
                  <c:v>269153.48</c:v>
                </c:pt>
                <c:pt idx="344">
                  <c:v>275422.87</c:v>
                </c:pt>
                <c:pt idx="345">
                  <c:v>281838.29300000001</c:v>
                </c:pt>
                <c:pt idx="346">
                  <c:v>288403.15000000002</c:v>
                </c:pt>
                <c:pt idx="347">
                  <c:v>295120.92300000001</c:v>
                </c:pt>
                <c:pt idx="348">
                  <c:v>301995.17200000002</c:v>
                </c:pt>
                <c:pt idx="349">
                  <c:v>309029.54300000001</c:v>
                </c:pt>
                <c:pt idx="350">
                  <c:v>316227.766</c:v>
                </c:pt>
                <c:pt idx="351">
                  <c:v>323593.65700000001</c:v>
                </c:pt>
                <c:pt idx="352">
                  <c:v>331131.12099999998</c:v>
                </c:pt>
                <c:pt idx="353">
                  <c:v>338844.15600000002</c:v>
                </c:pt>
                <c:pt idx="354">
                  <c:v>346736.85</c:v>
                </c:pt>
                <c:pt idx="355">
                  <c:v>354813.38900000002</c:v>
                </c:pt>
                <c:pt idx="356">
                  <c:v>363078.05499999999</c:v>
                </c:pt>
                <c:pt idx="357">
                  <c:v>371535.22899999999</c:v>
                </c:pt>
                <c:pt idx="358">
                  <c:v>380189.39600000001</c:v>
                </c:pt>
                <c:pt idx="359">
                  <c:v>389045.14500000002</c:v>
                </c:pt>
                <c:pt idx="360">
                  <c:v>398107.17099999997</c:v>
                </c:pt>
                <c:pt idx="361">
                  <c:v>407380.27799999999</c:v>
                </c:pt>
                <c:pt idx="362">
                  <c:v>416869.38299999997</c:v>
                </c:pt>
                <c:pt idx="363">
                  <c:v>426579.51899999997</c:v>
                </c:pt>
                <c:pt idx="364">
                  <c:v>436515.83199999999</c:v>
                </c:pt>
                <c:pt idx="365">
                  <c:v>446683.592</c:v>
                </c:pt>
                <c:pt idx="366">
                  <c:v>457088.19</c:v>
                </c:pt>
                <c:pt idx="367">
                  <c:v>467735.141</c:v>
                </c:pt>
                <c:pt idx="368">
                  <c:v>478630.092</c:v>
                </c:pt>
                <c:pt idx="369">
                  <c:v>489778.81900000002</c:v>
                </c:pt>
                <c:pt idx="370">
                  <c:v>501187.234</c:v>
                </c:pt>
                <c:pt idx="371">
                  <c:v>512861.38400000002</c:v>
                </c:pt>
                <c:pt idx="372">
                  <c:v>524807.46</c:v>
                </c:pt>
                <c:pt idx="373">
                  <c:v>537031.79599999997</c:v>
                </c:pt>
                <c:pt idx="374">
                  <c:v>549540.87399999995</c:v>
                </c:pt>
                <c:pt idx="375">
                  <c:v>562341.32499999995</c:v>
                </c:pt>
                <c:pt idx="376">
                  <c:v>575439.93700000003</c:v>
                </c:pt>
                <c:pt idx="377">
                  <c:v>588843.65500000003</c:v>
                </c:pt>
                <c:pt idx="378">
                  <c:v>602559.58600000001</c:v>
                </c:pt>
                <c:pt idx="379">
                  <c:v>616595.00199999998</c:v>
                </c:pt>
                <c:pt idx="380">
                  <c:v>630957.34400000004</c:v>
                </c:pt>
                <c:pt idx="381">
                  <c:v>645654.22900000005</c:v>
                </c:pt>
                <c:pt idx="382">
                  <c:v>660693.44799999997</c:v>
                </c:pt>
                <c:pt idx="383">
                  <c:v>676082.97499999998</c:v>
                </c:pt>
                <c:pt idx="384">
                  <c:v>691830.97100000002</c:v>
                </c:pt>
                <c:pt idx="385">
                  <c:v>707945.78399999999</c:v>
                </c:pt>
                <c:pt idx="386">
                  <c:v>724435.96</c:v>
                </c:pt>
                <c:pt idx="387">
                  <c:v>741310.24100000004</c:v>
                </c:pt>
                <c:pt idx="388">
                  <c:v>758577.57499999995</c:v>
                </c:pt>
                <c:pt idx="389">
                  <c:v>776247.11699999997</c:v>
                </c:pt>
                <c:pt idx="390">
                  <c:v>794328.23499999999</c:v>
                </c:pt>
                <c:pt idx="391">
                  <c:v>812830.51599999995</c:v>
                </c:pt>
                <c:pt idx="392">
                  <c:v>831763.77099999995</c:v>
                </c:pt>
                <c:pt idx="393">
                  <c:v>851138.03799999994</c:v>
                </c:pt>
                <c:pt idx="394">
                  <c:v>870963.59</c:v>
                </c:pt>
                <c:pt idx="395">
                  <c:v>891250.93799999997</c:v>
                </c:pt>
                <c:pt idx="396">
                  <c:v>912010.83900000004</c:v>
                </c:pt>
                <c:pt idx="397">
                  <c:v>933254.30099999998</c:v>
                </c:pt>
                <c:pt idx="398">
                  <c:v>954992.58600000001</c:v>
                </c:pt>
                <c:pt idx="399">
                  <c:v>977237.22100000002</c:v>
                </c:pt>
              </c:numCache>
            </c:numRef>
          </c:xVal>
          <c:yVal>
            <c:numRef>
              <c:f>'Bode Plots Calculations'!$BV$10:$BV$409</c:f>
              <c:numCache>
                <c:formatCode>#0.0#</c:formatCode>
                <c:ptCount val="400"/>
                <c:pt idx="0">
                  <c:v>-267.66769999999997</c:v>
                </c:pt>
                <c:pt idx="1">
                  <c:v>-265.91489999999999</c:v>
                </c:pt>
                <c:pt idx="2">
                  <c:v>-264.93219999999997</c:v>
                </c:pt>
                <c:pt idx="3">
                  <c:v>-262.3057</c:v>
                </c:pt>
                <c:pt idx="4">
                  <c:v>-262.76620000000003</c:v>
                </c:pt>
                <c:pt idx="5">
                  <c:v>-267.01279999999997</c:v>
                </c:pt>
                <c:pt idx="6">
                  <c:v>-266.20479999999998</c:v>
                </c:pt>
                <c:pt idx="7">
                  <c:v>-264.9049</c:v>
                </c:pt>
                <c:pt idx="8">
                  <c:v>-269.98079999999999</c:v>
                </c:pt>
                <c:pt idx="9">
                  <c:v>-265.73410000000001</c:v>
                </c:pt>
                <c:pt idx="10">
                  <c:v>-266.37110000000001</c:v>
                </c:pt>
                <c:pt idx="11">
                  <c:v>-268.05959999999999</c:v>
                </c:pt>
                <c:pt idx="12">
                  <c:v>-263.3605</c:v>
                </c:pt>
                <c:pt idx="13">
                  <c:v>-269.46539999999999</c:v>
                </c:pt>
                <c:pt idx="14">
                  <c:v>-267.95069999999998</c:v>
                </c:pt>
                <c:pt idx="15">
                  <c:v>-263.11430000000001</c:v>
                </c:pt>
                <c:pt idx="16">
                  <c:v>-266.2885</c:v>
                </c:pt>
                <c:pt idx="17">
                  <c:v>-266.34629999999999</c:v>
                </c:pt>
                <c:pt idx="18">
                  <c:v>-267.0283</c:v>
                </c:pt>
                <c:pt idx="19">
                  <c:v>-260.69729999999998</c:v>
                </c:pt>
                <c:pt idx="20">
                  <c:v>-259.86900000000003</c:v>
                </c:pt>
                <c:pt idx="21">
                  <c:v>-262.39859999999999</c:v>
                </c:pt>
                <c:pt idx="22">
                  <c:v>-264.8295</c:v>
                </c:pt>
                <c:pt idx="23">
                  <c:v>-267.72770000000003</c:v>
                </c:pt>
                <c:pt idx="24">
                  <c:v>-269.952</c:v>
                </c:pt>
                <c:pt idx="25">
                  <c:v>-271.56010000000003</c:v>
                </c:pt>
                <c:pt idx="26">
                  <c:v>-268.84590000000003</c:v>
                </c:pt>
                <c:pt idx="27">
                  <c:v>-265.37959999999998</c:v>
                </c:pt>
                <c:pt idx="28">
                  <c:v>-265.89449999999999</c:v>
                </c:pt>
                <c:pt idx="29">
                  <c:v>-265.6327</c:v>
                </c:pt>
                <c:pt idx="30">
                  <c:v>-267.80150000000003</c:v>
                </c:pt>
                <c:pt idx="31">
                  <c:v>-264.16840000000002</c:v>
                </c:pt>
                <c:pt idx="32">
                  <c:v>-267.69110000000001</c:v>
                </c:pt>
                <c:pt idx="33">
                  <c:v>-266.9667</c:v>
                </c:pt>
                <c:pt idx="34">
                  <c:v>-263.5369</c:v>
                </c:pt>
                <c:pt idx="35">
                  <c:v>-265.19450000000001</c:v>
                </c:pt>
                <c:pt idx="36">
                  <c:v>-266.75440000000003</c:v>
                </c:pt>
                <c:pt idx="37">
                  <c:v>-266.76120000000003</c:v>
                </c:pt>
                <c:pt idx="38">
                  <c:v>-267.59569999999997</c:v>
                </c:pt>
                <c:pt idx="39">
                  <c:v>-266.80959999999999</c:v>
                </c:pt>
                <c:pt idx="40">
                  <c:v>-265.9205</c:v>
                </c:pt>
                <c:pt idx="41">
                  <c:v>-267.60309999999998</c:v>
                </c:pt>
                <c:pt idx="42">
                  <c:v>-267.3229</c:v>
                </c:pt>
                <c:pt idx="43">
                  <c:v>-265.67700000000002</c:v>
                </c:pt>
                <c:pt idx="44">
                  <c:v>-266.46569999999997</c:v>
                </c:pt>
                <c:pt idx="45">
                  <c:v>-266.67570000000001</c:v>
                </c:pt>
                <c:pt idx="46">
                  <c:v>-268.05989999999997</c:v>
                </c:pt>
                <c:pt idx="47">
                  <c:v>-265.88</c:v>
                </c:pt>
                <c:pt idx="48">
                  <c:v>-267.13580000000002</c:v>
                </c:pt>
                <c:pt idx="49">
                  <c:v>-265.03610000000003</c:v>
                </c:pt>
                <c:pt idx="50">
                  <c:v>-265.21839999999997</c:v>
                </c:pt>
                <c:pt idx="51">
                  <c:v>-266.99490000000003</c:v>
                </c:pt>
                <c:pt idx="52">
                  <c:v>-265.09339999999997</c:v>
                </c:pt>
                <c:pt idx="53">
                  <c:v>-266.42009999999999</c:v>
                </c:pt>
                <c:pt idx="54">
                  <c:v>-265.87940000000003</c:v>
                </c:pt>
                <c:pt idx="55">
                  <c:v>-265.95490000000001</c:v>
                </c:pt>
                <c:pt idx="56">
                  <c:v>-265.39159999999998</c:v>
                </c:pt>
                <c:pt idx="57">
                  <c:v>-265.2439</c:v>
                </c:pt>
                <c:pt idx="58">
                  <c:v>-265.49869999999999</c:v>
                </c:pt>
                <c:pt idx="59">
                  <c:v>-266.06720000000001</c:v>
                </c:pt>
                <c:pt idx="60">
                  <c:v>-265.2319</c:v>
                </c:pt>
                <c:pt idx="61">
                  <c:v>-265.7319</c:v>
                </c:pt>
                <c:pt idx="62">
                  <c:v>-265.24939999999998</c:v>
                </c:pt>
                <c:pt idx="63">
                  <c:v>-265.14060000000001</c:v>
                </c:pt>
                <c:pt idx="64">
                  <c:v>-264.9151</c:v>
                </c:pt>
                <c:pt idx="65">
                  <c:v>-265.3082</c:v>
                </c:pt>
                <c:pt idx="66">
                  <c:v>-265.65139999999997</c:v>
                </c:pt>
                <c:pt idx="67">
                  <c:v>-265.05009999999999</c:v>
                </c:pt>
                <c:pt idx="68">
                  <c:v>-264.35129999999998</c:v>
                </c:pt>
                <c:pt idx="69">
                  <c:v>-263.91079999999999</c:v>
                </c:pt>
                <c:pt idx="70">
                  <c:v>-264.7826</c:v>
                </c:pt>
                <c:pt idx="71">
                  <c:v>-265.04300000000001</c:v>
                </c:pt>
                <c:pt idx="72">
                  <c:v>-263.95569999999998</c:v>
                </c:pt>
                <c:pt idx="73">
                  <c:v>-264.56819999999999</c:v>
                </c:pt>
                <c:pt idx="74">
                  <c:v>-264.47620000000001</c:v>
                </c:pt>
                <c:pt idx="75">
                  <c:v>-264.60399999999998</c:v>
                </c:pt>
                <c:pt idx="76">
                  <c:v>-264.9076</c:v>
                </c:pt>
                <c:pt idx="77">
                  <c:v>-263.88170000000002</c:v>
                </c:pt>
                <c:pt idx="78">
                  <c:v>-264.00260000000003</c:v>
                </c:pt>
                <c:pt idx="79">
                  <c:v>-264.13310000000001</c:v>
                </c:pt>
                <c:pt idx="80">
                  <c:v>-263.74850000000004</c:v>
                </c:pt>
                <c:pt idx="81">
                  <c:v>-263.7636</c:v>
                </c:pt>
                <c:pt idx="82">
                  <c:v>-263.60980000000001</c:v>
                </c:pt>
                <c:pt idx="83">
                  <c:v>-263.3252</c:v>
                </c:pt>
                <c:pt idx="84">
                  <c:v>-263.57819999999998</c:v>
                </c:pt>
                <c:pt idx="85">
                  <c:v>-262.84989999999999</c:v>
                </c:pt>
                <c:pt idx="86">
                  <c:v>-262.81690000000003</c:v>
                </c:pt>
                <c:pt idx="87">
                  <c:v>-262.19720000000001</c:v>
                </c:pt>
                <c:pt idx="88">
                  <c:v>-262.56690000000003</c:v>
                </c:pt>
                <c:pt idx="89">
                  <c:v>-262.71769999999998</c:v>
                </c:pt>
                <c:pt idx="90">
                  <c:v>-262.79380000000003</c:v>
                </c:pt>
                <c:pt idx="91">
                  <c:v>-262.23689999999999</c:v>
                </c:pt>
                <c:pt idx="92">
                  <c:v>-262.34320000000002</c:v>
                </c:pt>
                <c:pt idx="93">
                  <c:v>-262.197</c:v>
                </c:pt>
                <c:pt idx="94">
                  <c:v>-261.76800000000003</c:v>
                </c:pt>
                <c:pt idx="95">
                  <c:v>-261.38310000000001</c:v>
                </c:pt>
                <c:pt idx="96">
                  <c:v>-261.74869999999999</c:v>
                </c:pt>
                <c:pt idx="97">
                  <c:v>-261.20730000000003</c:v>
                </c:pt>
                <c:pt idx="98">
                  <c:v>-261.26609999999999</c:v>
                </c:pt>
                <c:pt idx="99">
                  <c:v>-260.93240000000003</c:v>
                </c:pt>
                <c:pt idx="100">
                  <c:v>-260.5154</c:v>
                </c:pt>
                <c:pt idx="101">
                  <c:v>-261.12389999999999</c:v>
                </c:pt>
                <c:pt idx="102">
                  <c:v>-260.40769999999998</c:v>
                </c:pt>
                <c:pt idx="103">
                  <c:v>-260.5301</c:v>
                </c:pt>
                <c:pt idx="104">
                  <c:v>-260.5471</c:v>
                </c:pt>
                <c:pt idx="105">
                  <c:v>-259.93099999999998</c:v>
                </c:pt>
                <c:pt idx="106">
                  <c:v>-259.94799999999998</c:v>
                </c:pt>
                <c:pt idx="107">
                  <c:v>-260.19870000000003</c:v>
                </c:pt>
                <c:pt idx="108">
                  <c:v>-259.34100000000001</c:v>
                </c:pt>
                <c:pt idx="109">
                  <c:v>-259.55099999999999</c:v>
                </c:pt>
                <c:pt idx="110">
                  <c:v>-259.27199999999999</c:v>
                </c:pt>
                <c:pt idx="111">
                  <c:v>-258.86099999999999</c:v>
                </c:pt>
                <c:pt idx="112">
                  <c:v>-258.68299999999999</c:v>
                </c:pt>
                <c:pt idx="113">
                  <c:v>-258.79700000000003</c:v>
                </c:pt>
                <c:pt idx="114">
                  <c:v>-258.41000000000003</c:v>
                </c:pt>
                <c:pt idx="115">
                  <c:v>-258.13599999999997</c:v>
                </c:pt>
                <c:pt idx="116">
                  <c:v>-257.92899999999997</c:v>
                </c:pt>
                <c:pt idx="117">
                  <c:v>-257.745</c:v>
                </c:pt>
                <c:pt idx="118">
                  <c:v>-257.61</c:v>
                </c:pt>
                <c:pt idx="119">
                  <c:v>-257.471</c:v>
                </c:pt>
                <c:pt idx="120">
                  <c:v>-256.94200000000001</c:v>
                </c:pt>
                <c:pt idx="121">
                  <c:v>-256.75299999999999</c:v>
                </c:pt>
                <c:pt idx="122">
                  <c:v>-256.85699999999997</c:v>
                </c:pt>
                <c:pt idx="123">
                  <c:v>-256.31299999999999</c:v>
                </c:pt>
                <c:pt idx="124">
                  <c:v>-256.37900000000002</c:v>
                </c:pt>
                <c:pt idx="125">
                  <c:v>-256.01499999999999</c:v>
                </c:pt>
                <c:pt idx="126">
                  <c:v>-255.833</c:v>
                </c:pt>
                <c:pt idx="127">
                  <c:v>-255.47</c:v>
                </c:pt>
                <c:pt idx="128">
                  <c:v>-255.059</c:v>
                </c:pt>
                <c:pt idx="129">
                  <c:v>-254.971</c:v>
                </c:pt>
                <c:pt idx="130">
                  <c:v>-254.804</c:v>
                </c:pt>
                <c:pt idx="131">
                  <c:v>-254.411</c:v>
                </c:pt>
                <c:pt idx="132">
                  <c:v>-254.113</c:v>
                </c:pt>
                <c:pt idx="133">
                  <c:v>-254.34</c:v>
                </c:pt>
                <c:pt idx="134">
                  <c:v>-253.785</c:v>
                </c:pt>
                <c:pt idx="135">
                  <c:v>-253.78300000000002</c:v>
                </c:pt>
                <c:pt idx="136">
                  <c:v>-253.62</c:v>
                </c:pt>
                <c:pt idx="137">
                  <c:v>-253.17099999999999</c:v>
                </c:pt>
                <c:pt idx="138">
                  <c:v>-252.65800000000002</c:v>
                </c:pt>
                <c:pt idx="139">
                  <c:v>-251.97399999999999</c:v>
                </c:pt>
                <c:pt idx="140">
                  <c:v>-252.25200000000001</c:v>
                </c:pt>
                <c:pt idx="141">
                  <c:v>-251.702</c:v>
                </c:pt>
                <c:pt idx="142">
                  <c:v>-251.40100000000001</c:v>
                </c:pt>
                <c:pt idx="143">
                  <c:v>-251.244</c:v>
                </c:pt>
                <c:pt idx="144">
                  <c:v>-251.05099999999999</c:v>
                </c:pt>
                <c:pt idx="145">
                  <c:v>-250.48</c:v>
                </c:pt>
                <c:pt idx="146">
                  <c:v>-250.202</c:v>
                </c:pt>
                <c:pt idx="147">
                  <c:v>-249.92599999999999</c:v>
                </c:pt>
                <c:pt idx="148">
                  <c:v>-249.65100000000001</c:v>
                </c:pt>
                <c:pt idx="149">
                  <c:v>-248.41800000000001</c:v>
                </c:pt>
                <c:pt idx="150">
                  <c:v>-248.626</c:v>
                </c:pt>
                <c:pt idx="151">
                  <c:v>-248.57499999999999</c:v>
                </c:pt>
                <c:pt idx="152">
                  <c:v>-247.75799999999998</c:v>
                </c:pt>
                <c:pt idx="153">
                  <c:v>-247.756</c:v>
                </c:pt>
                <c:pt idx="154">
                  <c:v>-247.51300000000001</c:v>
                </c:pt>
                <c:pt idx="155">
                  <c:v>-246.726</c:v>
                </c:pt>
                <c:pt idx="156">
                  <c:v>-246.21199999999999</c:v>
                </c:pt>
                <c:pt idx="157">
                  <c:v>-245.97</c:v>
                </c:pt>
                <c:pt idx="158">
                  <c:v>-245.16899999999998</c:v>
                </c:pt>
                <c:pt idx="159">
                  <c:v>-244.768</c:v>
                </c:pt>
                <c:pt idx="160">
                  <c:v>-244.315</c:v>
                </c:pt>
                <c:pt idx="161">
                  <c:v>-244.142</c:v>
                </c:pt>
                <c:pt idx="162">
                  <c:v>-243.709</c:v>
                </c:pt>
                <c:pt idx="163">
                  <c:v>-243.32400000000001</c:v>
                </c:pt>
                <c:pt idx="164">
                  <c:v>-242.172</c:v>
                </c:pt>
                <c:pt idx="165">
                  <c:v>-240.90300000000002</c:v>
                </c:pt>
                <c:pt idx="166">
                  <c:v>-241.25200000000001</c:v>
                </c:pt>
                <c:pt idx="167">
                  <c:v>-240.63800000000001</c:v>
                </c:pt>
                <c:pt idx="168">
                  <c:v>-240.03100000000001</c:v>
                </c:pt>
                <c:pt idx="169">
                  <c:v>-239.48099999999999</c:v>
                </c:pt>
                <c:pt idx="170">
                  <c:v>-238.50700000000001</c:v>
                </c:pt>
                <c:pt idx="171">
                  <c:v>-237.881</c:v>
                </c:pt>
                <c:pt idx="172">
                  <c:v>-238.28</c:v>
                </c:pt>
                <c:pt idx="173">
                  <c:v>-237.34699999999998</c:v>
                </c:pt>
                <c:pt idx="174">
                  <c:v>-235.61199999999999</c:v>
                </c:pt>
                <c:pt idx="175">
                  <c:v>-235.13800000000001</c:v>
                </c:pt>
                <c:pt idx="176">
                  <c:v>-234.68899999999999</c:v>
                </c:pt>
                <c:pt idx="177">
                  <c:v>-233.95400000000001</c:v>
                </c:pt>
                <c:pt idx="178">
                  <c:v>-234.14699999999999</c:v>
                </c:pt>
                <c:pt idx="179">
                  <c:v>-232.05599999999998</c:v>
                </c:pt>
                <c:pt idx="180">
                  <c:v>-231.369</c:v>
                </c:pt>
                <c:pt idx="181">
                  <c:v>-230.779</c:v>
                </c:pt>
                <c:pt idx="182">
                  <c:v>-229.60900000000001</c:v>
                </c:pt>
                <c:pt idx="183">
                  <c:v>-229.1</c:v>
                </c:pt>
                <c:pt idx="184">
                  <c:v>-228.376</c:v>
                </c:pt>
                <c:pt idx="185">
                  <c:v>-227.04400000000001</c:v>
                </c:pt>
                <c:pt idx="186">
                  <c:v>-226.239</c:v>
                </c:pt>
                <c:pt idx="187">
                  <c:v>-225.834</c:v>
                </c:pt>
                <c:pt idx="188">
                  <c:v>-224.429</c:v>
                </c:pt>
                <c:pt idx="189">
                  <c:v>-223.255</c:v>
                </c:pt>
                <c:pt idx="190">
                  <c:v>-223.13499999999999</c:v>
                </c:pt>
                <c:pt idx="191">
                  <c:v>-221.982</c:v>
                </c:pt>
                <c:pt idx="192">
                  <c:v>-220.93199999999999</c:v>
                </c:pt>
                <c:pt idx="193">
                  <c:v>-219.99600000000001</c:v>
                </c:pt>
                <c:pt idx="194">
                  <c:v>-218.72200000000001</c:v>
                </c:pt>
                <c:pt idx="195">
                  <c:v>-217.619</c:v>
                </c:pt>
                <c:pt idx="196">
                  <c:v>-216.501</c:v>
                </c:pt>
                <c:pt idx="197">
                  <c:v>-215.83600000000001</c:v>
                </c:pt>
                <c:pt idx="198">
                  <c:v>-215.499</c:v>
                </c:pt>
                <c:pt idx="199">
                  <c:v>-212.98699999999999</c:v>
                </c:pt>
                <c:pt idx="200">
                  <c:v>-213.047</c:v>
                </c:pt>
                <c:pt idx="201">
                  <c:v>-211.715</c:v>
                </c:pt>
                <c:pt idx="202">
                  <c:v>-211.89099999999999</c:v>
                </c:pt>
                <c:pt idx="203">
                  <c:v>-209.68</c:v>
                </c:pt>
                <c:pt idx="204">
                  <c:v>-209.52500000000001</c:v>
                </c:pt>
                <c:pt idx="205">
                  <c:v>-207.815</c:v>
                </c:pt>
                <c:pt idx="206">
                  <c:v>-207.916</c:v>
                </c:pt>
                <c:pt idx="207">
                  <c:v>-206.25700000000001</c:v>
                </c:pt>
                <c:pt idx="208">
                  <c:v>-205.79599999999999</c:v>
                </c:pt>
                <c:pt idx="209">
                  <c:v>-205.58</c:v>
                </c:pt>
                <c:pt idx="210">
                  <c:v>-203.78</c:v>
                </c:pt>
                <c:pt idx="211">
                  <c:v>-201.71899999999999</c:v>
                </c:pt>
                <c:pt idx="212">
                  <c:v>-198.27600000000001</c:v>
                </c:pt>
                <c:pt idx="213">
                  <c:v>-197.578</c:v>
                </c:pt>
                <c:pt idx="214">
                  <c:v>-195.64599999999999</c:v>
                </c:pt>
                <c:pt idx="215">
                  <c:v>-192.58199999999999</c:v>
                </c:pt>
                <c:pt idx="216">
                  <c:v>-192.25399999999999</c:v>
                </c:pt>
                <c:pt idx="217">
                  <c:v>-191.02600000000001</c:v>
                </c:pt>
                <c:pt idx="218">
                  <c:v>-189.453</c:v>
                </c:pt>
                <c:pt idx="219">
                  <c:v>-188.48099999999999</c:v>
                </c:pt>
                <c:pt idx="220">
                  <c:v>-186.14400000000001</c:v>
                </c:pt>
                <c:pt idx="221">
                  <c:v>-185.626</c:v>
                </c:pt>
                <c:pt idx="222">
                  <c:v>-184.43100000000001</c:v>
                </c:pt>
                <c:pt idx="223">
                  <c:v>-182.72200000000001</c:v>
                </c:pt>
                <c:pt idx="224">
                  <c:v>-181.726</c:v>
                </c:pt>
                <c:pt idx="225">
                  <c:v>-180.351</c:v>
                </c:pt>
                <c:pt idx="226">
                  <c:v>-179.43</c:v>
                </c:pt>
                <c:pt idx="227">
                  <c:v>-178.09100000000001</c:v>
                </c:pt>
                <c:pt idx="228">
                  <c:v>-176.916</c:v>
                </c:pt>
                <c:pt idx="229">
                  <c:v>-175.511</c:v>
                </c:pt>
                <c:pt idx="230">
                  <c:v>-174.244</c:v>
                </c:pt>
                <c:pt idx="231">
                  <c:v>-173.369</c:v>
                </c:pt>
                <c:pt idx="232">
                  <c:v>-172.084</c:v>
                </c:pt>
                <c:pt idx="233">
                  <c:v>-170.62899999999999</c:v>
                </c:pt>
                <c:pt idx="234">
                  <c:v>-169.465</c:v>
                </c:pt>
                <c:pt idx="235">
                  <c:v>-168.34299999999999</c:v>
                </c:pt>
                <c:pt idx="236">
                  <c:v>-167.03899999999999</c:v>
                </c:pt>
                <c:pt idx="237">
                  <c:v>-165.876</c:v>
                </c:pt>
                <c:pt idx="238">
                  <c:v>-164.703</c:v>
                </c:pt>
                <c:pt idx="239">
                  <c:v>-163.65100000000001</c:v>
                </c:pt>
                <c:pt idx="240">
                  <c:v>-162.52199999999999</c:v>
                </c:pt>
                <c:pt idx="241">
                  <c:v>-161.32599999999999</c:v>
                </c:pt>
                <c:pt idx="242">
                  <c:v>-160.22999999999999</c:v>
                </c:pt>
                <c:pt idx="243">
                  <c:v>-159.27600000000001</c:v>
                </c:pt>
                <c:pt idx="244">
                  <c:v>-158.108</c:v>
                </c:pt>
                <c:pt idx="245">
                  <c:v>-157.06299999999999</c:v>
                </c:pt>
                <c:pt idx="246">
                  <c:v>-156.01</c:v>
                </c:pt>
                <c:pt idx="247">
                  <c:v>-155.03200000000001</c:v>
                </c:pt>
                <c:pt idx="248">
                  <c:v>-154.00200000000001</c:v>
                </c:pt>
                <c:pt idx="249">
                  <c:v>-152.994</c:v>
                </c:pt>
                <c:pt idx="250">
                  <c:v>-152.041</c:v>
                </c:pt>
                <c:pt idx="251">
                  <c:v>-151.05000000000001</c:v>
                </c:pt>
                <c:pt idx="252">
                  <c:v>-150.17400000000001</c:v>
                </c:pt>
                <c:pt idx="253">
                  <c:v>-149.483</c:v>
                </c:pt>
                <c:pt idx="254">
                  <c:v>-148.328</c:v>
                </c:pt>
                <c:pt idx="255">
                  <c:v>-147.47</c:v>
                </c:pt>
                <c:pt idx="256">
                  <c:v>-146.52500000000001</c:v>
                </c:pt>
                <c:pt idx="257">
                  <c:v>-145.744</c:v>
                </c:pt>
                <c:pt idx="258">
                  <c:v>-144.86799999999999</c:v>
                </c:pt>
                <c:pt idx="259">
                  <c:v>-144.06</c:v>
                </c:pt>
                <c:pt idx="260">
                  <c:v>-143.22999999999999</c:v>
                </c:pt>
                <c:pt idx="261">
                  <c:v>-142.31399999999999</c:v>
                </c:pt>
                <c:pt idx="262">
                  <c:v>-141.465</c:v>
                </c:pt>
                <c:pt idx="263">
                  <c:v>-140.39099999999999</c:v>
                </c:pt>
                <c:pt idx="264">
                  <c:v>-139.065</c:v>
                </c:pt>
                <c:pt idx="265">
                  <c:v>-136.58699999999999</c:v>
                </c:pt>
                <c:pt idx="266">
                  <c:v>-135.751</c:v>
                </c:pt>
                <c:pt idx="267">
                  <c:v>-137.57599999999999</c:v>
                </c:pt>
                <c:pt idx="268">
                  <c:v>-138.25</c:v>
                </c:pt>
                <c:pt idx="269">
                  <c:v>-138.07900000000001</c:v>
                </c:pt>
                <c:pt idx="270">
                  <c:v>-137.59100000000001</c:v>
                </c:pt>
                <c:pt idx="271">
                  <c:v>-137.08699999999999</c:v>
                </c:pt>
                <c:pt idx="272">
                  <c:v>-136.553</c:v>
                </c:pt>
                <c:pt idx="273">
                  <c:v>-136.001</c:v>
                </c:pt>
                <c:pt idx="274">
                  <c:v>-135.524</c:v>
                </c:pt>
                <c:pt idx="275">
                  <c:v>-134.983</c:v>
                </c:pt>
                <c:pt idx="276">
                  <c:v>-134.52199999999999</c:v>
                </c:pt>
                <c:pt idx="277">
                  <c:v>-134.059</c:v>
                </c:pt>
                <c:pt idx="278">
                  <c:v>-133.65100000000001</c:v>
                </c:pt>
                <c:pt idx="279">
                  <c:v>-133.24799999999999</c:v>
                </c:pt>
                <c:pt idx="280">
                  <c:v>-132.86600000000001</c:v>
                </c:pt>
                <c:pt idx="281">
                  <c:v>-132.49799999999999</c:v>
                </c:pt>
                <c:pt idx="282">
                  <c:v>-132.279</c:v>
                </c:pt>
                <c:pt idx="283">
                  <c:v>-132.03399999999999</c:v>
                </c:pt>
                <c:pt idx="284">
                  <c:v>-131.40799999999999</c:v>
                </c:pt>
                <c:pt idx="285">
                  <c:v>-131.172</c:v>
                </c:pt>
                <c:pt idx="286">
                  <c:v>-130.929</c:v>
                </c:pt>
                <c:pt idx="287">
                  <c:v>-130.88900000000001</c:v>
                </c:pt>
                <c:pt idx="288">
                  <c:v>-130.62200000000001</c:v>
                </c:pt>
                <c:pt idx="289">
                  <c:v>-130.36099999999999</c:v>
                </c:pt>
                <c:pt idx="290">
                  <c:v>-130.17400000000001</c:v>
                </c:pt>
                <c:pt idx="291">
                  <c:v>-130.05699999999999</c:v>
                </c:pt>
                <c:pt idx="292">
                  <c:v>-130.11600000000001</c:v>
                </c:pt>
                <c:pt idx="293">
                  <c:v>-129.97300000000001</c:v>
                </c:pt>
                <c:pt idx="294">
                  <c:v>-129.96199999999999</c:v>
                </c:pt>
                <c:pt idx="295">
                  <c:v>-129.73099999999999</c:v>
                </c:pt>
                <c:pt idx="296">
                  <c:v>-129.68299999999999</c:v>
                </c:pt>
                <c:pt idx="297">
                  <c:v>-129.64400000000001</c:v>
                </c:pt>
                <c:pt idx="298">
                  <c:v>-129.63</c:v>
                </c:pt>
                <c:pt idx="299">
                  <c:v>-129.62100000000001</c:v>
                </c:pt>
                <c:pt idx="300">
                  <c:v>-129.59</c:v>
                </c:pt>
                <c:pt idx="301">
                  <c:v>-129.61099999999999</c:v>
                </c:pt>
                <c:pt idx="302">
                  <c:v>-129.61699999999999</c:v>
                </c:pt>
                <c:pt idx="303">
                  <c:v>-129.57599999999999</c:v>
                </c:pt>
                <c:pt idx="304">
                  <c:v>-129.52799999999999</c:v>
                </c:pt>
                <c:pt idx="305">
                  <c:v>-129.44300000000001</c:v>
                </c:pt>
                <c:pt idx="306">
                  <c:v>-129.58500000000001</c:v>
                </c:pt>
                <c:pt idx="307">
                  <c:v>-129.61699999999999</c:v>
                </c:pt>
                <c:pt idx="308">
                  <c:v>-129.863</c:v>
                </c:pt>
                <c:pt idx="309">
                  <c:v>-130.31299999999999</c:v>
                </c:pt>
                <c:pt idx="310">
                  <c:v>-130.77099999999999</c:v>
                </c:pt>
                <c:pt idx="311">
                  <c:v>-131.42599999999999</c:v>
                </c:pt>
                <c:pt idx="312">
                  <c:v>-132.06399999999999</c:v>
                </c:pt>
                <c:pt idx="313">
                  <c:v>-132.62899999999999</c:v>
                </c:pt>
                <c:pt idx="314">
                  <c:v>-133.267</c:v>
                </c:pt>
                <c:pt idx="315">
                  <c:v>-133.959</c:v>
                </c:pt>
                <c:pt idx="316">
                  <c:v>-134.75200000000001</c:v>
                </c:pt>
                <c:pt idx="317">
                  <c:v>-135.72399999999999</c:v>
                </c:pt>
                <c:pt idx="318">
                  <c:v>-136.34200000000001</c:v>
                </c:pt>
                <c:pt idx="319">
                  <c:v>-136.816</c:v>
                </c:pt>
                <c:pt idx="320">
                  <c:v>-137.47</c:v>
                </c:pt>
                <c:pt idx="321">
                  <c:v>-137.46899999999999</c:v>
                </c:pt>
                <c:pt idx="322">
                  <c:v>-138.31200000000001</c:v>
                </c:pt>
                <c:pt idx="323">
                  <c:v>-140.114</c:v>
                </c:pt>
                <c:pt idx="324">
                  <c:v>-141.173</c:v>
                </c:pt>
                <c:pt idx="325">
                  <c:v>-141.86199999999999</c:v>
                </c:pt>
                <c:pt idx="326">
                  <c:v>-143.41399999999999</c:v>
                </c:pt>
                <c:pt idx="327">
                  <c:v>-144.279</c:v>
                </c:pt>
                <c:pt idx="328">
                  <c:v>-145.40799999999999</c:v>
                </c:pt>
                <c:pt idx="329">
                  <c:v>-146.886</c:v>
                </c:pt>
                <c:pt idx="330">
                  <c:v>-147.23699999999999</c:v>
                </c:pt>
                <c:pt idx="331">
                  <c:v>-148.923</c:v>
                </c:pt>
                <c:pt idx="332">
                  <c:v>-149.92099999999999</c:v>
                </c:pt>
                <c:pt idx="333">
                  <c:v>-151.101</c:v>
                </c:pt>
                <c:pt idx="334">
                  <c:v>-153.08699999999999</c:v>
                </c:pt>
                <c:pt idx="335">
                  <c:v>-154.70699999999999</c:v>
                </c:pt>
                <c:pt idx="336">
                  <c:v>-156.46</c:v>
                </c:pt>
                <c:pt idx="337">
                  <c:v>-158.77500000000001</c:v>
                </c:pt>
                <c:pt idx="338">
                  <c:v>-161.529</c:v>
                </c:pt>
                <c:pt idx="339">
                  <c:v>-163.59700000000001</c:v>
                </c:pt>
                <c:pt idx="340">
                  <c:v>-165.89599999999999</c:v>
                </c:pt>
                <c:pt idx="341">
                  <c:v>-168.07</c:v>
                </c:pt>
                <c:pt idx="342">
                  <c:v>-170.82400000000001</c:v>
                </c:pt>
                <c:pt idx="343">
                  <c:v>-173.35300000000001</c:v>
                </c:pt>
                <c:pt idx="344">
                  <c:v>-175.80699999999999</c:v>
                </c:pt>
                <c:pt idx="345">
                  <c:v>-177.72399999999999</c:v>
                </c:pt>
                <c:pt idx="346">
                  <c:v>-178.92099999999999</c:v>
                </c:pt>
                <c:pt idx="347">
                  <c:v>-181.99</c:v>
                </c:pt>
                <c:pt idx="348">
                  <c:v>-183.36099999999999</c:v>
                </c:pt>
                <c:pt idx="349">
                  <c:v>-186.209</c:v>
                </c:pt>
                <c:pt idx="350">
                  <c:v>-189.75</c:v>
                </c:pt>
                <c:pt idx="351">
                  <c:v>-192.398</c:v>
                </c:pt>
                <c:pt idx="352">
                  <c:v>-194.60300000000001</c:v>
                </c:pt>
                <c:pt idx="353">
                  <c:v>-197.85300000000001</c:v>
                </c:pt>
                <c:pt idx="354">
                  <c:v>-200.482</c:v>
                </c:pt>
                <c:pt idx="355">
                  <c:v>-203.33199999999999</c:v>
                </c:pt>
                <c:pt idx="356">
                  <c:v>-205.19499999999999</c:v>
                </c:pt>
                <c:pt idx="357">
                  <c:v>-207.41</c:v>
                </c:pt>
                <c:pt idx="358">
                  <c:v>-210.39400000000001</c:v>
                </c:pt>
                <c:pt idx="359">
                  <c:v>-213.04300000000001</c:v>
                </c:pt>
                <c:pt idx="360">
                  <c:v>-214.58500000000001</c:v>
                </c:pt>
                <c:pt idx="361">
                  <c:v>-217.34299999999999</c:v>
                </c:pt>
                <c:pt idx="362">
                  <c:v>-219.017</c:v>
                </c:pt>
                <c:pt idx="363">
                  <c:v>-221.39400000000001</c:v>
                </c:pt>
                <c:pt idx="364">
                  <c:v>-223.214</c:v>
                </c:pt>
                <c:pt idx="365">
                  <c:v>-225.053</c:v>
                </c:pt>
                <c:pt idx="366">
                  <c:v>-226.50200000000001</c:v>
                </c:pt>
                <c:pt idx="367">
                  <c:v>131.81700000000001</c:v>
                </c:pt>
                <c:pt idx="368">
                  <c:v>129.95699999999999</c:v>
                </c:pt>
                <c:pt idx="369">
                  <c:v>126.41800000000001</c:v>
                </c:pt>
                <c:pt idx="370">
                  <c:v>125.40900000000001</c:v>
                </c:pt>
                <c:pt idx="371">
                  <c:v>124.027</c:v>
                </c:pt>
                <c:pt idx="372">
                  <c:v>122.795</c:v>
                </c:pt>
                <c:pt idx="373">
                  <c:v>121.76300000000001</c:v>
                </c:pt>
                <c:pt idx="374">
                  <c:v>121.762</c:v>
                </c:pt>
                <c:pt idx="375">
                  <c:v>119.89400000000001</c:v>
                </c:pt>
                <c:pt idx="376">
                  <c:v>119.196</c:v>
                </c:pt>
                <c:pt idx="377">
                  <c:v>116.889</c:v>
                </c:pt>
                <c:pt idx="378">
                  <c:v>117.324</c:v>
                </c:pt>
                <c:pt idx="379">
                  <c:v>115.142</c:v>
                </c:pt>
                <c:pt idx="380">
                  <c:v>115.247</c:v>
                </c:pt>
                <c:pt idx="381">
                  <c:v>113.164</c:v>
                </c:pt>
                <c:pt idx="382">
                  <c:v>112.872</c:v>
                </c:pt>
                <c:pt idx="383">
                  <c:v>110.592</c:v>
                </c:pt>
                <c:pt idx="384">
                  <c:v>111.01300000000001</c:v>
                </c:pt>
                <c:pt idx="385">
                  <c:v>109.21</c:v>
                </c:pt>
                <c:pt idx="386">
                  <c:v>107.553</c:v>
                </c:pt>
                <c:pt idx="387">
                  <c:v>107.324</c:v>
                </c:pt>
                <c:pt idx="388">
                  <c:v>105.50700000000001</c:v>
                </c:pt>
                <c:pt idx="389">
                  <c:v>105.28700000000001</c:v>
                </c:pt>
                <c:pt idx="390">
                  <c:v>105.286</c:v>
                </c:pt>
                <c:pt idx="391">
                  <c:v>105.187</c:v>
                </c:pt>
                <c:pt idx="392">
                  <c:v>104.541</c:v>
                </c:pt>
                <c:pt idx="393">
                  <c:v>103.205</c:v>
                </c:pt>
                <c:pt idx="394">
                  <c:v>103.91</c:v>
                </c:pt>
                <c:pt idx="395">
                  <c:v>102.337</c:v>
                </c:pt>
                <c:pt idx="396">
                  <c:v>100.33499999999999</c:v>
                </c:pt>
                <c:pt idx="397">
                  <c:v>100.20399999999999</c:v>
                </c:pt>
                <c:pt idx="398">
                  <c:v>99.956599999999995</c:v>
                </c:pt>
                <c:pt idx="399">
                  <c:v>98.699600000000004</c:v>
                </c:pt>
              </c:numCache>
            </c:numRef>
          </c:yVal>
          <c:smooth val="0"/>
          <c:extLst>
            <c:ext xmlns:c16="http://schemas.microsoft.com/office/drawing/2014/chart" uri="{C3380CC4-5D6E-409C-BE32-E72D297353CC}">
              <c16:uniqueId val="{00000003-2A10-41EA-A3AE-967165122F16}"/>
            </c:ext>
          </c:extLst>
        </c:ser>
        <c:dLbls>
          <c:showLegendKey val="0"/>
          <c:showVal val="0"/>
          <c:showCatName val="0"/>
          <c:showSerName val="0"/>
          <c:showPercent val="0"/>
          <c:showBubbleSize val="0"/>
        </c:dLbls>
        <c:axId val="176943488"/>
        <c:axId val="176945024"/>
      </c:scatterChart>
      <c:valAx>
        <c:axId val="176934912"/>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297177526722869"/>
              <c:y val="0.8831179738896208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37216"/>
        <c:crossesAt val="-80"/>
        <c:crossBetween val="midCat"/>
      </c:valAx>
      <c:valAx>
        <c:axId val="176937216"/>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797101449275412E-2"/>
              <c:y val="0.44155898694481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34912"/>
        <c:crosses val="autoZero"/>
        <c:crossBetween val="midCat"/>
      </c:valAx>
      <c:valAx>
        <c:axId val="176943488"/>
        <c:scaling>
          <c:logBase val="10"/>
          <c:orientation val="minMax"/>
        </c:scaling>
        <c:delete val="1"/>
        <c:axPos val="b"/>
        <c:numFmt formatCode="General" sourceLinked="1"/>
        <c:majorTickMark val="out"/>
        <c:minorTickMark val="none"/>
        <c:tickLblPos val="none"/>
        <c:crossAx val="176945024"/>
        <c:crosses val="autoZero"/>
        <c:crossBetween val="midCat"/>
      </c:valAx>
      <c:valAx>
        <c:axId val="176945024"/>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71185667010505"/>
              <c:y val="0.3662343116201382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43488"/>
        <c:crosses val="max"/>
        <c:crossBetween val="midCat"/>
      </c:valAx>
      <c:spPr>
        <a:noFill/>
        <a:ln w="12700">
          <a:solidFill>
            <a:srgbClr val="808080"/>
          </a:solidFill>
          <a:prstDash val="solid"/>
        </a:ln>
      </c:spPr>
    </c:plotArea>
    <c:legend>
      <c:legendPos val="t"/>
      <c:layout>
        <c:manualLayout>
          <c:xMode val="edge"/>
          <c:yMode val="edge"/>
          <c:x val="0.70471147628286246"/>
          <c:y val="1.2987012987012988E-2"/>
          <c:w val="0.275362889421434"/>
          <c:h val="0.1454548181477332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 MOSFET Temp Rise</a:t>
            </a:r>
          </a:p>
        </c:rich>
      </c:tx>
      <c:layout>
        <c:manualLayout>
          <c:xMode val="edge"/>
          <c:yMode val="edge"/>
          <c:x val="0.42444773564332877"/>
          <c:y val="5.7239057239057242E-2"/>
        </c:manualLayout>
      </c:layout>
      <c:overlay val="0"/>
      <c:spPr>
        <a:noFill/>
        <a:ln w="25400">
          <a:noFill/>
        </a:ln>
      </c:spPr>
    </c:title>
    <c:autoTitleDeleted val="0"/>
    <c:plotArea>
      <c:layout>
        <c:manualLayout>
          <c:layoutTarget val="inner"/>
          <c:xMode val="edge"/>
          <c:yMode val="edge"/>
          <c:x val="0.13531808670268541"/>
          <c:y val="0.15757606845026306"/>
          <c:w val="0.84573804189178381"/>
          <c:h val="0.71717313204926625"/>
        </c:manualLayout>
      </c:layout>
      <c:scatterChart>
        <c:scatterStyle val="lineMarker"/>
        <c:varyColors val="0"/>
        <c:ser>
          <c:idx val="0"/>
          <c:order val="0"/>
          <c:tx>
            <c:v>Top FET</c:v>
          </c:tx>
          <c:spPr>
            <a:ln w="38100">
              <a:solidFill>
                <a:srgbClr val="00008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Calculations'!$AR$9:$AR$209</c:f>
              <c:numCache>
                <c:formatCode>0.0</c:formatCode>
                <c:ptCount val="201"/>
                <c:pt idx="0">
                  <c:v>2.7267627125696077</c:v>
                </c:pt>
                <c:pt idx="1">
                  <c:v>3.0365761656734125</c:v>
                </c:pt>
                <c:pt idx="2">
                  <c:v>3.3465060789244867</c:v>
                </c:pt>
                <c:pt idx="3">
                  <c:v>3.6565529020421104</c:v>
                </c:pt>
                <c:pt idx="4">
                  <c:v>3.9667170851798086</c:v>
                </c:pt>
                <c:pt idx="5">
                  <c:v>4.2769990789275534</c:v>
                </c:pt>
                <c:pt idx="6">
                  <c:v>4.5873993343139166</c:v>
                </c:pt>
                <c:pt idx="7">
                  <c:v>4.8979183028082653</c:v>
                </c:pt>
                <c:pt idx="8">
                  <c:v>5.2085564363229562</c:v>
                </c:pt>
                <c:pt idx="9">
                  <c:v>5.5193141872154934</c:v>
                </c:pt>
                <c:pt idx="10">
                  <c:v>5.8301920082907595</c:v>
                </c:pt>
                <c:pt idx="11">
                  <c:v>6.1411903528031919</c:v>
                </c:pt>
                <c:pt idx="12">
                  <c:v>6.4523096744589807</c:v>
                </c:pt>
                <c:pt idx="13">
                  <c:v>6.7635504274182949</c:v>
                </c:pt>
                <c:pt idx="14">
                  <c:v>7.0749130662974729</c:v>
                </c:pt>
                <c:pt idx="15">
                  <c:v>7.3863980461712329</c:v>
                </c:pt>
                <c:pt idx="16">
                  <c:v>7.6980058225749133</c:v>
                </c:pt>
                <c:pt idx="17">
                  <c:v>8.0097368515066805</c:v>
                </c:pt>
                <c:pt idx="18">
                  <c:v>8.3215915894297421</c:v>
                </c:pt>
                <c:pt idx="19">
                  <c:v>8.6335704932745969</c:v>
                </c:pt>
                <c:pt idx="20">
                  <c:v>8.9456740204412633</c:v>
                </c:pt>
                <c:pt idx="21">
                  <c:v>9.2579026288015083</c:v>
                </c:pt>
                <c:pt idx="22">
                  <c:v>9.5702567767011075</c:v>
                </c:pt>
                <c:pt idx="23">
                  <c:v>9.7534179625585899</c:v>
                </c:pt>
                <c:pt idx="24">
                  <c:v>9.8686597453251945</c:v>
                </c:pt>
                <c:pt idx="25">
                  <c:v>9.9840239326631099</c:v>
                </c:pt>
                <c:pt idx="26">
                  <c:v>10.099510711522376</c:v>
                </c:pt>
                <c:pt idx="27">
                  <c:v>10.215120269242114</c:v>
                </c:pt>
                <c:pt idx="28">
                  <c:v>10.33085279355152</c:v>
                </c:pt>
                <c:pt idx="29">
                  <c:v>10.446708472570874</c:v>
                </c:pt>
                <c:pt idx="30">
                  <c:v>10.562687494812529</c:v>
                </c:pt>
                <c:pt idx="31">
                  <c:v>10.678790049181929</c:v>
                </c:pt>
                <c:pt idx="32">
                  <c:v>10.795016324978612</c:v>
                </c:pt>
                <c:pt idx="33">
                  <c:v>10.911366511897223</c:v>
                </c:pt>
                <c:pt idx="34">
                  <c:v>11.02784080002853</c:v>
                </c:pt>
                <c:pt idx="35">
                  <c:v>11.14443937986044</c:v>
                </c:pt>
                <c:pt idx="36">
                  <c:v>11.261162442279028</c:v>
                </c:pt>
                <c:pt idx="37">
                  <c:v>11.378010178569548</c:v>
                </c:pt>
                <c:pt idx="38">
                  <c:v>11.494982780417482</c:v>
                </c:pt>
                <c:pt idx="39">
                  <c:v>11.612080439909546</c:v>
                </c:pt>
                <c:pt idx="40">
                  <c:v>11.729303349534746</c:v>
                </c:pt>
                <c:pt idx="41">
                  <c:v>11.846651702185403</c:v>
                </c:pt>
                <c:pt idx="42">
                  <c:v>11.9641256911582</c:v>
                </c:pt>
                <c:pt idx="43">
                  <c:v>12.081725510155232</c:v>
                </c:pt>
                <c:pt idx="44">
                  <c:v>12.199451353285031</c:v>
                </c:pt>
                <c:pt idx="45">
                  <c:v>12.317303415063639</c:v>
                </c:pt>
                <c:pt idx="46">
                  <c:v>12.435281890415666</c:v>
                </c:pt>
                <c:pt idx="47">
                  <c:v>12.553386974675321</c:v>
                </c:pt>
                <c:pt idx="48">
                  <c:v>12.671618863587494</c:v>
                </c:pt>
                <c:pt idx="49">
                  <c:v>12.789977753308824</c:v>
                </c:pt>
                <c:pt idx="50">
                  <c:v>12.908463840408736</c:v>
                </c:pt>
                <c:pt idx="51">
                  <c:v>13.02707732187055</c:v>
                </c:pt>
                <c:pt idx="52">
                  <c:v>13.14581839509254</c:v>
                </c:pt>
                <c:pt idx="53">
                  <c:v>13.264687257889001</c:v>
                </c:pt>
                <c:pt idx="54">
                  <c:v>13.383684108491343</c:v>
                </c:pt>
                <c:pt idx="55">
                  <c:v>13.502809145549167</c:v>
                </c:pt>
                <c:pt idx="56">
                  <c:v>13.622062568131362</c:v>
                </c:pt>
                <c:pt idx="57">
                  <c:v>13.74144457572719</c:v>
                </c:pt>
                <c:pt idx="58">
                  <c:v>13.860955368247385</c:v>
                </c:pt>
                <c:pt idx="59">
                  <c:v>13.980595146025243</c:v>
                </c:pt>
                <c:pt idx="60">
                  <c:v>14.100364109817736</c:v>
                </c:pt>
                <c:pt idx="61">
                  <c:v>14.220262460806598</c:v>
                </c:pt>
                <c:pt idx="62">
                  <c:v>14.340290400599464</c:v>
                </c:pt>
                <c:pt idx="63">
                  <c:v>14.460448131230951</c:v>
                </c:pt>
                <c:pt idx="64">
                  <c:v>14.580735855163788</c:v>
                </c:pt>
                <c:pt idx="65">
                  <c:v>14.701153775289939</c:v>
                </c:pt>
                <c:pt idx="66">
                  <c:v>14.821702094931721</c:v>
                </c:pt>
                <c:pt idx="67">
                  <c:v>14.942381017842923</c:v>
                </c:pt>
                <c:pt idx="68">
                  <c:v>15.063190748209946</c:v>
                </c:pt>
                <c:pt idx="69">
                  <c:v>15.184131490652938</c:v>
                </c:pt>
                <c:pt idx="70">
                  <c:v>15.305203450226923</c:v>
                </c:pt>
                <c:pt idx="71">
                  <c:v>15.426406832422954</c:v>
                </c:pt>
                <c:pt idx="72">
                  <c:v>15.547741843169238</c:v>
                </c:pt>
                <c:pt idx="73">
                  <c:v>15.669208688832292</c:v>
                </c:pt>
                <c:pt idx="74">
                  <c:v>15.790807576218111</c:v>
                </c:pt>
                <c:pt idx="75">
                  <c:v>15.912538712573307</c:v>
                </c:pt>
                <c:pt idx="76">
                  <c:v>16.034402305586266</c:v>
                </c:pt>
                <c:pt idx="77">
                  <c:v>16.156398563388311</c:v>
                </c:pt>
                <c:pt idx="78">
                  <c:v>16.278527694554885</c:v>
                </c:pt>
                <c:pt idx="79">
                  <c:v>16.400789908106706</c:v>
                </c:pt>
                <c:pt idx="80">
                  <c:v>16.523185413510941</c:v>
                </c:pt>
                <c:pt idx="81">
                  <c:v>16.645714420682385</c:v>
                </c:pt>
                <c:pt idx="82">
                  <c:v>16.768377139984651</c:v>
                </c:pt>
                <c:pt idx="83">
                  <c:v>16.891173782231348</c:v>
                </c:pt>
                <c:pt idx="84">
                  <c:v>17.014104558687269</c:v>
                </c:pt>
                <c:pt idx="85">
                  <c:v>17.137169681069579</c:v>
                </c:pt>
                <c:pt idx="86">
                  <c:v>17.260369361549031</c:v>
                </c:pt>
                <c:pt idx="87">
                  <c:v>17.383703812751143</c:v>
                </c:pt>
                <c:pt idx="88">
                  <c:v>17.507173247757425</c:v>
                </c:pt>
                <c:pt idx="89">
                  <c:v>17.630777880106553</c:v>
                </c:pt>
                <c:pt idx="90">
                  <c:v>17.754517923795621</c:v>
                </c:pt>
                <c:pt idx="91">
                  <c:v>17.878393593281345</c:v>
                </c:pt>
                <c:pt idx="92">
                  <c:v>18.002405103481262</c:v>
                </c:pt>
                <c:pt idx="93">
                  <c:v>18.126552669774966</c:v>
                </c:pt>
                <c:pt idx="94">
                  <c:v>18.250836508005353</c:v>
                </c:pt>
                <c:pt idx="95">
                  <c:v>18.375256834479838</c:v>
                </c:pt>
                <c:pt idx="96">
                  <c:v>18.499813865971582</c:v>
                </c:pt>
                <c:pt idx="97">
                  <c:v>18.624507819720741</c:v>
                </c:pt>
                <c:pt idx="98">
                  <c:v>18.749338913435711</c:v>
                </c:pt>
                <c:pt idx="99">
                  <c:v>18.874307365294385</c:v>
                </c:pt>
                <c:pt idx="100">
                  <c:v>18.999413393945368</c:v>
                </c:pt>
                <c:pt idx="101">
                  <c:v>19.124657218509292</c:v>
                </c:pt>
                <c:pt idx="102">
                  <c:v>19.250039058580011</c:v>
                </c:pt>
                <c:pt idx="103">
                  <c:v>19.375559134225913</c:v>
                </c:pt>
                <c:pt idx="104">
                  <c:v>19.50121766599117</c:v>
                </c:pt>
                <c:pt idx="105">
                  <c:v>19.627014874897007</c:v>
                </c:pt>
                <c:pt idx="106">
                  <c:v>19.752950982442986</c:v>
                </c:pt>
                <c:pt idx="107">
                  <c:v>19.87902621060827</c:v>
                </c:pt>
                <c:pt idx="108">
                  <c:v>20.005240781852944</c:v>
                </c:pt>
                <c:pt idx="109">
                  <c:v>20.131594919119255</c:v>
                </c:pt>
                <c:pt idx="110">
                  <c:v>20.258088845832944</c:v>
                </c:pt>
                <c:pt idx="111">
                  <c:v>20.384722785904522</c:v>
                </c:pt>
                <c:pt idx="112">
                  <c:v>20.511496963730583</c:v>
                </c:pt>
                <c:pt idx="113">
                  <c:v>20.638411604195102</c:v>
                </c:pt>
                <c:pt idx="114">
                  <c:v>20.765466932670744</c:v>
                </c:pt>
                <c:pt idx="115">
                  <c:v>20.892663175020175</c:v>
                </c:pt>
                <c:pt idx="116">
                  <c:v>21.020000557597406</c:v>
                </c:pt>
                <c:pt idx="117">
                  <c:v>21.147479307249071</c:v>
                </c:pt>
                <c:pt idx="118">
                  <c:v>21.275099651315802</c:v>
                </c:pt>
                <c:pt idx="119">
                  <c:v>21.402861817633507</c:v>
                </c:pt>
                <c:pt idx="120">
                  <c:v>21.530766034534775</c:v>
                </c:pt>
                <c:pt idx="121">
                  <c:v>21.658812530850135</c:v>
                </c:pt>
                <c:pt idx="122">
                  <c:v>21.787001535909457</c:v>
                </c:pt>
                <c:pt idx="123">
                  <c:v>21.915333279543294</c:v>
                </c:pt>
                <c:pt idx="124">
                  <c:v>22.043807992084222</c:v>
                </c:pt>
                <c:pt idx="125">
                  <c:v>22.172425904368179</c:v>
                </c:pt>
                <c:pt idx="126">
                  <c:v>22.301187247735889</c:v>
                </c:pt>
                <c:pt idx="127">
                  <c:v>22.43009225403415</c:v>
                </c:pt>
                <c:pt idx="128">
                  <c:v>22.559141155617262</c:v>
                </c:pt>
                <c:pt idx="129">
                  <c:v>22.688334185348381</c:v>
                </c:pt>
                <c:pt idx="130">
                  <c:v>22.817671576600908</c:v>
                </c:pt>
                <c:pt idx="131">
                  <c:v>22.947153563259846</c:v>
                </c:pt>
                <c:pt idx="132">
                  <c:v>23.076780379723235</c:v>
                </c:pt>
                <c:pt idx="133">
                  <c:v>23.2065522609035</c:v>
                </c:pt>
                <c:pt idx="134">
                  <c:v>23.336469442228875</c:v>
                </c:pt>
                <c:pt idx="135">
                  <c:v>23.466532159644807</c:v>
                </c:pt>
                <c:pt idx="136">
                  <c:v>23.596740649615342</c:v>
                </c:pt>
                <c:pt idx="137">
                  <c:v>23.727095149124562</c:v>
                </c:pt>
                <c:pt idx="138">
                  <c:v>23.857595895677981</c:v>
                </c:pt>
                <c:pt idx="139">
                  <c:v>23.988243127304003</c:v>
                </c:pt>
                <c:pt idx="140">
                  <c:v>24.119037082555273</c:v>
                </c:pt>
                <c:pt idx="141">
                  <c:v>24.249978000510193</c:v>
                </c:pt>
                <c:pt idx="142">
                  <c:v>24.3810661207743</c:v>
                </c:pt>
                <c:pt idx="143">
                  <c:v>24.512301683481734</c:v>
                </c:pt>
                <c:pt idx="144">
                  <c:v>24.643684929296676</c:v>
                </c:pt>
                <c:pt idx="145">
                  <c:v>24.775216099414781</c:v>
                </c:pt>
                <c:pt idx="146">
                  <c:v>24.906895435564667</c:v>
                </c:pt>
                <c:pt idx="147">
                  <c:v>25.038723180009328</c:v>
                </c:pt>
                <c:pt idx="148">
                  <c:v>25.170699575547655</c:v>
                </c:pt>
                <c:pt idx="149">
                  <c:v>25.302824865515849</c:v>
                </c:pt>
                <c:pt idx="150">
                  <c:v>25.435099293788948</c:v>
                </c:pt>
                <c:pt idx="151">
                  <c:v>25.567523104782236</c:v>
                </c:pt>
                <c:pt idx="152">
                  <c:v>25.700096543452805</c:v>
                </c:pt>
                <c:pt idx="153">
                  <c:v>25.832819855300976</c:v>
                </c:pt>
                <c:pt idx="154">
                  <c:v>25.965693286371849</c:v>
                </c:pt>
                <c:pt idx="155">
                  <c:v>26.098717083256755</c:v>
                </c:pt>
                <c:pt idx="156">
                  <c:v>26.231891493094807</c:v>
                </c:pt>
                <c:pt idx="157">
                  <c:v>26.365216763574335</c:v>
                </c:pt>
                <c:pt idx="158">
                  <c:v>26.498693142934489</c:v>
                </c:pt>
                <c:pt idx="159">
                  <c:v>26.632320879966692</c:v>
                </c:pt>
                <c:pt idx="160">
                  <c:v>26.766100224016178</c:v>
                </c:pt>
                <c:pt idx="161">
                  <c:v>26.900031424983545</c:v>
                </c:pt>
                <c:pt idx="162">
                  <c:v>27.03411473332627</c:v>
                </c:pt>
                <c:pt idx="163">
                  <c:v>27.16835040006022</c:v>
                </c:pt>
                <c:pt idx="164">
                  <c:v>27.302738676761262</c:v>
                </c:pt>
                <c:pt idx="165">
                  <c:v>27.43727981556675</c:v>
                </c:pt>
                <c:pt idx="166">
                  <c:v>27.571974069177113</c:v>
                </c:pt>
                <c:pt idx="167">
                  <c:v>27.706821690857403</c:v>
                </c:pt>
                <c:pt idx="168">
                  <c:v>27.841822934438859</c:v>
                </c:pt>
                <c:pt idx="169">
                  <c:v>27.976978054320483</c:v>
                </c:pt>
                <c:pt idx="170">
                  <c:v>28.112287305470595</c:v>
                </c:pt>
                <c:pt idx="171">
                  <c:v>28.247750943428478</c:v>
                </c:pt>
                <c:pt idx="172">
                  <c:v>28.383369224305856</c:v>
                </c:pt>
                <c:pt idx="173">
                  <c:v>28.519142404788571</c:v>
                </c:pt>
                <c:pt idx="174">
                  <c:v>28.655070742138157</c:v>
                </c:pt>
                <c:pt idx="175">
                  <c:v>28.791154494193432</c:v>
                </c:pt>
                <c:pt idx="176">
                  <c:v>28.927393919372115</c:v>
                </c:pt>
                <c:pt idx="177">
                  <c:v>29.063789276672431</c:v>
                </c:pt>
                <c:pt idx="178">
                  <c:v>29.200340825674708</c:v>
                </c:pt>
                <c:pt idx="179">
                  <c:v>29.337048826543079</c:v>
                </c:pt>
                <c:pt idx="180">
                  <c:v>29.473913540027013</c:v>
                </c:pt>
                <c:pt idx="181">
                  <c:v>29.610935227462988</c:v>
                </c:pt>
                <c:pt idx="182">
                  <c:v>29.748114150776168</c:v>
                </c:pt>
                <c:pt idx="183">
                  <c:v>29.885450572481997</c:v>
                </c:pt>
                <c:pt idx="184">
                  <c:v>30.022944755687874</c:v>
                </c:pt>
                <c:pt idx="185">
                  <c:v>30.160596964094793</c:v>
                </c:pt>
                <c:pt idx="186">
                  <c:v>30.298407461999023</c:v>
                </c:pt>
                <c:pt idx="187">
                  <c:v>30.436376514293755</c:v>
                </c:pt>
                <c:pt idx="188">
                  <c:v>30.574504386470831</c:v>
                </c:pt>
                <c:pt idx="189">
                  <c:v>30.712791344622335</c:v>
                </c:pt>
                <c:pt idx="190">
                  <c:v>30.851237655442336</c:v>
                </c:pt>
                <c:pt idx="191">
                  <c:v>30.989843586228588</c:v>
                </c:pt>
                <c:pt idx="192">
                  <c:v>31.128609404884187</c:v>
                </c:pt>
                <c:pt idx="193">
                  <c:v>31.267535379919277</c:v>
                </c:pt>
                <c:pt idx="194">
                  <c:v>31.406621780452792</c:v>
                </c:pt>
                <c:pt idx="195">
                  <c:v>31.545868876214133</c:v>
                </c:pt>
                <c:pt idx="196">
                  <c:v>31.68527693754492</c:v>
                </c:pt>
                <c:pt idx="197">
                  <c:v>31.824846235400695</c:v>
                </c:pt>
                <c:pt idx="198">
                  <c:v>31.964577041352634</c:v>
                </c:pt>
                <c:pt idx="199">
                  <c:v>32.104469627589324</c:v>
                </c:pt>
                <c:pt idx="200">
                  <c:v>32.244524266918525</c:v>
                </c:pt>
              </c:numCache>
            </c:numRef>
          </c:yVal>
          <c:smooth val="0"/>
          <c:extLst>
            <c:ext xmlns:c16="http://schemas.microsoft.com/office/drawing/2014/chart" uri="{C3380CC4-5D6E-409C-BE32-E72D297353CC}">
              <c16:uniqueId val="{00000000-9EA1-4F4F-9ACD-6AF9DCA0F73F}"/>
            </c:ext>
          </c:extLst>
        </c:ser>
        <c:ser>
          <c:idx val="1"/>
          <c:order val="1"/>
          <c:tx>
            <c:v>Bottom FET</c:v>
          </c:tx>
          <c:spPr>
            <a:ln w="25400">
              <a:solidFill>
                <a:srgbClr val="FF000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Calculations'!$AS$9:$AS$209</c:f>
              <c:numCache>
                <c:formatCode>0.0</c:formatCode>
                <c:ptCount val="201"/>
                <c:pt idx="0">
                  <c:v>0.27629894941809385</c:v>
                </c:pt>
                <c:pt idx="1">
                  <c:v>0.28733291972013814</c:v>
                </c:pt>
                <c:pt idx="2">
                  <c:v>0.29879270605761277</c:v>
                </c:pt>
                <c:pt idx="3">
                  <c:v>0.31067834788940107</c:v>
                </c:pt>
                <c:pt idx="4">
                  <c:v>0.322989889017265</c:v>
                </c:pt>
                <c:pt idx="5">
                  <c:v>0.33572737758630328</c:v>
                </c:pt>
                <c:pt idx="6">
                  <c:v>0.34889086608552139</c:v>
                </c:pt>
                <c:pt idx="7">
                  <c:v>0.36248041134851028</c:v>
                </c:pt>
                <c:pt idx="8">
                  <c:v>0.37649607455423728</c:v>
                </c:pt>
                <c:pt idx="9">
                  <c:v>0.39093792122794813</c:v>
                </c:pt>
                <c:pt idx="10">
                  <c:v>0.40580602124217768</c:v>
                </c:pt>
                <c:pt idx="11">
                  <c:v>0.42110044881787445</c:v>
                </c:pt>
                <c:pt idx="12">
                  <c:v>0.43682128252563424</c:v>
                </c:pt>
                <c:pt idx="13">
                  <c:v>0.45296860528704386</c:v>
                </c:pt>
                <c:pt idx="14">
                  <c:v>0.46954250437613892</c:v>
                </c:pt>
                <c:pt idx="15">
                  <c:v>0.48654307142096942</c:v>
                </c:pt>
                <c:pt idx="16">
                  <c:v>0.50397040240527835</c:v>
                </c:pt>
                <c:pt idx="17">
                  <c:v>0.52182459767029066</c:v>
                </c:pt>
                <c:pt idx="18">
                  <c:v>0.54010576191661397</c:v>
                </c:pt>
                <c:pt idx="19">
                  <c:v>0.55881400420625016</c:v>
                </c:pt>
                <c:pt idx="20">
                  <c:v>0.57794943796471876</c:v>
                </c:pt>
                <c:pt idx="21">
                  <c:v>0.59751218098329129</c:v>
                </c:pt>
                <c:pt idx="22">
                  <c:v>0.61750235542133769</c:v>
                </c:pt>
                <c:pt idx="23">
                  <c:v>0.64499064068261813</c:v>
                </c:pt>
                <c:pt idx="24">
                  <c:v>0.67662756361146204</c:v>
                </c:pt>
                <c:pt idx="25">
                  <c:v>0.70869322252202194</c:v>
                </c:pt>
                <c:pt idx="26">
                  <c:v>0.74118781222618724</c:v>
                </c:pt>
                <c:pt idx="27">
                  <c:v>0.7741115319327555</c:v>
                </c:pt>
                <c:pt idx="28">
                  <c:v>0.80746458525138942</c:v>
                </c:pt>
                <c:pt idx="29">
                  <c:v>0.84124718019668843</c:v>
                </c:pt>
                <c:pt idx="30">
                  <c:v>0.87545952919237302</c:v>
                </c:pt>
                <c:pt idx="31">
                  <c:v>0.91010184907558156</c:v>
                </c:pt>
                <c:pt idx="32">
                  <c:v>0.94517436110128172</c:v>
                </c:pt>
                <c:pt idx="33">
                  <c:v>0.98067729094679523</c:v>
                </c:pt>
                <c:pt idx="34">
                  <c:v>1.0166108687164368</c:v>
                </c:pt>
                <c:pt idx="35">
                  <c:v>1.0529753289462644</c:v>
                </c:pt>
                <c:pt idx="36">
                  <c:v>1.0897709106089497</c:v>
                </c:pt>
                <c:pt idx="37">
                  <c:v>1.1269978571187538</c:v>
                </c:pt>
                <c:pt idx="38">
                  <c:v>1.1646564163366289</c:v>
                </c:pt>
                <c:pt idx="39">
                  <c:v>1.2027468405754231</c:v>
                </c:pt>
                <c:pt idx="40">
                  <c:v>1.2412693866052111</c:v>
                </c:pt>
                <c:pt idx="41">
                  <c:v>1.2802243156587292</c:v>
                </c:pt>
                <c:pt idx="42">
                  <c:v>1.3196118934369392</c:v>
                </c:pt>
                <c:pt idx="43">
                  <c:v>1.359432390114693</c:v>
                </c:pt>
                <c:pt idx="44">
                  <c:v>1.3996860803465263</c:v>
                </c:pt>
                <c:pt idx="45">
                  <c:v>1.4403732432725591</c:v>
                </c:pt>
                <c:pt idx="46">
                  <c:v>1.4814941625245197</c:v>
                </c:pt>
                <c:pt idx="47">
                  <c:v>1.5230491262318808</c:v>
                </c:pt>
                <c:pt idx="48">
                  <c:v>1.5650384270281141</c:v>
                </c:pt>
                <c:pt idx="49">
                  <c:v>1.6074623620570634</c:v>
                </c:pt>
                <c:pt idx="50">
                  <c:v>1.6503212329794323</c:v>
                </c:pt>
                <c:pt idx="51">
                  <c:v>1.6936153459793946</c:v>
                </c:pt>
                <c:pt idx="52">
                  <c:v>1.7373450117713174</c:v>
                </c:pt>
                <c:pt idx="53">
                  <c:v>1.7815105456066058</c:v>
                </c:pt>
                <c:pt idx="54">
                  <c:v>1.8261122672806687</c:v>
                </c:pt>
                <c:pt idx="55">
                  <c:v>1.8711505011399947</c:v>
                </c:pt>
                <c:pt idx="56">
                  <c:v>1.9166255760893609</c:v>
                </c:pt>
                <c:pt idx="57">
                  <c:v>1.9625378255991477</c:v>
                </c:pt>
                <c:pt idx="58">
                  <c:v>2.0088875877127825</c:v>
                </c:pt>
                <c:pt idx="59">
                  <c:v>2.0556752050543041</c:v>
                </c:pt>
                <c:pt idx="60">
                  <c:v>2.1029010248360365</c:v>
                </c:pt>
                <c:pt idx="61">
                  <c:v>2.1505653988664033</c:v>
                </c:pt>
                <c:pt idx="62">
                  <c:v>2.198668683557842</c:v>
                </c:pt>
                <c:pt idx="63">
                  <c:v>2.2472112399348574</c:v>
                </c:pt>
                <c:pt idx="64">
                  <c:v>2.2961934336421868</c:v>
                </c:pt>
                <c:pt idx="65">
                  <c:v>2.345615634953091</c:v>
                </c:pt>
                <c:pt idx="66">
                  <c:v>2.3954782187777699</c:v>
                </c:pt>
                <c:pt idx="67">
                  <c:v>2.4457815646718979</c:v>
                </c:pt>
                <c:pt idx="68">
                  <c:v>2.4965260568452825</c:v>
                </c:pt>
                <c:pt idx="69">
                  <c:v>2.547712084170656</c:v>
                </c:pt>
                <c:pt idx="70">
                  <c:v>2.5993400401925757</c:v>
                </c:pt>
                <c:pt idx="71">
                  <c:v>2.651410323136465</c:v>
                </c:pt>
                <c:pt idx="72">
                  <c:v>2.7039233359177675</c:v>
                </c:pt>
                <c:pt idx="73">
                  <c:v>2.7568794861512318</c:v>
                </c:pt>
                <c:pt idx="74">
                  <c:v>2.8102791861603271</c:v>
                </c:pt>
                <c:pt idx="75">
                  <c:v>2.8641228529867768</c:v>
                </c:pt>
                <c:pt idx="76">
                  <c:v>2.9184109084002205</c:v>
                </c:pt>
                <c:pt idx="77">
                  <c:v>2.9731437789080091</c:v>
                </c:pt>
                <c:pt idx="78">
                  <c:v>3.0283218957651243</c:v>
                </c:pt>
                <c:pt idx="79">
                  <c:v>3.0839456949842252</c:v>
                </c:pt>
                <c:pt idx="80">
                  <c:v>3.140015617345822</c:v>
                </c:pt>
                <c:pt idx="81">
                  <c:v>3.1965321084085834</c:v>
                </c:pt>
                <c:pt idx="82">
                  <c:v>3.2534956185197741</c:v>
                </c:pt>
                <c:pt idx="83">
                  <c:v>3.3109066028258178</c:v>
                </c:pt>
                <c:pt idx="84">
                  <c:v>3.3687655212829961</c:v>
                </c:pt>
                <c:pt idx="85">
                  <c:v>3.427072838668265</c:v>
                </c:pt>
                <c:pt idx="86">
                  <c:v>3.485829024590231</c:v>
                </c:pt>
                <c:pt idx="87">
                  <c:v>3.5450345535002259</c:v>
                </c:pt>
                <c:pt idx="88">
                  <c:v>3.604689904703541</c:v>
                </c:pt>
                <c:pt idx="89">
                  <c:v>3.6647955623707769</c:v>
                </c:pt>
                <c:pt idx="90">
                  <c:v>3.7253520155493409</c:v>
                </c:pt>
                <c:pt idx="91">
                  <c:v>3.7863597581750628</c:v>
                </c:pt>
                <c:pt idx="92">
                  <c:v>3.8478192890839638</c:v>
                </c:pt>
                <c:pt idx="93">
                  <c:v>3.9097311120241445</c:v>
                </c:pt>
                <c:pt idx="94">
                  <c:v>3.9720957356678204</c:v>
                </c:pt>
                <c:pt idx="95">
                  <c:v>4.0349136736234819</c:v>
                </c:pt>
                <c:pt idx="96">
                  <c:v>4.0981854444482089</c:v>
                </c:pt>
                <c:pt idx="97">
                  <c:v>4.1619115716601049</c:v>
                </c:pt>
                <c:pt idx="98">
                  <c:v>4.2260925837508774</c:v>
                </c:pt>
                <c:pt idx="99">
                  <c:v>4.2907290141985621</c:v>
                </c:pt>
                <c:pt idx="100">
                  <c:v>4.3558214014803793</c:v>
                </c:pt>
                <c:pt idx="101">
                  <c:v>4.421370289085722</c:v>
                </c:pt>
                <c:pt idx="102">
                  <c:v>4.487376225529311</c:v>
                </c:pt>
                <c:pt idx="103">
                  <c:v>4.5538397643644686</c:v>
                </c:pt>
                <c:pt idx="104">
                  <c:v>4.6207614641965344</c:v>
                </c:pt>
                <c:pt idx="105">
                  <c:v>4.6881418886964372</c:v>
                </c:pt>
                <c:pt idx="106">
                  <c:v>4.7559816066143989</c:v>
                </c:pt>
                <c:pt idx="107">
                  <c:v>4.8242811917937924</c:v>
                </c:pt>
                <c:pt idx="108">
                  <c:v>4.8930412231851257</c:v>
                </c:pt>
                <c:pt idx="109">
                  <c:v>4.9622622848601967</c:v>
                </c:pt>
                <c:pt idx="110">
                  <c:v>5.0319449660263675</c:v>
                </c:pt>
                <c:pt idx="111">
                  <c:v>5.1020898610410068</c:v>
                </c:pt>
                <c:pt idx="112">
                  <c:v>5.1726975694260693</c:v>
                </c:pt>
                <c:pt idx="113">
                  <c:v>5.2437686958828174</c:v>
                </c:pt>
                <c:pt idx="114">
                  <c:v>5.3153038503067096</c:v>
                </c:pt>
                <c:pt idx="115">
                  <c:v>5.3873036478024146</c:v>
                </c:pt>
                <c:pt idx="116">
                  <c:v>5.4597687086989986</c:v>
                </c:pt>
                <c:pt idx="117">
                  <c:v>5.5326996585652477</c:v>
                </c:pt>
                <c:pt idx="118">
                  <c:v>5.6060971282251435</c:v>
                </c:pt>
                <c:pt idx="119">
                  <c:v>5.6799617537734992</c:v>
                </c:pt>
                <c:pt idx="120">
                  <c:v>5.7542941765917428</c:v>
                </c:pt>
                <c:pt idx="121">
                  <c:v>5.8290950433638571</c:v>
                </c:pt>
                <c:pt idx="122">
                  <c:v>5.9043650060924646</c:v>
                </c:pt>
                <c:pt idx="123">
                  <c:v>5.980104722115084</c:v>
                </c:pt>
                <c:pt idx="124">
                  <c:v>6.0563148541205294</c:v>
                </c:pt>
                <c:pt idx="125">
                  <c:v>6.1329960701654702</c:v>
                </c:pt>
                <c:pt idx="126">
                  <c:v>6.2101490436911577</c:v>
                </c:pt>
                <c:pt idx="127">
                  <c:v>6.2877744535402913</c:v>
                </c:pt>
                <c:pt idx="128">
                  <c:v>6.365872983974068</c:v>
                </c:pt>
                <c:pt idx="129">
                  <c:v>6.4444453246893616</c:v>
                </c:pt>
                <c:pt idx="130">
                  <c:v>6.5234921708360982</c:v>
                </c:pt>
                <c:pt idx="131">
                  <c:v>6.6030142230347701</c:v>
                </c:pt>
                <c:pt idx="132">
                  <c:v>6.6830121873941151</c:v>
                </c:pt>
                <c:pt idx="133">
                  <c:v>6.7634867755289676</c:v>
                </c:pt>
                <c:pt idx="134">
                  <c:v>6.8444387045782689</c:v>
                </c:pt>
                <c:pt idx="135">
                  <c:v>6.9258686972232422</c:v>
                </c:pt>
                <c:pt idx="136">
                  <c:v>7.0077774817057294</c:v>
                </c:pt>
                <c:pt idx="137">
                  <c:v>7.090165791846724</c:v>
                </c:pt>
                <c:pt idx="138">
                  <c:v>7.1730343670650152</c:v>
                </c:pt>
                <c:pt idx="139">
                  <c:v>7.2563839523960709</c:v>
                </c:pt>
                <c:pt idx="140">
                  <c:v>7.3402152985110245</c:v>
                </c:pt>
                <c:pt idx="141">
                  <c:v>7.4245291617358902</c:v>
                </c:pt>
                <c:pt idx="142">
                  <c:v>7.5093263040708997</c:v>
                </c:pt>
                <c:pt idx="143">
                  <c:v>7.5946074932100522</c:v>
                </c:pt>
                <c:pt idx="144">
                  <c:v>7.6803735025608191</c:v>
                </c:pt>
                <c:pt idx="145">
                  <c:v>7.766625111264017</c:v>
                </c:pt>
                <c:pt idx="146">
                  <c:v>7.8533631042138827</c:v>
                </c:pt>
                <c:pt idx="147">
                  <c:v>7.9405882720782888</c:v>
                </c:pt>
                <c:pt idx="148">
                  <c:v>8.0283014113191697</c:v>
                </c:pt>
                <c:pt idx="149">
                  <c:v>8.1165033242131237</c:v>
                </c:pt>
                <c:pt idx="150">
                  <c:v>8.2051948188721529</c:v>
                </c:pt>
                <c:pt idx="151">
                  <c:v>8.2943767092646485</c:v>
                </c:pt>
                <c:pt idx="152">
                  <c:v>8.3840498152365175</c:v>
                </c:pt>
                <c:pt idx="153">
                  <c:v>8.4742149625324821</c:v>
                </c:pt>
                <c:pt idx="154">
                  <c:v>8.5648729828176151</c:v>
                </c:pt>
                <c:pt idx="155">
                  <c:v>8.6560247136990114</c:v>
                </c:pt>
                <c:pt idx="156">
                  <c:v>8.7476709987476511</c:v>
                </c:pt>
                <c:pt idx="157">
                  <c:v>8.8398126875204905</c:v>
                </c:pt>
                <c:pt idx="158">
                  <c:v>8.9324506355826809</c:v>
                </c:pt>
                <c:pt idx="159">
                  <c:v>9.0255857045300445</c:v>
                </c:pt>
                <c:pt idx="160">
                  <c:v>9.1192187620116751</c:v>
                </c:pt>
                <c:pt idx="161">
                  <c:v>9.2133506817527824</c:v>
                </c:pt>
                <c:pt idx="162">
                  <c:v>9.307982343577704</c:v>
                </c:pt>
                <c:pt idx="163">
                  <c:v>9.4031146334331197</c:v>
                </c:pt>
                <c:pt idx="164">
                  <c:v>9.4987484434114595</c:v>
                </c:pt>
                <c:pt idx="165">
                  <c:v>9.5948846717745013</c:v>
                </c:pt>
                <c:pt idx="166">
                  <c:v>9.6915242229771899</c:v>
                </c:pt>
                <c:pt idx="167">
                  <c:v>9.7886680076916228</c:v>
                </c:pt>
                <c:pt idx="168">
                  <c:v>9.8863169428312698</c:v>
                </c:pt>
                <c:pt idx="169">
                  <c:v>9.984471951575367</c:v>
                </c:pt>
                <c:pt idx="170">
                  <c:v>10.083133963393536</c:v>
                </c:pt>
                <c:pt idx="171">
                  <c:v>10.182303914070591</c:v>
                </c:pt>
                <c:pt idx="172">
                  <c:v>10.28198274573155</c:v>
                </c:pt>
                <c:pt idx="173">
                  <c:v>10.382171406866886</c:v>
                </c:pt>
                <c:pt idx="174">
                  <c:v>10.482870852357943</c:v>
                </c:pt>
                <c:pt idx="175">
                  <c:v>10.584082043502567</c:v>
                </c:pt>
                <c:pt idx="176">
                  <c:v>10.685805948041013</c:v>
                </c:pt>
                <c:pt idx="177">
                  <c:v>10.788043540181954</c:v>
                </c:pt>
                <c:pt idx="178">
                  <c:v>10.890795800628801</c:v>
                </c:pt>
                <c:pt idx="179">
                  <c:v>10.994063716606197</c:v>
                </c:pt>
                <c:pt idx="180">
                  <c:v>11.097848281886712</c:v>
                </c:pt>
                <c:pt idx="181">
                  <c:v>11.202150496817794</c:v>
                </c:pt>
                <c:pt idx="182">
                  <c:v>11.306971368348922</c:v>
                </c:pt>
                <c:pt idx="183">
                  <c:v>11.412311910058973</c:v>
                </c:pt>
                <c:pt idx="184">
                  <c:v>11.518173142183805</c:v>
                </c:pt>
                <c:pt idx="185">
                  <c:v>11.624556091644116</c:v>
                </c:pt>
                <c:pt idx="186">
                  <c:v>11.731461792073436</c:v>
                </c:pt>
                <c:pt idx="187">
                  <c:v>11.838891283846454</c:v>
                </c:pt>
                <c:pt idx="188">
                  <c:v>11.946845614107472</c:v>
                </c:pt>
                <c:pt idx="189">
                  <c:v>12.055325836799165</c:v>
                </c:pt>
                <c:pt idx="190">
                  <c:v>12.164333012691534</c:v>
                </c:pt>
                <c:pt idx="191">
                  <c:v>12.273868209411104</c:v>
                </c:pt>
                <c:pt idx="192">
                  <c:v>12.383932501470349</c:v>
                </c:pt>
                <c:pt idx="193">
                  <c:v>12.494526970297354</c:v>
                </c:pt>
                <c:pt idx="194">
                  <c:v>12.60565270426576</c:v>
                </c:pt>
                <c:pt idx="195">
                  <c:v>12.717310798724821</c:v>
                </c:pt>
                <c:pt idx="196">
                  <c:v>12.8295023560299</c:v>
                </c:pt>
                <c:pt idx="197">
                  <c:v>12.942228485573013</c:v>
                </c:pt>
                <c:pt idx="198">
                  <c:v>13.055490303813718</c:v>
                </c:pt>
                <c:pt idx="199">
                  <c:v>13.169288934310281</c:v>
                </c:pt>
                <c:pt idx="200">
                  <c:v>13.283625507750981</c:v>
                </c:pt>
              </c:numCache>
            </c:numRef>
          </c:yVal>
          <c:smooth val="0"/>
          <c:extLst>
            <c:ext xmlns:c16="http://schemas.microsoft.com/office/drawing/2014/chart" uri="{C3380CC4-5D6E-409C-BE32-E72D297353CC}">
              <c16:uniqueId val="{00000001-9EA1-4F4F-9ACD-6AF9DCA0F73F}"/>
            </c:ext>
          </c:extLst>
        </c:ser>
        <c:dLbls>
          <c:showLegendKey val="0"/>
          <c:showVal val="0"/>
          <c:showCatName val="0"/>
          <c:showSerName val="0"/>
          <c:showPercent val="0"/>
          <c:showBubbleSize val="0"/>
        </c:dLbls>
        <c:axId val="177513600"/>
        <c:axId val="177515520"/>
      </c:scatterChart>
      <c:valAx>
        <c:axId val="177513600"/>
        <c:scaling>
          <c:orientation val="minMax"/>
          <c:min val="0"/>
        </c:scaling>
        <c:delete val="0"/>
        <c:axPos val="b"/>
        <c:majorGridlines/>
        <c:title>
          <c:tx>
            <c:rich>
              <a:bodyPr/>
              <a:lstStyle/>
              <a:p>
                <a:pPr>
                  <a:defRPr sz="925" b="1" i="0" u="none" strike="noStrike" baseline="0">
                    <a:solidFill>
                      <a:srgbClr val="000000"/>
                    </a:solidFill>
                    <a:latin typeface="Arial"/>
                    <a:ea typeface="Arial"/>
                    <a:cs typeface="Arial"/>
                  </a:defRPr>
                </a:pPr>
                <a:r>
                  <a:rPr lang="en-US"/>
                  <a:t>Iout (A)</a:t>
                </a:r>
              </a:p>
            </c:rich>
          </c:tx>
          <c:layout>
            <c:manualLayout>
              <c:xMode val="edge"/>
              <c:yMode val="edge"/>
              <c:x val="0.52774047357748588"/>
              <c:y val="0.9353554442058379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77515520"/>
        <c:crosses val="autoZero"/>
        <c:crossBetween val="midCat"/>
      </c:valAx>
      <c:valAx>
        <c:axId val="177515520"/>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rgbClr val="000000"/>
                    </a:solidFill>
                    <a:latin typeface="Arial"/>
                    <a:ea typeface="Arial"/>
                    <a:cs typeface="Arial"/>
                  </a:defRPr>
                </a:pPr>
                <a:r>
                  <a:rPr lang="en-US"/>
                  <a:t>Temperature (°C)</a:t>
                </a:r>
              </a:p>
            </c:rich>
          </c:tx>
          <c:layout>
            <c:manualLayout>
              <c:xMode val="edge"/>
              <c:yMode val="edge"/>
              <c:x val="5.5931438881371219E-2"/>
              <c:y val="0.3797988281767809"/>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77513600"/>
        <c:crosses val="autoZero"/>
        <c:crossBetween val="midCat"/>
      </c:valAx>
      <c:spPr>
        <a:solidFill>
          <a:srgbClr val="C0C0C0"/>
        </a:solidFill>
        <a:ln w="12700">
          <a:solidFill>
            <a:srgbClr val="808080"/>
          </a:solidFill>
          <a:prstDash val="solid"/>
        </a:ln>
      </c:spPr>
    </c:plotArea>
    <c:legend>
      <c:legendPos val="t"/>
      <c:layout>
        <c:manualLayout>
          <c:xMode val="edge"/>
          <c:yMode val="edge"/>
          <c:x val="0.85385713118742423"/>
          <c:y val="1.0101010101010105E-2"/>
          <c:w val="0.14073085925152451"/>
          <c:h val="8.2828494922983206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 FET Power Disipation</a:t>
            </a:r>
          </a:p>
        </c:rich>
      </c:tx>
      <c:layout>
        <c:manualLayout>
          <c:xMode val="edge"/>
          <c:yMode val="edge"/>
          <c:x val="0.39872611464968688"/>
          <c:y val="3.0241935483871732E-2"/>
        </c:manualLayout>
      </c:layout>
      <c:overlay val="0"/>
      <c:spPr>
        <a:noFill/>
        <a:ln w="25400">
          <a:noFill/>
        </a:ln>
      </c:spPr>
    </c:title>
    <c:autoTitleDeleted val="0"/>
    <c:plotArea>
      <c:layout>
        <c:manualLayout>
          <c:layoutTarget val="inner"/>
          <c:xMode val="edge"/>
          <c:yMode val="edge"/>
          <c:x val="8.6624203821656268E-2"/>
          <c:y val="0.15927435034411094"/>
          <c:w val="0.8471337579617837"/>
          <c:h val="0.70362972493790654"/>
        </c:manualLayout>
      </c:layout>
      <c:scatterChart>
        <c:scatterStyle val="lineMarker"/>
        <c:varyColors val="0"/>
        <c:ser>
          <c:idx val="2"/>
          <c:order val="0"/>
          <c:tx>
            <c:v>Top FET</c:v>
          </c:tx>
          <c:spPr>
            <a:ln w="25400">
              <a:solidFill>
                <a:srgbClr val="00008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Calculations'!$AC$9:$AC$209</c:f>
              <c:numCache>
                <c:formatCode>0.0000</c:formatCode>
                <c:ptCount val="201"/>
                <c:pt idx="0">
                  <c:v>5.4535254251392155E-2</c:v>
                </c:pt>
                <c:pt idx="1">
                  <c:v>6.0731523313468254E-2</c:v>
                </c:pt>
                <c:pt idx="2">
                  <c:v>6.6930121578489737E-2</c:v>
                </c:pt>
                <c:pt idx="3">
                  <c:v>7.3131058040842203E-2</c:v>
                </c:pt>
                <c:pt idx="4">
                  <c:v>7.933434170359617E-2</c:v>
                </c:pt>
                <c:pt idx="5">
                  <c:v>8.5539981578551069E-2</c:v>
                </c:pt>
                <c:pt idx="6">
                  <c:v>9.1747986686278329E-2</c:v>
                </c:pt>
                <c:pt idx="7">
                  <c:v>9.7958366056165314E-2</c:v>
                </c:pt>
                <c:pt idx="8">
                  <c:v>0.10417112872645912</c:v>
                </c:pt>
                <c:pt idx="9">
                  <c:v>0.11038628374430987</c:v>
                </c:pt>
                <c:pt idx="10">
                  <c:v>0.1166038401658152</c:v>
                </c:pt>
                <c:pt idx="11">
                  <c:v>0.12282380705606384</c:v>
                </c:pt>
                <c:pt idx="12">
                  <c:v>0.12904619348917962</c:v>
                </c:pt>
                <c:pt idx="13">
                  <c:v>0.13527100854836591</c:v>
                </c:pt>
                <c:pt idx="14">
                  <c:v>0.14149826132594945</c:v>
                </c:pt>
                <c:pt idx="15">
                  <c:v>0.14772796092342466</c:v>
                </c:pt>
                <c:pt idx="16">
                  <c:v>0.15396011645149826</c:v>
                </c:pt>
                <c:pt idx="17">
                  <c:v>0.16019473703013359</c:v>
                </c:pt>
                <c:pt idx="18">
                  <c:v>0.16643183178859483</c:v>
                </c:pt>
                <c:pt idx="19">
                  <c:v>0.17267140986549195</c:v>
                </c:pt>
                <c:pt idx="20">
                  <c:v>0.17891348040882527</c:v>
                </c:pt>
                <c:pt idx="21">
                  <c:v>0.18515805257603016</c:v>
                </c:pt>
                <c:pt idx="22">
                  <c:v>0.19140513553402216</c:v>
                </c:pt>
                <c:pt idx="23">
                  <c:v>0.1950683592511718</c:v>
                </c:pt>
                <c:pt idx="24">
                  <c:v>0.1973731949065039</c:v>
                </c:pt>
                <c:pt idx="25">
                  <c:v>0.19968047865326222</c:v>
                </c:pt>
                <c:pt idx="26">
                  <c:v>0.20199021423044752</c:v>
                </c:pt>
                <c:pt idx="27">
                  <c:v>0.20430240538484226</c:v>
                </c:pt>
                <c:pt idx="28">
                  <c:v>0.20661705587103041</c:v>
                </c:pt>
                <c:pt idx="29">
                  <c:v>0.20893416945141749</c:v>
                </c:pt>
                <c:pt idx="30">
                  <c:v>0.21125374989625056</c:v>
                </c:pt>
                <c:pt idx="31">
                  <c:v>0.21357580098363857</c:v>
                </c:pt>
                <c:pt idx="32">
                  <c:v>0.21590032649957222</c:v>
                </c:pt>
                <c:pt idx="33">
                  <c:v>0.21822733023794447</c:v>
                </c:pt>
                <c:pt idx="34">
                  <c:v>0.22055681600057059</c:v>
                </c:pt>
                <c:pt idx="35">
                  <c:v>0.22288878759720882</c:v>
                </c:pt>
                <c:pt idx="36">
                  <c:v>0.22522324884558056</c:v>
                </c:pt>
                <c:pt idx="37">
                  <c:v>0.22756020357139098</c:v>
                </c:pt>
                <c:pt idx="38">
                  <c:v>0.22989965560834963</c:v>
                </c:pt>
                <c:pt idx="39">
                  <c:v>0.23224160879819092</c:v>
                </c:pt>
                <c:pt idx="40">
                  <c:v>0.23458606699069492</c:v>
                </c:pt>
                <c:pt idx="41">
                  <c:v>0.23693303404370805</c:v>
                </c:pt>
                <c:pt idx="42">
                  <c:v>0.23928251382316401</c:v>
                </c:pt>
                <c:pt idx="43">
                  <c:v>0.24163451020310464</c:v>
                </c:pt>
                <c:pt idx="44">
                  <c:v>0.24398902706570061</c:v>
                </c:pt>
                <c:pt idx="45">
                  <c:v>0.24634606830127279</c:v>
                </c:pt>
                <c:pt idx="46">
                  <c:v>0.24870563780831334</c:v>
                </c:pt>
                <c:pt idx="47">
                  <c:v>0.25106773949350641</c:v>
                </c:pt>
                <c:pt idx="48">
                  <c:v>0.25343237727174989</c:v>
                </c:pt>
                <c:pt idx="49">
                  <c:v>0.25579955506617646</c:v>
                </c:pt>
                <c:pt idx="50">
                  <c:v>0.2581692768081747</c:v>
                </c:pt>
                <c:pt idx="51">
                  <c:v>0.26054154643741101</c:v>
                </c:pt>
                <c:pt idx="52">
                  <c:v>0.2629163679018508</c:v>
                </c:pt>
                <c:pt idx="53">
                  <c:v>0.26529374515778004</c:v>
                </c:pt>
                <c:pt idx="54">
                  <c:v>0.26767368216982684</c:v>
                </c:pt>
                <c:pt idx="55">
                  <c:v>0.27005618291098332</c:v>
                </c:pt>
                <c:pt idx="56">
                  <c:v>0.27244125136262726</c:v>
                </c:pt>
                <c:pt idx="57">
                  <c:v>0.27482889151454382</c:v>
                </c:pt>
                <c:pt idx="58">
                  <c:v>0.2772191073649477</c:v>
                </c:pt>
                <c:pt idx="59">
                  <c:v>0.27961190292050486</c:v>
                </c:pt>
                <c:pt idx="60">
                  <c:v>0.28200728219635474</c:v>
                </c:pt>
                <c:pt idx="61">
                  <c:v>0.28440524921613197</c:v>
                </c:pt>
                <c:pt idx="62">
                  <c:v>0.28680580801198929</c:v>
                </c:pt>
                <c:pt idx="63">
                  <c:v>0.28920896262461904</c:v>
                </c:pt>
                <c:pt idx="64">
                  <c:v>0.29161471710327574</c:v>
                </c:pt>
                <c:pt idx="65">
                  <c:v>0.29402307550579876</c:v>
                </c:pt>
                <c:pt idx="66">
                  <c:v>0.29643404189863443</c:v>
                </c:pt>
                <c:pt idx="67">
                  <c:v>0.29884762035685847</c:v>
                </c:pt>
                <c:pt idx="68">
                  <c:v>0.30126381496419891</c:v>
                </c:pt>
                <c:pt idx="69">
                  <c:v>0.30368262981305877</c:v>
                </c:pt>
                <c:pt idx="70">
                  <c:v>0.30610406900453846</c:v>
                </c:pt>
                <c:pt idx="71">
                  <c:v>0.30852813664845907</c:v>
                </c:pt>
                <c:pt idx="72">
                  <c:v>0.31095483686338476</c:v>
                </c:pt>
                <c:pt idx="73">
                  <c:v>0.31338417377664585</c:v>
                </c:pt>
                <c:pt idx="74">
                  <c:v>0.31581615152436221</c:v>
                </c:pt>
                <c:pt idx="75">
                  <c:v>0.31825077425146614</c:v>
                </c:pt>
                <c:pt idx="76">
                  <c:v>0.3206880461117253</c:v>
                </c:pt>
                <c:pt idx="77">
                  <c:v>0.32312797126776621</c:v>
                </c:pt>
                <c:pt idx="78">
                  <c:v>0.32557055389109768</c:v>
                </c:pt>
                <c:pt idx="79">
                  <c:v>0.32801579816213411</c:v>
                </c:pt>
                <c:pt idx="80">
                  <c:v>0.33046370827021881</c:v>
                </c:pt>
                <c:pt idx="81">
                  <c:v>0.33291428841364767</c:v>
                </c:pt>
                <c:pt idx="82">
                  <c:v>0.335367542799693</c:v>
                </c:pt>
                <c:pt idx="83">
                  <c:v>0.337823475644627</c:v>
                </c:pt>
                <c:pt idx="84">
                  <c:v>0.34028209117374536</c:v>
                </c:pt>
                <c:pt idx="85">
                  <c:v>0.34274339362139161</c:v>
                </c:pt>
                <c:pt idx="86">
                  <c:v>0.34520738723098066</c:v>
                </c:pt>
                <c:pt idx="87">
                  <c:v>0.34767407625502289</c:v>
                </c:pt>
                <c:pt idx="88">
                  <c:v>0.35014346495514848</c:v>
                </c:pt>
                <c:pt idx="89">
                  <c:v>0.35261555760213109</c:v>
                </c:pt>
                <c:pt idx="90">
                  <c:v>0.35509035847591242</c:v>
                </c:pt>
                <c:pt idx="91">
                  <c:v>0.35756787186562689</c:v>
                </c:pt>
                <c:pt idx="92">
                  <c:v>0.36004810206962523</c:v>
                </c:pt>
                <c:pt idx="93">
                  <c:v>0.36253105339549935</c:v>
                </c:pt>
                <c:pt idx="94">
                  <c:v>0.36501673016010705</c:v>
                </c:pt>
                <c:pt idx="95">
                  <c:v>0.36750513668959678</c:v>
                </c:pt>
                <c:pt idx="96">
                  <c:v>0.36999627731943163</c:v>
                </c:pt>
                <c:pt idx="97">
                  <c:v>0.3724901563944148</c:v>
                </c:pt>
                <c:pt idx="98">
                  <c:v>0.37498677826871424</c:v>
                </c:pt>
                <c:pt idx="99">
                  <c:v>0.3774861473058877</c:v>
                </c:pt>
                <c:pt idx="100">
                  <c:v>0.37998826787890738</c:v>
                </c:pt>
                <c:pt idx="101">
                  <c:v>0.38249314437018583</c:v>
                </c:pt>
                <c:pt idx="102">
                  <c:v>0.38500078117160019</c:v>
                </c:pt>
                <c:pt idx="103">
                  <c:v>0.38751118268451823</c:v>
                </c:pt>
                <c:pt idx="104">
                  <c:v>0.39002435331982338</c:v>
                </c:pt>
                <c:pt idx="105">
                  <c:v>0.39254029749794017</c:v>
                </c:pt>
                <c:pt idx="106">
                  <c:v>0.3950590196488597</c:v>
                </c:pt>
                <c:pt idx="107">
                  <c:v>0.39758052421216539</c:v>
                </c:pt>
                <c:pt idx="108">
                  <c:v>0.40010481563705885</c:v>
                </c:pt>
                <c:pt idx="109">
                  <c:v>0.40263189838238511</c:v>
                </c:pt>
                <c:pt idx="110">
                  <c:v>0.40516177691665889</c:v>
                </c:pt>
                <c:pt idx="111">
                  <c:v>0.40769445571809043</c:v>
                </c:pt>
                <c:pt idx="112">
                  <c:v>0.41022993927461165</c:v>
                </c:pt>
                <c:pt idx="113">
                  <c:v>0.41276823208390206</c:v>
                </c:pt>
                <c:pt idx="114">
                  <c:v>0.41530933865341491</c:v>
                </c:pt>
                <c:pt idx="115">
                  <c:v>0.41785326350040353</c:v>
                </c:pt>
                <c:pt idx="116">
                  <c:v>0.42040001115194814</c:v>
                </c:pt>
                <c:pt idx="117">
                  <c:v>0.42294958614498146</c:v>
                </c:pt>
                <c:pt idx="118">
                  <c:v>0.42550199302631603</c:v>
                </c:pt>
                <c:pt idx="119">
                  <c:v>0.42805723635267018</c:v>
                </c:pt>
                <c:pt idx="120">
                  <c:v>0.43061532069069547</c:v>
                </c:pt>
                <c:pt idx="121">
                  <c:v>0.43317625061700271</c:v>
                </c:pt>
                <c:pt idx="122">
                  <c:v>0.43574003071818918</c:v>
                </c:pt>
                <c:pt idx="123">
                  <c:v>0.4383066655908659</c:v>
                </c:pt>
                <c:pt idx="124">
                  <c:v>0.44087615984168443</c:v>
                </c:pt>
                <c:pt idx="125">
                  <c:v>0.44344851808736357</c:v>
                </c:pt>
                <c:pt idx="126">
                  <c:v>0.44602374495471775</c:v>
                </c:pt>
                <c:pt idx="127">
                  <c:v>0.44860184508068301</c:v>
                </c:pt>
                <c:pt idx="128">
                  <c:v>0.45118282311234525</c:v>
                </c:pt>
                <c:pt idx="129">
                  <c:v>0.45376668370696766</c:v>
                </c:pt>
                <c:pt idx="130">
                  <c:v>0.45635343153201818</c:v>
                </c:pt>
                <c:pt idx="131">
                  <c:v>0.45894307126519696</c:v>
                </c:pt>
                <c:pt idx="132">
                  <c:v>0.46153560759446471</c:v>
                </c:pt>
                <c:pt idx="133">
                  <c:v>0.46413104521807003</c:v>
                </c:pt>
                <c:pt idx="134">
                  <c:v>0.46672938884457749</c:v>
                </c:pt>
                <c:pt idx="135">
                  <c:v>0.46933064319289614</c:v>
                </c:pt>
                <c:pt idx="136">
                  <c:v>0.47193481299230683</c:v>
                </c:pt>
                <c:pt idx="137">
                  <c:v>0.47454190298249127</c:v>
                </c:pt>
                <c:pt idx="138">
                  <c:v>0.47715191791355965</c:v>
                </c:pt>
                <c:pt idx="139">
                  <c:v>0.47976486254608008</c:v>
                </c:pt>
                <c:pt idx="140">
                  <c:v>0.48238074165110545</c:v>
                </c:pt>
                <c:pt idx="141">
                  <c:v>0.48499956001020383</c:v>
                </c:pt>
                <c:pt idx="142">
                  <c:v>0.487621322415486</c:v>
                </c:pt>
                <c:pt idx="143">
                  <c:v>0.49024603366963465</c:v>
                </c:pt>
                <c:pt idx="144">
                  <c:v>0.4928736985859335</c:v>
                </c:pt>
                <c:pt idx="145">
                  <c:v>0.49550432198829558</c:v>
                </c:pt>
                <c:pt idx="146">
                  <c:v>0.49813790871129332</c:v>
                </c:pt>
                <c:pt idx="147">
                  <c:v>0.50077446360018651</c:v>
                </c:pt>
                <c:pt idx="148">
                  <c:v>0.50341399151095312</c:v>
                </c:pt>
                <c:pt idx="149">
                  <c:v>0.50605649731031699</c:v>
                </c:pt>
                <c:pt idx="150">
                  <c:v>0.50870198587577897</c:v>
                </c:pt>
                <c:pt idx="151">
                  <c:v>0.51135046209564472</c:v>
                </c:pt>
                <c:pt idx="152">
                  <c:v>0.5140019308690561</c:v>
                </c:pt>
                <c:pt idx="153">
                  <c:v>0.51665639710601952</c:v>
                </c:pt>
                <c:pt idx="154">
                  <c:v>0.51931386572743699</c:v>
                </c:pt>
                <c:pt idx="155">
                  <c:v>0.52197434166513512</c:v>
                </c:pt>
                <c:pt idx="156">
                  <c:v>0.52463782986189611</c:v>
                </c:pt>
                <c:pt idx="157">
                  <c:v>0.52730433527148668</c:v>
                </c:pt>
                <c:pt idx="158">
                  <c:v>0.52997386285868975</c:v>
                </c:pt>
                <c:pt idx="159">
                  <c:v>0.53264641759933384</c:v>
                </c:pt>
                <c:pt idx="160">
                  <c:v>0.53532200448032352</c:v>
                </c:pt>
                <c:pt idx="161">
                  <c:v>0.5380006284996709</c:v>
                </c:pt>
                <c:pt idx="162">
                  <c:v>0.5406822946665254</c:v>
                </c:pt>
                <c:pt idx="163">
                  <c:v>0.54336700800120441</c:v>
                </c:pt>
                <c:pt idx="164">
                  <c:v>0.54605477353522525</c:v>
                </c:pt>
                <c:pt idx="165">
                  <c:v>0.54874559631133502</c:v>
                </c:pt>
                <c:pt idx="166">
                  <c:v>0.55143948138354226</c:v>
                </c:pt>
                <c:pt idx="167">
                  <c:v>0.55413643381714806</c:v>
                </c:pt>
                <c:pt idx="168">
                  <c:v>0.55683645868877718</c:v>
                </c:pt>
                <c:pt idx="169">
                  <c:v>0.55953956108640968</c:v>
                </c:pt>
                <c:pt idx="170">
                  <c:v>0.56224574610941191</c:v>
                </c:pt>
                <c:pt idx="171">
                  <c:v>0.56495501886856958</c:v>
                </c:pt>
                <c:pt idx="172">
                  <c:v>0.56766738448611709</c:v>
                </c:pt>
                <c:pt idx="173">
                  <c:v>0.57038284809577144</c:v>
                </c:pt>
                <c:pt idx="174">
                  <c:v>0.57310141484276311</c:v>
                </c:pt>
                <c:pt idx="175">
                  <c:v>0.57582308988386866</c:v>
                </c:pt>
                <c:pt idx="176">
                  <c:v>0.57854787838744226</c:v>
                </c:pt>
                <c:pt idx="177">
                  <c:v>0.58127578553344861</c:v>
                </c:pt>
                <c:pt idx="178">
                  <c:v>0.58400681651349418</c:v>
                </c:pt>
                <c:pt idx="179">
                  <c:v>0.58674097653086155</c:v>
                </c:pt>
                <c:pt idx="180">
                  <c:v>0.58947827080054027</c:v>
                </c:pt>
                <c:pt idx="181">
                  <c:v>0.59221870454925973</c:v>
                </c:pt>
                <c:pt idx="182">
                  <c:v>0.59496228301552334</c:v>
                </c:pt>
                <c:pt idx="183">
                  <c:v>0.59770901144963995</c:v>
                </c:pt>
                <c:pt idx="184">
                  <c:v>0.6004588951137575</c:v>
                </c:pt>
                <c:pt idx="185">
                  <c:v>0.60321193928189587</c:v>
                </c:pt>
                <c:pt idx="186">
                  <c:v>0.60596814923998044</c:v>
                </c:pt>
                <c:pt idx="187">
                  <c:v>0.60872753028587512</c:v>
                </c:pt>
                <c:pt idx="188">
                  <c:v>0.6114900877294166</c:v>
                </c:pt>
                <c:pt idx="189">
                  <c:v>0.61425582689244673</c:v>
                </c:pt>
                <c:pt idx="190">
                  <c:v>0.61702475310884675</c:v>
                </c:pt>
                <c:pt idx="191">
                  <c:v>0.61979687172457176</c:v>
                </c:pt>
                <c:pt idx="192">
                  <c:v>0.62257218809768378</c:v>
                </c:pt>
                <c:pt idx="193">
                  <c:v>0.62535070759838551</c:v>
                </c:pt>
                <c:pt idx="194">
                  <c:v>0.62813243560905585</c:v>
                </c:pt>
                <c:pt idx="195">
                  <c:v>0.63091737752428267</c:v>
                </c:pt>
                <c:pt idx="196">
                  <c:v>0.63370553875089841</c:v>
                </c:pt>
                <c:pt idx="197">
                  <c:v>0.63649692470801389</c:v>
                </c:pt>
                <c:pt idx="198">
                  <c:v>0.63929154082705264</c:v>
                </c:pt>
                <c:pt idx="199">
                  <c:v>0.64208939255178654</c:v>
                </c:pt>
                <c:pt idx="200">
                  <c:v>0.64489048533837046</c:v>
                </c:pt>
              </c:numCache>
            </c:numRef>
          </c:yVal>
          <c:smooth val="0"/>
          <c:extLst>
            <c:ext xmlns:c16="http://schemas.microsoft.com/office/drawing/2014/chart" uri="{C3380CC4-5D6E-409C-BE32-E72D297353CC}">
              <c16:uniqueId val="{00000000-224D-4C5D-9638-87D4BF1AF418}"/>
            </c:ext>
          </c:extLst>
        </c:ser>
        <c:ser>
          <c:idx val="3"/>
          <c:order val="1"/>
          <c:tx>
            <c:v>Bottom FET</c:v>
          </c:tx>
          <c:spPr>
            <a:ln w="25400">
              <a:solidFill>
                <a:srgbClr val="FF000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Calculations'!$AG$9:$AG$209</c:f>
              <c:numCache>
                <c:formatCode>0.0000</c:formatCode>
                <c:ptCount val="201"/>
                <c:pt idx="0">
                  <c:v>5.5259789883618767E-3</c:v>
                </c:pt>
                <c:pt idx="1">
                  <c:v>5.746658394402763E-3</c:v>
                </c:pt>
                <c:pt idx="2">
                  <c:v>5.9758541211522558E-3</c:v>
                </c:pt>
                <c:pt idx="3">
                  <c:v>6.213566957788021E-3</c:v>
                </c:pt>
                <c:pt idx="4">
                  <c:v>6.4597977803452994E-3</c:v>
                </c:pt>
                <c:pt idx="5">
                  <c:v>6.7145475517260654E-3</c:v>
                </c:pt>
                <c:pt idx="6">
                  <c:v>6.9778173217104273E-3</c:v>
                </c:pt>
                <c:pt idx="7">
                  <c:v>7.2496082269702059E-3</c:v>
                </c:pt>
                <c:pt idx="8">
                  <c:v>7.529921491084746E-3</c:v>
                </c:pt>
                <c:pt idx="9">
                  <c:v>7.8187584245589629E-3</c:v>
                </c:pt>
                <c:pt idx="10">
                  <c:v>8.1161204248435537E-3</c:v>
                </c:pt>
                <c:pt idx="11">
                  <c:v>8.4220089763574896E-3</c:v>
                </c:pt>
                <c:pt idx="12">
                  <c:v>8.7364256505126844E-3</c:v>
                </c:pt>
                <c:pt idx="13">
                  <c:v>9.0593721057408774E-3</c:v>
                </c:pt>
                <c:pt idx="14">
                  <c:v>9.3908500875227782E-3</c:v>
                </c:pt>
                <c:pt idx="15">
                  <c:v>9.7308614284193889E-3</c:v>
                </c:pt>
                <c:pt idx="16">
                  <c:v>1.0079408048105566E-2</c:v>
                </c:pt>
                <c:pt idx="17">
                  <c:v>1.0436491953405813E-2</c:v>
                </c:pt>
                <c:pt idx="18">
                  <c:v>1.0802115238332279E-2</c:v>
                </c:pt>
                <c:pt idx="19">
                  <c:v>1.1176280084125004E-2</c:v>
                </c:pt>
                <c:pt idx="20">
                  <c:v>1.1558988759294375E-2</c:v>
                </c:pt>
                <c:pt idx="21">
                  <c:v>1.1950243619665827E-2</c:v>
                </c:pt>
                <c:pt idx="22">
                  <c:v>1.2350047108426755E-2</c:v>
                </c:pt>
                <c:pt idx="23">
                  <c:v>1.2899812813652363E-2</c:v>
                </c:pt>
                <c:pt idx="24">
                  <c:v>1.3532551272229241E-2</c:v>
                </c:pt>
                <c:pt idx="25">
                  <c:v>1.4173864450440438E-2</c:v>
                </c:pt>
                <c:pt idx="26">
                  <c:v>1.4823756244523744E-2</c:v>
                </c:pt>
                <c:pt idx="27">
                  <c:v>1.5482230638655111E-2</c:v>
                </c:pt>
                <c:pt idx="28">
                  <c:v>1.6149291705027789E-2</c:v>
                </c:pt>
                <c:pt idx="29">
                  <c:v>1.682494360393377E-2</c:v>
                </c:pt>
                <c:pt idx="30">
                  <c:v>1.7509190583847461E-2</c:v>
                </c:pt>
                <c:pt idx="31">
                  <c:v>1.820203698151163E-2</c:v>
                </c:pt>
                <c:pt idx="32">
                  <c:v>1.8903487222025634E-2</c:v>
                </c:pt>
                <c:pt idx="33">
                  <c:v>1.9613545818935905E-2</c:v>
                </c:pt>
                <c:pt idx="34">
                  <c:v>2.0332217374328734E-2</c:v>
                </c:pt>
                <c:pt idx="35">
                  <c:v>2.1059506578925288E-2</c:v>
                </c:pt>
                <c:pt idx="36">
                  <c:v>2.1795418212178994E-2</c:v>
                </c:pt>
                <c:pt idx="37">
                  <c:v>2.2539957142375076E-2</c:v>
                </c:pt>
                <c:pt idx="38">
                  <c:v>2.3293128326732578E-2</c:v>
                </c:pt>
                <c:pt idx="39">
                  <c:v>2.4054936811508464E-2</c:v>
                </c:pt>
                <c:pt idx="40">
                  <c:v>2.4825387732104222E-2</c:v>
                </c:pt>
                <c:pt idx="41">
                  <c:v>2.5604486313174583E-2</c:v>
                </c:pt>
                <c:pt idx="42">
                  <c:v>2.6392237868738785E-2</c:v>
                </c:pt>
                <c:pt idx="43">
                  <c:v>2.718864780229386E-2</c:v>
                </c:pt>
                <c:pt idx="44">
                  <c:v>2.7993721606930526E-2</c:v>
                </c:pt>
                <c:pt idx="45">
                  <c:v>2.8807464865451181E-2</c:v>
                </c:pt>
                <c:pt idx="46">
                  <c:v>2.9629883250490395E-2</c:v>
                </c:pt>
                <c:pt idx="47">
                  <c:v>3.0460982524637616E-2</c:v>
                </c:pt>
                <c:pt idx="48">
                  <c:v>3.1300768540562282E-2</c:v>
                </c:pt>
                <c:pt idx="49">
                  <c:v>3.2149247241141266E-2</c:v>
                </c:pt>
                <c:pt idx="50">
                  <c:v>3.3006424659588647E-2</c:v>
                </c:pt>
                <c:pt idx="51">
                  <c:v>3.387230691958789E-2</c:v>
                </c:pt>
                <c:pt idx="52">
                  <c:v>3.4746900235426349E-2</c:v>
                </c:pt>
                <c:pt idx="53">
                  <c:v>3.5630210912132115E-2</c:v>
                </c:pt>
                <c:pt idx="54">
                  <c:v>3.6522245345613373E-2</c:v>
                </c:pt>
                <c:pt idx="55">
                  <c:v>3.7423010022799894E-2</c:v>
                </c:pt>
                <c:pt idx="56">
                  <c:v>3.8332511521787217E-2</c:v>
                </c:pt>
                <c:pt idx="57">
                  <c:v>3.9250756511982954E-2</c:v>
                </c:pt>
                <c:pt idx="58">
                  <c:v>4.0177751754255649E-2</c:v>
                </c:pt>
                <c:pt idx="59">
                  <c:v>4.1113504101086079E-2</c:v>
                </c:pt>
                <c:pt idx="60">
                  <c:v>4.2058020496720729E-2</c:v>
                </c:pt>
                <c:pt idx="61">
                  <c:v>4.3011307977328064E-2</c:v>
                </c:pt>
                <c:pt idx="62">
                  <c:v>4.3973373671156842E-2</c:v>
                </c:pt>
                <c:pt idx="63">
                  <c:v>4.4944224798697148E-2</c:v>
                </c:pt>
                <c:pt idx="64">
                  <c:v>4.5923868672843732E-2</c:v>
                </c:pt>
                <c:pt idx="65">
                  <c:v>4.691231269906182E-2</c:v>
                </c:pt>
                <c:pt idx="66">
                  <c:v>4.7909564375555394E-2</c:v>
                </c:pt>
                <c:pt idx="67">
                  <c:v>4.8915631293437956E-2</c:v>
                </c:pt>
                <c:pt idx="68">
                  <c:v>4.9930521136905652E-2</c:v>
                </c:pt>
                <c:pt idx="69">
                  <c:v>5.0954241683413115E-2</c:v>
                </c:pt>
                <c:pt idx="70">
                  <c:v>5.1986800803851513E-2</c:v>
                </c:pt>
                <c:pt idx="71">
                  <c:v>5.3028206462729301E-2</c:v>
                </c:pt>
                <c:pt idx="72">
                  <c:v>5.4078466718355346E-2</c:v>
                </c:pt>
                <c:pt idx="73">
                  <c:v>5.5137589723024634E-2</c:v>
                </c:pt>
                <c:pt idx="74">
                  <c:v>5.620558372320654E-2</c:v>
                </c:pt>
                <c:pt idx="75">
                  <c:v>5.7282457059735538E-2</c:v>
                </c:pt>
                <c:pt idx="76">
                  <c:v>5.8368218168004415E-2</c:v>
                </c:pt>
                <c:pt idx="77">
                  <c:v>5.9462875578160178E-2</c:v>
                </c:pt>
                <c:pt idx="78">
                  <c:v>6.0566437915302487E-2</c:v>
                </c:pt>
                <c:pt idx="79">
                  <c:v>6.1678913899684502E-2</c:v>
                </c:pt>
                <c:pt idx="80">
                  <c:v>6.2800312346916437E-2</c:v>
                </c:pt>
                <c:pt idx="81">
                  <c:v>6.3930642168171667E-2</c:v>
                </c:pt>
                <c:pt idx="82">
                  <c:v>6.5069912370395486E-2</c:v>
                </c:pt>
                <c:pt idx="83">
                  <c:v>6.621813205651636E-2</c:v>
                </c:pt>
                <c:pt idx="84">
                  <c:v>6.7375310425659918E-2</c:v>
                </c:pt>
                <c:pt idx="85">
                  <c:v>6.8541456773365303E-2</c:v>
                </c:pt>
                <c:pt idx="86">
                  <c:v>6.9716580491804625E-2</c:v>
                </c:pt>
                <c:pt idx="87">
                  <c:v>7.0900691070004518E-2</c:v>
                </c:pt>
                <c:pt idx="88">
                  <c:v>7.2093798094070821E-2</c:v>
                </c:pt>
                <c:pt idx="89">
                  <c:v>7.3295911247415538E-2</c:v>
                </c:pt>
                <c:pt idx="90">
                  <c:v>7.4507040310986816E-2</c:v>
                </c:pt>
                <c:pt idx="91">
                  <c:v>7.5727195163501251E-2</c:v>
                </c:pt>
                <c:pt idx="92">
                  <c:v>7.6956385781679279E-2</c:v>
                </c:pt>
                <c:pt idx="93">
                  <c:v>7.8194622240482889E-2</c:v>
                </c:pt>
                <c:pt idx="94">
                  <c:v>7.9441914713356404E-2</c:v>
                </c:pt>
                <c:pt idx="95">
                  <c:v>8.0698273472469634E-2</c:v>
                </c:pt>
                <c:pt idx="96">
                  <c:v>8.1963708888964176E-2</c:v>
                </c:pt>
                <c:pt idx="97">
                  <c:v>8.3238231433202095E-2</c:v>
                </c:pt>
                <c:pt idx="98">
                  <c:v>8.4521851675017551E-2</c:v>
                </c:pt>
                <c:pt idx="99">
                  <c:v>8.5814580283971251E-2</c:v>
                </c:pt>
                <c:pt idx="100">
                  <c:v>8.711642802960759E-2</c:v>
                </c:pt>
                <c:pt idx="101">
                  <c:v>8.8427405781714444E-2</c:v>
                </c:pt>
                <c:pt idx="102">
                  <c:v>8.9747524510586221E-2</c:v>
                </c:pt>
                <c:pt idx="103">
                  <c:v>9.1076795287289375E-2</c:v>
                </c:pt>
                <c:pt idx="104">
                  <c:v>9.2415229283930686E-2</c:v>
                </c:pt>
                <c:pt idx="105">
                  <c:v>9.3762837773928742E-2</c:v>
                </c:pt>
                <c:pt idx="106">
                  <c:v>9.5119632132287982E-2</c:v>
                </c:pt>
                <c:pt idx="107">
                  <c:v>9.6485623835875847E-2</c:v>
                </c:pt>
                <c:pt idx="108">
                  <c:v>9.786082446370252E-2</c:v>
                </c:pt>
                <c:pt idx="109">
                  <c:v>9.9245245697203929E-2</c:v>
                </c:pt>
                <c:pt idx="110">
                  <c:v>0.10063889932052734</c:v>
                </c:pt>
                <c:pt idx="111">
                  <c:v>0.10204179722082014</c:v>
                </c:pt>
                <c:pt idx="112">
                  <c:v>0.10345395138852138</c:v>
                </c:pt>
                <c:pt idx="113">
                  <c:v>0.10487537391765635</c:v>
                </c:pt>
                <c:pt idx="114">
                  <c:v>0.10630607700613419</c:v>
                </c:pt>
                <c:pt idx="115">
                  <c:v>0.10774607295604829</c:v>
                </c:pt>
                <c:pt idx="116">
                  <c:v>0.10919537417397997</c:v>
                </c:pt>
                <c:pt idx="117">
                  <c:v>0.11065399317130496</c:v>
                </c:pt>
                <c:pt idx="118">
                  <c:v>0.11212194256450286</c:v>
                </c:pt>
                <c:pt idx="119">
                  <c:v>0.11359923507546998</c:v>
                </c:pt>
                <c:pt idx="120">
                  <c:v>0.11508588353183485</c:v>
                </c:pt>
                <c:pt idx="121">
                  <c:v>0.11658190086727714</c:v>
                </c:pt>
                <c:pt idx="122">
                  <c:v>0.11808730012184929</c:v>
                </c:pt>
                <c:pt idx="123">
                  <c:v>0.11960209444230169</c:v>
                </c:pt>
                <c:pt idx="124">
                  <c:v>0.12112629708241059</c:v>
                </c:pt>
                <c:pt idx="125">
                  <c:v>0.1226599214033094</c:v>
                </c:pt>
                <c:pt idx="126">
                  <c:v>0.12420298087382316</c:v>
                </c:pt>
                <c:pt idx="127">
                  <c:v>0.12575548907080583</c:v>
                </c:pt>
                <c:pt idx="128">
                  <c:v>0.12731745967948135</c:v>
                </c:pt>
                <c:pt idx="129">
                  <c:v>0.12888890649378723</c:v>
                </c:pt>
                <c:pt idx="130">
                  <c:v>0.13046984341672196</c:v>
                </c:pt>
                <c:pt idx="131">
                  <c:v>0.1320602844606954</c:v>
                </c:pt>
                <c:pt idx="132">
                  <c:v>0.1336602437478823</c:v>
                </c:pt>
                <c:pt idx="133">
                  <c:v>0.13526973551057936</c:v>
                </c:pt>
                <c:pt idx="134">
                  <c:v>0.13688877409156539</c:v>
                </c:pt>
                <c:pt idx="135">
                  <c:v>0.13851737394446484</c:v>
                </c:pt>
                <c:pt idx="136">
                  <c:v>0.14015554963411458</c:v>
                </c:pt>
                <c:pt idx="137">
                  <c:v>0.14180331583693448</c:v>
                </c:pt>
                <c:pt idx="138">
                  <c:v>0.1434606873413003</c:v>
                </c:pt>
                <c:pt idx="139">
                  <c:v>0.14512767904792143</c:v>
                </c:pt>
                <c:pt idx="140">
                  <c:v>0.14680430597022048</c:v>
                </c:pt>
                <c:pt idx="141">
                  <c:v>0.14849058323471781</c:v>
                </c:pt>
                <c:pt idx="142">
                  <c:v>0.150186526081418</c:v>
                </c:pt>
                <c:pt idx="143">
                  <c:v>0.15189214986420105</c:v>
                </c:pt>
                <c:pt idx="144">
                  <c:v>0.15360747005121639</c:v>
                </c:pt>
                <c:pt idx="145">
                  <c:v>0.15533250222528033</c:v>
                </c:pt>
                <c:pt idx="146">
                  <c:v>0.15706726208427765</c:v>
                </c:pt>
                <c:pt idx="147">
                  <c:v>0.15881176544156578</c:v>
                </c:pt>
                <c:pt idx="148">
                  <c:v>0.16056602822638341</c:v>
                </c:pt>
                <c:pt idx="149">
                  <c:v>0.16233006648426246</c:v>
                </c:pt>
                <c:pt idx="150">
                  <c:v>0.16410389637744305</c:v>
                </c:pt>
                <c:pt idx="151">
                  <c:v>0.16588753418529298</c:v>
                </c:pt>
                <c:pt idx="152">
                  <c:v>0.16768099630473035</c:v>
                </c:pt>
                <c:pt idx="153">
                  <c:v>0.16948429925064964</c:v>
                </c:pt>
                <c:pt idx="154">
                  <c:v>0.17129745965635232</c:v>
                </c:pt>
                <c:pt idx="155">
                  <c:v>0.17312049427398024</c:v>
                </c:pt>
                <c:pt idx="156">
                  <c:v>0.17495341997495301</c:v>
                </c:pt>
                <c:pt idx="157">
                  <c:v>0.1767962537504098</c:v>
                </c:pt>
                <c:pt idx="158">
                  <c:v>0.17864901271165362</c:v>
                </c:pt>
                <c:pt idx="159">
                  <c:v>0.18051171409060088</c:v>
                </c:pt>
                <c:pt idx="160">
                  <c:v>0.18238437524023351</c:v>
                </c:pt>
                <c:pt idx="161">
                  <c:v>0.18426701363505565</c:v>
                </c:pt>
                <c:pt idx="162">
                  <c:v>0.18615964687155409</c:v>
                </c:pt>
                <c:pt idx="163">
                  <c:v>0.1880622926686624</c:v>
                </c:pt>
                <c:pt idx="164">
                  <c:v>0.1899749688682292</c:v>
                </c:pt>
                <c:pt idx="165">
                  <c:v>0.19189769343549001</c:v>
                </c:pt>
                <c:pt idx="166">
                  <c:v>0.19383048445954379</c:v>
                </c:pt>
                <c:pt idx="167">
                  <c:v>0.19577336015383245</c:v>
                </c:pt>
                <c:pt idx="168">
                  <c:v>0.19772633885662541</c:v>
                </c:pt>
                <c:pt idx="169">
                  <c:v>0.19968943903150735</c:v>
                </c:pt>
                <c:pt idx="170">
                  <c:v>0.20166267926787071</c:v>
                </c:pt>
                <c:pt idx="171">
                  <c:v>0.20364607828141182</c:v>
                </c:pt>
                <c:pt idx="172">
                  <c:v>0.20563965491463101</c:v>
                </c:pt>
                <c:pt idx="173">
                  <c:v>0.20764342813733774</c:v>
                </c:pt>
                <c:pt idx="174">
                  <c:v>0.20965741704715884</c:v>
                </c:pt>
                <c:pt idx="175">
                  <c:v>0.21168164087005134</c:v>
                </c:pt>
                <c:pt idx="176">
                  <c:v>0.21371611896082027</c:v>
                </c:pt>
                <c:pt idx="177">
                  <c:v>0.21576087080363909</c:v>
                </c:pt>
                <c:pt idx="178">
                  <c:v>0.21781591601257602</c:v>
                </c:pt>
                <c:pt idx="179">
                  <c:v>0.21988127433212395</c:v>
                </c:pt>
                <c:pt idx="180">
                  <c:v>0.22195696563773423</c:v>
                </c:pt>
                <c:pt idx="181">
                  <c:v>0.22404300993635587</c:v>
                </c:pt>
                <c:pt idx="182">
                  <c:v>0.22613942736697845</c:v>
                </c:pt>
                <c:pt idx="183">
                  <c:v>0.22824623820117945</c:v>
                </c:pt>
                <c:pt idx="184">
                  <c:v>0.23036346284367612</c:v>
                </c:pt>
                <c:pt idx="185">
                  <c:v>0.23249112183288234</c:v>
                </c:pt>
                <c:pt idx="186">
                  <c:v>0.23462923584146872</c:v>
                </c:pt>
                <c:pt idx="187">
                  <c:v>0.23677782567692907</c:v>
                </c:pt>
                <c:pt idx="188">
                  <c:v>0.23893691228214944</c:v>
                </c:pt>
                <c:pt idx="189">
                  <c:v>0.2411065167359833</c:v>
                </c:pt>
                <c:pt idx="190">
                  <c:v>0.24328666025383067</c:v>
                </c:pt>
                <c:pt idx="191">
                  <c:v>0.24547736418822208</c:v>
                </c:pt>
                <c:pt idx="192">
                  <c:v>0.24767865002940698</c:v>
                </c:pt>
                <c:pt idx="193">
                  <c:v>0.24989053940594708</c:v>
                </c:pt>
                <c:pt idx="194">
                  <c:v>0.2521130540853152</c:v>
                </c:pt>
                <c:pt idx="195">
                  <c:v>0.25434621597449641</c:v>
                </c:pt>
                <c:pt idx="196">
                  <c:v>0.25659004712059802</c:v>
                </c:pt>
                <c:pt idx="197">
                  <c:v>0.25884456971146025</c:v>
                </c:pt>
                <c:pt idx="198">
                  <c:v>0.26110980607627438</c:v>
                </c:pt>
                <c:pt idx="199">
                  <c:v>0.26338577868620561</c:v>
                </c:pt>
                <c:pt idx="200">
                  <c:v>0.26567251015501964</c:v>
                </c:pt>
              </c:numCache>
            </c:numRef>
          </c:yVal>
          <c:smooth val="0"/>
          <c:extLst>
            <c:ext xmlns:c16="http://schemas.microsoft.com/office/drawing/2014/chart" uri="{C3380CC4-5D6E-409C-BE32-E72D297353CC}">
              <c16:uniqueId val="{00000001-224D-4C5D-9638-87D4BF1AF418}"/>
            </c:ext>
          </c:extLst>
        </c:ser>
        <c:ser>
          <c:idx val="0"/>
          <c:order val="2"/>
          <c:tx>
            <c:v>Inductor Loss</c:v>
          </c:tx>
          <c:spPr>
            <a:ln w="38100">
              <a:solidFill>
                <a:srgbClr val="FF660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Calculations'!$Q$9:$Q$209</c:f>
              <c:numCache>
                <c:formatCode>0.0000</c:formatCode>
                <c:ptCount val="201"/>
                <c:pt idx="0">
                  <c:v>0.20074681610045245</c:v>
                </c:pt>
                <c:pt idx="1">
                  <c:v>0.20075141329555737</c:v>
                </c:pt>
                <c:pt idx="2">
                  <c:v>0.20076501159546684</c:v>
                </c:pt>
                <c:pt idx="3">
                  <c:v>0.20078761105892917</c:v>
                </c:pt>
                <c:pt idx="4">
                  <c:v>0.20081921178358081</c:v>
                </c:pt>
                <c:pt idx="5">
                  <c:v>0.20085981390594707</c:v>
                </c:pt>
                <c:pt idx="6">
                  <c:v>0.20090941760144376</c:v>
                </c:pt>
                <c:pt idx="7">
                  <c:v>0.20096802308437917</c:v>
                </c:pt>
                <c:pt idx="8">
                  <c:v>0.20103563060795607</c:v>
                </c:pt>
                <c:pt idx="9">
                  <c:v>0.20111224046427481</c:v>
                </c:pt>
                <c:pt idx="10">
                  <c:v>0.20119785298433623</c:v>
                </c:pt>
                <c:pt idx="11">
                  <c:v>0.20129246853804539</c:v>
                </c:pt>
                <c:pt idx="12">
                  <c:v>0.20139608753421537</c:v>
                </c:pt>
                <c:pt idx="13">
                  <c:v>0.20150871042057192</c:v>
                </c:pt>
                <c:pt idx="14">
                  <c:v>0.20163033768375815</c:v>
                </c:pt>
                <c:pt idx="15">
                  <c:v>0.20176096984933981</c:v>
                </c:pt>
                <c:pt idx="16">
                  <c:v>0.20190060748181096</c:v>
                </c:pt>
                <c:pt idx="17">
                  <c:v>0.20204925118460015</c:v>
                </c:pt>
                <c:pt idx="18">
                  <c:v>0.20220690160007687</c:v>
                </c:pt>
                <c:pt idx="19">
                  <c:v>0.20237355940955842</c:v>
                </c:pt>
                <c:pt idx="20">
                  <c:v>0.20254922533331746</c:v>
                </c:pt>
                <c:pt idx="21">
                  <c:v>0.20273390013058959</c:v>
                </c:pt>
                <c:pt idx="22">
                  <c:v>0.20292758459958174</c:v>
                </c:pt>
                <c:pt idx="23">
                  <c:v>0.20313027957748064</c:v>
                </c:pt>
                <c:pt idx="24">
                  <c:v>0.20334198594046199</c:v>
                </c:pt>
                <c:pt idx="25">
                  <c:v>0.20356270460369982</c:v>
                </c:pt>
                <c:pt idx="26">
                  <c:v>0.20379243652137649</c:v>
                </c:pt>
                <c:pt idx="27">
                  <c:v>0.2040311826866929</c:v>
                </c:pt>
                <c:pt idx="28">
                  <c:v>0.20427894413187939</c:v>
                </c:pt>
                <c:pt idx="29">
                  <c:v>0.20453572192820665</c:v>
                </c:pt>
                <c:pt idx="30">
                  <c:v>0.20480151718599759</c:v>
                </c:pt>
                <c:pt idx="31">
                  <c:v>0.20507633105463913</c:v>
                </c:pt>
                <c:pt idx="32">
                  <c:v>0.20536016472259469</c:v>
                </c:pt>
                <c:pt idx="33">
                  <c:v>0.20565301941741712</c:v>
                </c:pt>
                <c:pt idx="34">
                  <c:v>0.20595489640576187</c:v>
                </c:pt>
                <c:pt idx="35">
                  <c:v>0.20626579699340078</c:v>
                </c:pt>
                <c:pt idx="36">
                  <c:v>0.20658572252523622</c:v>
                </c:pt>
                <c:pt idx="37">
                  <c:v>0.20691467438531544</c:v>
                </c:pt>
                <c:pt idx="38">
                  <c:v>0.20725265399684586</c:v>
                </c:pt>
                <c:pt idx="39">
                  <c:v>0.20759966282221029</c:v>
                </c:pt>
                <c:pt idx="40">
                  <c:v>0.20795570236298269</c:v>
                </c:pt>
                <c:pt idx="41">
                  <c:v>0.20832077415994465</c:v>
                </c:pt>
                <c:pt idx="42">
                  <c:v>0.20869487979310183</c:v>
                </c:pt>
                <c:pt idx="43">
                  <c:v>0.2090780208817013</c:v>
                </c:pt>
                <c:pt idx="44">
                  <c:v>0.20947019908424885</c:v>
                </c:pt>
                <c:pt idx="45">
                  <c:v>0.20987141609852714</c:v>
                </c:pt>
                <c:pt idx="46">
                  <c:v>0.21028167366161396</c:v>
                </c:pt>
                <c:pt idx="47">
                  <c:v>0.21070097354990114</c:v>
                </c:pt>
                <c:pt idx="48">
                  <c:v>0.2111293175791138</c:v>
                </c:pt>
                <c:pt idx="49">
                  <c:v>0.21156670760432986</c:v>
                </c:pt>
                <c:pt idx="50">
                  <c:v>0.21201314552000039</c:v>
                </c:pt>
                <c:pt idx="51">
                  <c:v>0.21246863325997004</c:v>
                </c:pt>
                <c:pt idx="52">
                  <c:v>0.21293317279749793</c:v>
                </c:pt>
                <c:pt idx="53">
                  <c:v>0.21340676614527915</c:v>
                </c:pt>
                <c:pt idx="54">
                  <c:v>0.21388941535546657</c:v>
                </c:pt>
                <c:pt idx="55">
                  <c:v>0.21438112251969305</c:v>
                </c:pt>
                <c:pt idx="56">
                  <c:v>0.2148818897690942</c:v>
                </c:pt>
                <c:pt idx="57">
                  <c:v>0.21539171927433148</c:v>
                </c:pt>
                <c:pt idx="58">
                  <c:v>0.21591061324561572</c:v>
                </c:pt>
                <c:pt idx="59">
                  <c:v>0.21643857393273114</c:v>
                </c:pt>
                <c:pt idx="60">
                  <c:v>0.21697560362505983</c:v>
                </c:pt>
                <c:pt idx="61">
                  <c:v>0.2175217046516065</c:v>
                </c:pt>
                <c:pt idx="62">
                  <c:v>0.21807687938102382</c:v>
                </c:pt>
                <c:pt idx="63">
                  <c:v>0.21864113022163822</c:v>
                </c:pt>
                <c:pt idx="64">
                  <c:v>0.21921445962147595</c:v>
                </c:pt>
                <c:pt idx="65">
                  <c:v>0.21979687006828974</c:v>
                </c:pt>
                <c:pt idx="66">
                  <c:v>0.22038836408958581</c:v>
                </c:pt>
                <c:pt idx="67">
                  <c:v>0.22098894425265139</c:v>
                </c:pt>
                <c:pt idx="68">
                  <c:v>0.22159861316458257</c:v>
                </c:pt>
                <c:pt idx="69">
                  <c:v>0.22221737347231271</c:v>
                </c:pt>
                <c:pt idx="70">
                  <c:v>0.22284522786264122</c:v>
                </c:pt>
                <c:pt idx="71">
                  <c:v>0.22348217906226275</c:v>
                </c:pt>
                <c:pt idx="72">
                  <c:v>0.22412822983779698</c:v>
                </c:pt>
                <c:pt idx="73">
                  <c:v>0.22478338299581854</c:v>
                </c:pt>
                <c:pt idx="74">
                  <c:v>0.22544764138288775</c:v>
                </c:pt>
                <c:pt idx="75">
                  <c:v>0.22612100788558154</c:v>
                </c:pt>
                <c:pt idx="76">
                  <c:v>0.22680348543052481</c:v>
                </c:pt>
                <c:pt idx="77">
                  <c:v>0.22749507698442251</c:v>
                </c:pt>
                <c:pt idx="78">
                  <c:v>0.22819578555409178</c:v>
                </c:pt>
                <c:pt idx="79">
                  <c:v>0.22890561418649488</c:v>
                </c:pt>
                <c:pt idx="80">
                  <c:v>0.22962456596877229</c:v>
                </c:pt>
                <c:pt idx="81">
                  <c:v>0.23035264402827632</c:v>
                </c:pt>
                <c:pt idx="82">
                  <c:v>0.23108985153260544</c:v>
                </c:pt>
                <c:pt idx="83">
                  <c:v>0.2318361916896387</c:v>
                </c:pt>
                <c:pt idx="84">
                  <c:v>0.2325916677475707</c:v>
                </c:pt>
                <c:pt idx="85">
                  <c:v>0.2333562829949471</c:v>
                </c:pt>
                <c:pt idx="86">
                  <c:v>0.23413004076070063</c:v>
                </c:pt>
                <c:pt idx="87">
                  <c:v>0.23491294441418714</c:v>
                </c:pt>
                <c:pt idx="88">
                  <c:v>0.23570499736522288</c:v>
                </c:pt>
                <c:pt idx="89">
                  <c:v>0.23650620306412121</c:v>
                </c:pt>
                <c:pt idx="90">
                  <c:v>0.23731656500173082</c:v>
                </c:pt>
                <c:pt idx="91">
                  <c:v>0.2381360867094735</c:v>
                </c:pt>
                <c:pt idx="92">
                  <c:v>0.23896477175938305</c:v>
                </c:pt>
                <c:pt idx="93">
                  <c:v>0.23980262376414421</c:v>
                </c:pt>
                <c:pt idx="94">
                  <c:v>0.24064964637713213</c:v>
                </c:pt>
                <c:pt idx="95">
                  <c:v>0.24150584329245259</c:v>
                </c:pt>
                <c:pt idx="96">
                  <c:v>0.2423712182449822</c:v>
                </c:pt>
                <c:pt idx="97">
                  <c:v>0.24324577501040939</c:v>
                </c:pt>
                <c:pt idx="98">
                  <c:v>0.24412951740527591</c:v>
                </c:pt>
                <c:pt idx="99">
                  <c:v>0.24502244928701836</c:v>
                </c:pt>
                <c:pt idx="100">
                  <c:v>0.24592457455401082</c:v>
                </c:pt>
                <c:pt idx="101">
                  <c:v>0.24683589714560727</c:v>
                </c:pt>
                <c:pt idx="102">
                  <c:v>0.24775642104218507</c:v>
                </c:pt>
                <c:pt idx="103">
                  <c:v>0.24868615026518842</c:v>
                </c:pt>
                <c:pt idx="104">
                  <c:v>0.24962508887717264</c:v>
                </c:pt>
                <c:pt idx="105">
                  <c:v>0.25057324098184869</c:v>
                </c:pt>
                <c:pt idx="106">
                  <c:v>0.25153061072412836</c:v>
                </c:pt>
                <c:pt idx="107">
                  <c:v>0.25249720229016953</c:v>
                </c:pt>
                <c:pt idx="108">
                  <c:v>0.25347301990742255</c:v>
                </c:pt>
                <c:pt idx="109">
                  <c:v>0.25445806784467639</c:v>
                </c:pt>
                <c:pt idx="110">
                  <c:v>0.25545235041210573</c:v>
                </c:pt>
                <c:pt idx="111">
                  <c:v>0.25645587196131847</c:v>
                </c:pt>
                <c:pt idx="112">
                  <c:v>0.25746863688540328</c:v>
                </c:pt>
                <c:pt idx="113">
                  <c:v>0.25849064961897844</c:v>
                </c:pt>
                <c:pt idx="114">
                  <c:v>0.2595219146382402</c:v>
                </c:pt>
                <c:pt idx="115">
                  <c:v>0.2605624364610124</c:v>
                </c:pt>
                <c:pt idx="116">
                  <c:v>0.2616122196467961</c:v>
                </c:pt>
                <c:pt idx="117">
                  <c:v>0.26267126879681996</c:v>
                </c:pt>
                <c:pt idx="118">
                  <c:v>0.26373958855409085</c:v>
                </c:pt>
                <c:pt idx="119">
                  <c:v>0.26481718360344508</c:v>
                </c:pt>
                <c:pt idx="120">
                  <c:v>0.26590405867160022</c:v>
                </c:pt>
                <c:pt idx="121">
                  <c:v>0.26700021852720723</c:v>
                </c:pt>
                <c:pt idx="122">
                  <c:v>0.26810566798090307</c:v>
                </c:pt>
                <c:pt idx="123">
                  <c:v>0.26922041188536378</c:v>
                </c:pt>
                <c:pt idx="124">
                  <c:v>0.27034445513535832</c:v>
                </c:pt>
                <c:pt idx="125">
                  <c:v>0.27147780266780241</c:v>
                </c:pt>
                <c:pt idx="126">
                  <c:v>0.27262045946181346</c:v>
                </c:pt>
                <c:pt idx="127">
                  <c:v>0.27377243053876543</c:v>
                </c:pt>
                <c:pt idx="128">
                  <c:v>0.27493372096234431</c:v>
                </c:pt>
                <c:pt idx="129">
                  <c:v>0.27610433583860461</c:v>
                </c:pt>
                <c:pt idx="130">
                  <c:v>0.27728428031602531</c:v>
                </c:pt>
                <c:pt idx="131">
                  <c:v>0.27847355958556758</c:v>
                </c:pt>
                <c:pt idx="132">
                  <c:v>0.27967217888073181</c:v>
                </c:pt>
                <c:pt idx="133">
                  <c:v>0.28088014347761592</c:v>
                </c:pt>
                <c:pt idx="134">
                  <c:v>0.28209745869497371</c:v>
                </c:pt>
                <c:pt idx="135">
                  <c:v>0.28332412989427413</c:v>
                </c:pt>
                <c:pt idx="136">
                  <c:v>0.28456016247976057</c:v>
                </c:pt>
                <c:pt idx="137">
                  <c:v>0.28580556189851114</c:v>
                </c:pt>
                <c:pt idx="138">
                  <c:v>0.28706033364049877</c:v>
                </c:pt>
                <c:pt idx="139">
                  <c:v>0.28832448323865306</c:v>
                </c:pt>
                <c:pt idx="140">
                  <c:v>0.28959801626892079</c:v>
                </c:pt>
                <c:pt idx="141">
                  <c:v>0.29088093835032885</c:v>
                </c:pt>
                <c:pt idx="142">
                  <c:v>0.29217325514504616</c:v>
                </c:pt>
                <c:pt idx="143">
                  <c:v>0.29347497235844716</c:v>
                </c:pt>
                <c:pt idx="144">
                  <c:v>0.29478609573917514</c:v>
                </c:pt>
                <c:pt idx="145">
                  <c:v>0.29610663107920637</c:v>
                </c:pt>
                <c:pt idx="146">
                  <c:v>0.29743658421391483</c:v>
                </c:pt>
                <c:pt idx="147">
                  <c:v>0.29877596102213694</c:v>
                </c:pt>
                <c:pt idx="148">
                  <c:v>0.30012476742623773</c:v>
                </c:pt>
                <c:pt idx="149">
                  <c:v>0.30148300939217643</c:v>
                </c:pt>
                <c:pt idx="150">
                  <c:v>0.30285069292957351</c:v>
                </c:pt>
                <c:pt idx="151">
                  <c:v>0.30422782409177757</c:v>
                </c:pt>
                <c:pt idx="152">
                  <c:v>0.30561440897593323</c:v>
                </c:pt>
                <c:pt idx="153">
                  <c:v>0.30701045372304919</c:v>
                </c:pt>
                <c:pt idx="154">
                  <c:v>0.30841596451806719</c:v>
                </c:pt>
                <c:pt idx="155">
                  <c:v>0.30983094758993091</c:v>
                </c:pt>
                <c:pt idx="156">
                  <c:v>0.31125540921165595</c:v>
                </c:pt>
                <c:pt idx="157">
                  <c:v>0.31268935570040052</c:v>
                </c:pt>
                <c:pt idx="158">
                  <c:v>0.31413279341753531</c:v>
                </c:pt>
                <c:pt idx="159">
                  <c:v>0.31558572876871588</c:v>
                </c:pt>
                <c:pt idx="160">
                  <c:v>0.31704816820395393</c:v>
                </c:pt>
                <c:pt idx="161">
                  <c:v>0.31852011821768988</c:v>
                </c:pt>
                <c:pt idx="162">
                  <c:v>0.32000158534886608</c:v>
                </c:pt>
                <c:pt idx="163">
                  <c:v>0.32149257618099991</c:v>
                </c:pt>
                <c:pt idx="164">
                  <c:v>0.32299309734225823</c:v>
                </c:pt>
                <c:pt idx="165">
                  <c:v>0.32450315550553144</c:v>
                </c:pt>
                <c:pt idx="166">
                  <c:v>0.32602275738850928</c:v>
                </c:pt>
                <c:pt idx="167">
                  <c:v>0.32755190975375581</c:v>
                </c:pt>
                <c:pt idx="168">
                  <c:v>0.32909061940878609</c:v>
                </c:pt>
                <c:pt idx="169">
                  <c:v>0.33063889320614281</c:v>
                </c:pt>
                <c:pt idx="170">
                  <c:v>0.33219673804347349</c:v>
                </c:pt>
                <c:pt idx="171">
                  <c:v>0.33376416086360838</c:v>
                </c:pt>
                <c:pt idx="172">
                  <c:v>0.33534116865463892</c:v>
                </c:pt>
                <c:pt idx="173">
                  <c:v>0.33692776844999667</c:v>
                </c:pt>
                <c:pt idx="174">
                  <c:v>0.33852396732853274</c:v>
                </c:pt>
                <c:pt idx="175">
                  <c:v>0.34012977241459791</c:v>
                </c:pt>
                <c:pt idx="176">
                  <c:v>0.34174519087812327</c:v>
                </c:pt>
                <c:pt idx="177">
                  <c:v>0.34337022993470151</c:v>
                </c:pt>
                <c:pt idx="178">
                  <c:v>0.34500489684566826</c:v>
                </c:pt>
                <c:pt idx="179">
                  <c:v>0.3466491989181848</c:v>
                </c:pt>
                <c:pt idx="180">
                  <c:v>0.34830314350532099</c:v>
                </c:pt>
                <c:pt idx="181">
                  <c:v>0.34996673800613809</c:v>
                </c:pt>
                <c:pt idx="182">
                  <c:v>0.35163998986577349</c:v>
                </c:pt>
                <c:pt idx="183">
                  <c:v>0.35332290657552501</c:v>
                </c:pt>
                <c:pt idx="184">
                  <c:v>0.35501549567293572</c:v>
                </c:pt>
                <c:pt idx="185">
                  <c:v>0.35671776474188011</c:v>
                </c:pt>
                <c:pt idx="186">
                  <c:v>0.35842972141265017</c:v>
                </c:pt>
                <c:pt idx="187">
                  <c:v>0.36015137336204239</c:v>
                </c:pt>
                <c:pt idx="188">
                  <c:v>0.36188272831344492</c:v>
                </c:pt>
                <c:pt idx="189">
                  <c:v>0.36362379403692613</c:v>
                </c:pt>
                <c:pt idx="190">
                  <c:v>0.36537457834932252</c:v>
                </c:pt>
                <c:pt idx="191">
                  <c:v>0.36713508911432857</c:v>
                </c:pt>
                <c:pt idx="192">
                  <c:v>0.36890533424258609</c:v>
                </c:pt>
                <c:pt idx="193">
                  <c:v>0.37068532169177459</c:v>
                </c:pt>
                <c:pt idx="194">
                  <c:v>0.37247505946670301</c:v>
                </c:pt>
                <c:pt idx="195">
                  <c:v>0.37427455561939971</c:v>
                </c:pt>
                <c:pt idx="196">
                  <c:v>0.37608381824920656</c:v>
                </c:pt>
                <c:pt idx="197">
                  <c:v>0.37790285550286995</c:v>
                </c:pt>
                <c:pt idx="198">
                  <c:v>0.37973167557463516</c:v>
                </c:pt>
                <c:pt idx="199">
                  <c:v>0.3815702867063403</c:v>
                </c:pt>
                <c:pt idx="200">
                  <c:v>0.38341869718751015</c:v>
                </c:pt>
              </c:numCache>
            </c:numRef>
          </c:yVal>
          <c:smooth val="0"/>
          <c:extLst>
            <c:ext xmlns:c16="http://schemas.microsoft.com/office/drawing/2014/chart" uri="{C3380CC4-5D6E-409C-BE32-E72D297353CC}">
              <c16:uniqueId val="{00000002-224D-4C5D-9638-87D4BF1AF418}"/>
            </c:ext>
          </c:extLst>
        </c:ser>
        <c:dLbls>
          <c:showLegendKey val="0"/>
          <c:showVal val="0"/>
          <c:showCatName val="0"/>
          <c:showSerName val="0"/>
          <c:showPercent val="0"/>
          <c:showBubbleSize val="0"/>
        </c:dLbls>
        <c:axId val="177296512"/>
        <c:axId val="177298432"/>
      </c:scatterChart>
      <c:valAx>
        <c:axId val="177296512"/>
        <c:scaling>
          <c:orientation val="minMax"/>
          <c:min val="0"/>
        </c:scaling>
        <c:delete val="0"/>
        <c:axPos val="b"/>
        <c:majorGridlines/>
        <c:title>
          <c:tx>
            <c:rich>
              <a:bodyPr/>
              <a:lstStyle/>
              <a:p>
                <a:pPr>
                  <a:defRPr sz="975" b="1" i="0" u="none" strike="noStrike" baseline="0">
                    <a:solidFill>
                      <a:srgbClr val="000000"/>
                    </a:solidFill>
                    <a:latin typeface="Arial"/>
                    <a:ea typeface="Arial"/>
                    <a:cs typeface="Arial"/>
                  </a:defRPr>
                </a:pPr>
                <a:r>
                  <a:rPr lang="en-US"/>
                  <a:t>Iout (A)</a:t>
                </a:r>
              </a:p>
            </c:rich>
          </c:tx>
          <c:layout>
            <c:manualLayout>
              <c:xMode val="edge"/>
              <c:yMode val="edge"/>
              <c:x val="0.47898089171975411"/>
              <c:y val="0.9254040724748190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77298432"/>
        <c:crosses val="autoZero"/>
        <c:crossBetween val="midCat"/>
      </c:valAx>
      <c:valAx>
        <c:axId val="177298432"/>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rgbClr val="000000"/>
                    </a:solidFill>
                    <a:latin typeface="Arial"/>
                    <a:ea typeface="Arial"/>
                    <a:cs typeface="Arial"/>
                  </a:defRPr>
                </a:pPr>
                <a:r>
                  <a:rPr lang="en-US"/>
                  <a:t>Power Disipation (W)</a:t>
                </a:r>
              </a:p>
            </c:rich>
          </c:tx>
          <c:layout>
            <c:manualLayout>
              <c:xMode val="edge"/>
              <c:yMode val="edge"/>
              <c:x val="1.9108280254777267E-2"/>
              <c:y val="0.37298429430192653"/>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77296512"/>
        <c:crosses val="autoZero"/>
        <c:crossBetween val="midCat"/>
      </c:valAx>
      <c:spPr>
        <a:solidFill>
          <a:srgbClr val="C0C0C0"/>
        </a:solidFill>
        <a:ln w="12700">
          <a:solidFill>
            <a:srgbClr val="808080"/>
          </a:solidFill>
          <a:prstDash val="solid"/>
        </a:ln>
      </c:spPr>
    </c:plotArea>
    <c:legend>
      <c:legendPos val="r"/>
      <c:layout>
        <c:manualLayout>
          <c:xMode val="edge"/>
          <c:yMode val="edge"/>
          <c:x val="0.84585987261148066"/>
          <c:y val="1.0080645161290319E-2"/>
          <c:w val="0.14904458598726408"/>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 Overall Efficiency</a:t>
            </a:r>
          </a:p>
        </c:rich>
      </c:tx>
      <c:layout>
        <c:manualLayout>
          <c:xMode val="edge"/>
          <c:yMode val="edge"/>
          <c:x val="0.41192468827576079"/>
          <c:y val="3.0241935483871732E-2"/>
        </c:manualLayout>
      </c:layout>
      <c:overlay val="0"/>
      <c:spPr>
        <a:noFill/>
        <a:ln w="25400">
          <a:noFill/>
        </a:ln>
      </c:spPr>
    </c:title>
    <c:autoTitleDeleted val="0"/>
    <c:plotArea>
      <c:layout>
        <c:manualLayout>
          <c:layoutTarget val="inner"/>
          <c:xMode val="edge"/>
          <c:yMode val="edge"/>
          <c:x val="0.12330639622818776"/>
          <c:y val="0.15927435034411094"/>
          <c:w val="0.80758914452747144"/>
          <c:h val="0.72983942815909986"/>
        </c:manualLayout>
      </c:layout>
      <c:scatterChart>
        <c:scatterStyle val="lineMarker"/>
        <c:varyColors val="0"/>
        <c:ser>
          <c:idx val="0"/>
          <c:order val="0"/>
          <c:spPr>
            <a:ln w="38100">
              <a:solidFill>
                <a:srgbClr val="00008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Calculations'!$AQ$9:$AQ$209</c:f>
              <c:numCache>
                <c:formatCode>0.00%</c:formatCode>
                <c:ptCount val="201"/>
                <c:pt idx="0">
                  <c:v>0</c:v>
                </c:pt>
                <c:pt idx="1">
                  <c:v>0.21013996022693718</c:v>
                </c:pt>
                <c:pt idx="2">
                  <c:v>0.34477789557883759</c:v>
                </c:pt>
                <c:pt idx="3">
                  <c:v>0.43839950358145158</c:v>
                </c:pt>
                <c:pt idx="4">
                  <c:v>0.50726364660712331</c:v>
                </c:pt>
                <c:pt idx="5">
                  <c:v>0.56003878381524164</c:v>
                </c:pt>
                <c:pt idx="6">
                  <c:v>0.60176948019616283</c:v>
                </c:pt>
                <c:pt idx="7">
                  <c:v>0.63559094792953363</c:v>
                </c:pt>
                <c:pt idx="8">
                  <c:v>0.66355431167303669</c:v>
                </c:pt>
                <c:pt idx="9">
                  <c:v>0.68705789340180101</c:v>
                </c:pt>
                <c:pt idx="10">
                  <c:v>0.7070877773895321</c:v>
                </c:pt>
                <c:pt idx="11">
                  <c:v>0.72435929649262287</c:v>
                </c:pt>
                <c:pt idx="12">
                  <c:v>0.7394039891810037</c:v>
                </c:pt>
                <c:pt idx="13">
                  <c:v>0.7526250658306578</c:v>
                </c:pt>
                <c:pt idx="14">
                  <c:v>0.76433393173460307</c:v>
                </c:pt>
                <c:pt idx="15">
                  <c:v>0.77477490826636186</c:v>
                </c:pt>
                <c:pt idx="16">
                  <c:v>0.78414237400937148</c:v>
                </c:pt>
                <c:pt idx="17">
                  <c:v>0.79259290558496964</c:v>
                </c:pt>
                <c:pt idx="18">
                  <c:v>0.80025404104258702</c:v>
                </c:pt>
                <c:pt idx="19">
                  <c:v>0.80723071339915708</c:v>
                </c:pt>
                <c:pt idx="20">
                  <c:v>0.81361004632009393</c:v>
                </c:pt>
                <c:pt idx="21">
                  <c:v>0.81946497860396683</c:v>
                </c:pt>
                <c:pt idx="22">
                  <c:v>0.82485703811922495</c:v>
                </c:pt>
                <c:pt idx="23">
                  <c:v>0.83031722029847355</c:v>
                </c:pt>
                <c:pt idx="24">
                  <c:v>0.83562688347728842</c:v>
                </c:pt>
                <c:pt idx="25">
                  <c:v>0.84056826186039646</c:v>
                </c:pt>
                <c:pt idx="26">
                  <c:v>0.84517795187044753</c:v>
                </c:pt>
                <c:pt idx="27">
                  <c:v>0.84948785646976599</c:v>
                </c:pt>
                <c:pt idx="28">
                  <c:v>0.8535259141970577</c:v>
                </c:pt>
                <c:pt idx="29">
                  <c:v>0.85731669640867303</c:v>
                </c:pt>
                <c:pt idx="30">
                  <c:v>0.86088189970841411</c:v>
                </c:pt>
                <c:pt idx="31">
                  <c:v>0.86424075441531323</c:v>
                </c:pt>
                <c:pt idx="32">
                  <c:v>0.86741036530986071</c:v>
                </c:pt>
                <c:pt idx="33">
                  <c:v>0.87040599740559454</c:v>
                </c:pt>
                <c:pt idx="34">
                  <c:v>0.87324131682271744</c:v>
                </c:pt>
                <c:pt idx="35">
                  <c:v>0.87592859478339058</c:v>
                </c:pt>
                <c:pt idx="36">
                  <c:v>0.87847888115198858</c:v>
                </c:pt>
                <c:pt idx="37">
                  <c:v>0.88090215269603622</c:v>
                </c:pt>
                <c:pt idx="38">
                  <c:v>0.88320744026212694</c:v>
                </c:pt>
                <c:pt idx="39">
                  <c:v>0.88540293828421068</c:v>
                </c:pt>
                <c:pt idx="40">
                  <c:v>0.88749609942295915</c:v>
                </c:pt>
                <c:pt idx="41">
                  <c:v>0.88949371663945387</c:v>
                </c:pt>
                <c:pt idx="42">
                  <c:v>0.89140199460752279</c:v>
                </c:pt>
                <c:pt idx="43">
                  <c:v>0.89322661204620901</c:v>
                </c:pt>
                <c:pt idx="44">
                  <c:v>0.89497277629131722</c:v>
                </c:pt>
                <c:pt idx="45">
                  <c:v>0.89664527121046467</c:v>
                </c:pt>
                <c:pt idx="46">
                  <c:v>0.89824849939003337</c:v>
                </c:pt>
                <c:pt idx="47">
                  <c:v>0.89978651937731979</c:v>
                </c:pt>
                <c:pt idx="48">
                  <c:v>0.90126307864111443</c:v>
                </c:pt>
                <c:pt idx="49">
                  <c:v>0.90268164281418506</c:v>
                </c:pt>
                <c:pt idx="50">
                  <c:v>0.90404542169795543</c:v>
                </c:pt>
                <c:pt idx="51">
                  <c:v>0.90535739244004898</c:v>
                </c:pt>
                <c:pt idx="52">
                  <c:v>0.90662032023689754</c:v>
                </c:pt>
                <c:pt idx="53">
                  <c:v>0.90783677686434561</c:v>
                </c:pt>
                <c:pt idx="54">
                  <c:v>0.90900915729753973</c:v>
                </c:pt>
                <c:pt idx="55">
                  <c:v>0.9101396946460677</c:v>
                </c:pt>
                <c:pt idx="56">
                  <c:v>0.91123047360028453</c:v>
                </c:pt>
                <c:pt idx="57">
                  <c:v>0.91228344255914573</c:v>
                </c:pt>
                <c:pt idx="58">
                  <c:v>0.9133004245879528</c:v>
                </c:pt>
                <c:pt idx="59">
                  <c:v>0.91428312733563366</c:v>
                </c:pt>
                <c:pt idx="60">
                  <c:v>0.91523315202502253</c:v>
                </c:pt>
                <c:pt idx="61">
                  <c:v>0.91615200161567778</c:v>
                </c:pt>
                <c:pt idx="62">
                  <c:v>0.91704108822675112</c:v>
                </c:pt>
                <c:pt idx="63">
                  <c:v>0.91790173989699575</c:v>
                </c:pt>
                <c:pt idx="64">
                  <c:v>0.9187352067499599</c:v>
                </c:pt>
                <c:pt idx="65">
                  <c:v>0.91954266662454509</c:v>
                </c:pt>
                <c:pt idx="66">
                  <c:v>0.92032523022424695</c:v>
                </c:pt>
                <c:pt idx="67">
                  <c:v>0.92108394583240694</c:v>
                </c:pt>
                <c:pt idx="68">
                  <c:v>0.92181980363555815</c:v>
                </c:pt>
                <c:pt idx="69">
                  <c:v>0.9225337396923462</c:v>
                </c:pt>
                <c:pt idx="70">
                  <c:v>0.92322663958146833</c:v>
                </c:pt>
                <c:pt idx="71">
                  <c:v>0.92389934175851152</c:v>
                </c:pt>
                <c:pt idx="72">
                  <c:v>0.92455264064843656</c:v>
                </c:pt>
                <c:pt idx="73">
                  <c:v>0.92518728949768092</c:v>
                </c:pt>
                <c:pt idx="74">
                  <c:v>0.92580400300739918</c:v>
                </c:pt>
                <c:pt idx="75">
                  <c:v>0.92640345976719007</c:v>
                </c:pt>
                <c:pt idx="76">
                  <c:v>0.92698630450672426</c:v>
                </c:pt>
                <c:pt idx="77">
                  <c:v>0.92755315018097462</c:v>
                </c:pt>
                <c:pt idx="78">
                  <c:v>0.92810457990321982</c:v>
                </c:pt>
                <c:pt idx="79">
                  <c:v>0.92864114873862935</c:v>
                </c:pt>
                <c:pt idx="80">
                  <c:v>0.92916338537002718</c:v>
                </c:pt>
                <c:pt idx="81">
                  <c:v>0.92967179364632846</c:v>
                </c:pt>
                <c:pt idx="82">
                  <c:v>0.93016685402318755</c:v>
                </c:pt>
                <c:pt idx="83">
                  <c:v>0.93064902490450352</c:v>
                </c:pt>
                <c:pt idx="84">
                  <c:v>0.93111874389265747</c:v>
                </c:pt>
                <c:pt idx="85">
                  <c:v>0.93157642895464221</c:v>
                </c:pt>
                <c:pt idx="86">
                  <c:v>0.93202247951061334</c:v>
                </c:pt>
                <c:pt idx="87">
                  <c:v>0.93245727745081675</c:v>
                </c:pt>
                <c:pt idx="88">
                  <c:v>0.93288118808633058</c:v>
                </c:pt>
                <c:pt idx="89">
                  <c:v>0.93329456103859376</c:v>
                </c:pt>
                <c:pt idx="90">
                  <c:v>0.93369773107227028</c:v>
                </c:pt>
                <c:pt idx="91">
                  <c:v>0.9340910188756153</c:v>
                </c:pt>
                <c:pt idx="92">
                  <c:v>0.93447473179216523</c:v>
                </c:pt>
                <c:pt idx="93">
                  <c:v>0.93484916450725597</c:v>
                </c:pt>
                <c:pt idx="94">
                  <c:v>0.93521459969259069</c:v>
                </c:pt>
                <c:pt idx="95">
                  <c:v>0.93557130861181714</c:v>
                </c:pt>
                <c:pt idx="96">
                  <c:v>0.93591955168983887</c:v>
                </c:pt>
                <c:pt idx="97">
                  <c:v>0.93625957904836954</c:v>
                </c:pt>
                <c:pt idx="98">
                  <c:v>0.93659163101004128</c:v>
                </c:pt>
                <c:pt idx="99">
                  <c:v>0.93691593857320232</c:v>
                </c:pt>
                <c:pt idx="100">
                  <c:v>0.93723272385937151</c:v>
                </c:pt>
                <c:pt idx="101">
                  <c:v>0.93754220053517046</c:v>
                </c:pt>
                <c:pt idx="102">
                  <c:v>0.93784457421041389</c:v>
                </c:pt>
                <c:pt idx="103">
                  <c:v>0.93814004281391772</c:v>
                </c:pt>
                <c:pt idx="104">
                  <c:v>0.93842879694846515</c:v>
                </c:pt>
                <c:pt idx="105">
                  <c:v>0.93871102022626607</c:v>
                </c:pt>
                <c:pt idx="106">
                  <c:v>0.93898688958615151</c:v>
                </c:pt>
                <c:pt idx="107">
                  <c:v>0.93925657559365006</c:v>
                </c:pt>
                <c:pt idx="108">
                  <c:v>0.93952024272501655</c:v>
                </c:pt>
                <c:pt idx="109">
                  <c:v>0.93977804963620482</c:v>
                </c:pt>
                <c:pt idx="110">
                  <c:v>0.9400301494177058</c:v>
                </c:pt>
                <c:pt idx="111">
                  <c:v>0.94027668983611434</c:v>
                </c:pt>
                <c:pt idx="112">
                  <c:v>0.94051781356321817</c:v>
                </c:pt>
                <c:pt idx="113">
                  <c:v>0.94075365839335934</c:v>
                </c:pt>
                <c:pt idx="114">
                  <c:v>0.94098435744976106</c:v>
                </c:pt>
                <c:pt idx="115">
                  <c:v>0.94121003938046732</c:v>
                </c:pt>
                <c:pt idx="116">
                  <c:v>0.94143082854450011</c:v>
                </c:pt>
                <c:pt idx="117">
                  <c:v>0.94164684518880193</c:v>
                </c:pt>
                <c:pt idx="118">
                  <c:v>0.94185820561648781</c:v>
                </c:pt>
                <c:pt idx="119">
                  <c:v>0.94206502234690248</c:v>
                </c:pt>
                <c:pt idx="120">
                  <c:v>0.9422674042679462</c:v>
                </c:pt>
                <c:pt idx="121">
                  <c:v>0.9424654567810975</c:v>
                </c:pt>
                <c:pt idx="122">
                  <c:v>0.94265928193954174</c:v>
                </c:pt>
                <c:pt idx="123">
                  <c:v>0.94284897857978367</c:v>
                </c:pt>
                <c:pt idx="124">
                  <c:v>0.94303464244709834</c:v>
                </c:pt>
                <c:pt idx="125">
                  <c:v>0.94321636631515671</c:v>
                </c:pt>
                <c:pt idx="126">
                  <c:v>0.94339424010013706</c:v>
                </c:pt>
                <c:pt idx="127">
                  <c:v>0.94356835096961833</c:v>
                </c:pt>
                <c:pt idx="128">
                  <c:v>0.94373878344652995</c:v>
                </c:pt>
                <c:pt idx="129">
                  <c:v>0.94390561950841823</c:v>
                </c:pt>
                <c:pt idx="130">
                  <c:v>0.94406893868227559</c:v>
                </c:pt>
                <c:pt idx="131">
                  <c:v>0.94422881813516002</c:v>
                </c:pt>
                <c:pt idx="132">
                  <c:v>0.94438533276082126</c:v>
                </c:pt>
                <c:pt idx="133">
                  <c:v>0.94453855526254027</c:v>
                </c:pt>
                <c:pt idx="134">
                  <c:v>0.94468855623236958</c:v>
                </c:pt>
                <c:pt idx="135">
                  <c:v>0.944835404226959</c:v>
                </c:pt>
                <c:pt idx="136">
                  <c:v>0.94497916584013608</c:v>
                </c:pt>
                <c:pt idx="137">
                  <c:v>0.94511990577240068</c:v>
                </c:pt>
                <c:pt idx="138">
                  <c:v>0.94525768689748824</c:v>
                </c:pt>
                <c:pt idx="139">
                  <c:v>0.94539257032614343</c:v>
                </c:pt>
                <c:pt idx="140">
                  <c:v>0.9455246154672392</c:v>
                </c:pt>
                <c:pt idx="141">
                  <c:v>0.94565388008637097</c:v>
                </c:pt>
                <c:pt idx="142">
                  <c:v>0.94578042036204502</c:v>
                </c:pt>
                <c:pt idx="143">
                  <c:v>0.94590429093957662</c:v>
                </c:pt>
                <c:pt idx="144">
                  <c:v>0.94602554498280567</c:v>
                </c:pt>
                <c:pt idx="145">
                  <c:v>0.94614423422373239</c:v>
                </c:pt>
                <c:pt idx="146">
                  <c:v>0.94626040901017006</c:v>
                </c:pt>
                <c:pt idx="147">
                  <c:v>0.94637411835150587</c:v>
                </c:pt>
                <c:pt idx="148">
                  <c:v>0.94648540996265851</c:v>
                </c:pt>
                <c:pt idx="149">
                  <c:v>0.9465943303063129</c:v>
                </c:pt>
                <c:pt idx="150">
                  <c:v>0.94670092463351241</c:v>
                </c:pt>
                <c:pt idx="151">
                  <c:v>0.94680523702268027</c:v>
                </c:pt>
                <c:pt idx="152">
                  <c:v>0.94690731041714304</c:v>
                </c:pt>
                <c:pt idx="153">
                  <c:v>0.94700718666122041</c:v>
                </c:pt>
                <c:pt idx="154">
                  <c:v>0.94710490653494783</c:v>
                </c:pt>
                <c:pt idx="155">
                  <c:v>0.94720050978748771</c:v>
                </c:pt>
                <c:pt idx="156">
                  <c:v>0.94729403516929123</c:v>
                </c:pt>
                <c:pt idx="157">
                  <c:v>0.94738552046306224</c:v>
                </c:pt>
                <c:pt idx="158">
                  <c:v>0.94747500251357497</c:v>
                </c:pt>
                <c:pt idx="159">
                  <c:v>0.94756251725639551</c:v>
                </c:pt>
                <c:pt idx="160">
                  <c:v>0.94764809974555431</c:v>
                </c:pt>
                <c:pt idx="161">
                  <c:v>0.94773178418021242</c:v>
                </c:pt>
                <c:pt idx="162">
                  <c:v>0.94781360393036529</c:v>
                </c:pt>
                <c:pt idx="163">
                  <c:v>0.94789359156162434</c:v>
                </c:pt>
                <c:pt idx="164">
                  <c:v>0.94797177885911332</c:v>
                </c:pt>
                <c:pt idx="165">
                  <c:v>0.94804819685051844</c:v>
                </c:pt>
                <c:pt idx="166">
                  <c:v>0.94812287582832444</c:v>
                </c:pt>
                <c:pt idx="167">
                  <c:v>0.94819584537127188</c:v>
                </c:pt>
                <c:pt idx="168">
                  <c:v>0.94826713436506693</c:v>
                </c:pt>
                <c:pt idx="169">
                  <c:v>0.94833677102237235</c:v>
                </c:pt>
                <c:pt idx="170">
                  <c:v>0.94840478290211105</c:v>
                </c:pt>
                <c:pt idx="171">
                  <c:v>0.94847119692810722</c:v>
                </c:pt>
                <c:pt idx="172">
                  <c:v>0.94853603940709363</c:v>
                </c:pt>
                <c:pt idx="173">
                  <c:v>0.94859933604610847</c:v>
                </c:pt>
                <c:pt idx="174">
                  <c:v>0.94866111196930591</c:v>
                </c:pt>
                <c:pt idx="175">
                  <c:v>0.94872139173420433</c:v>
                </c:pt>
                <c:pt idx="176">
                  <c:v>0.94878019934739233</c:v>
                </c:pt>
                <c:pt idx="177">
                  <c:v>0.94883755827971661</c:v>
                </c:pt>
                <c:pt idx="178">
                  <c:v>0.94889349148096669</c:v>
                </c:pt>
                <c:pt idx="179">
                  <c:v>0.94894802139408074</c:v>
                </c:pt>
                <c:pt idx="180">
                  <c:v>0.94900116996888761</c:v>
                </c:pt>
                <c:pt idx="181">
                  <c:v>0.94905295867540362</c:v>
                </c:pt>
                <c:pt idx="182">
                  <c:v>0.94910340851670028</c:v>
                </c:pt>
                <c:pt idx="183">
                  <c:v>0.94915254004136063</c:v>
                </c:pt>
                <c:pt idx="184">
                  <c:v>0.94920037335553686</c:v>
                </c:pt>
                <c:pt idx="185">
                  <c:v>0.94924692813462641</c:v>
                </c:pt>
                <c:pt idx="186">
                  <c:v>0.94929222363457888</c:v>
                </c:pt>
                <c:pt idx="187">
                  <c:v>0.94933627870284876</c:v>
                </c:pt>
                <c:pt idx="188">
                  <c:v>0.94937911178900491</c:v>
                </c:pt>
                <c:pt idx="189">
                  <c:v>0.94942074095501217</c:v>
                </c:pt>
                <c:pt idx="190">
                  <c:v>0.94946118388519274</c:v>
                </c:pt>
                <c:pt idx="191">
                  <c:v>0.94950045789588366</c:v>
                </c:pt>
                <c:pt idx="192">
                  <c:v>0.94953857994479696</c:v>
                </c:pt>
                <c:pt idx="193">
                  <c:v>0.94957556664009646</c:v>
                </c:pt>
                <c:pt idx="194">
                  <c:v>0.94961143424919725</c:v>
                </c:pt>
                <c:pt idx="195">
                  <c:v>0.94964619870730338</c:v>
                </c:pt>
                <c:pt idx="196">
                  <c:v>0.94967987562568612</c:v>
                </c:pt>
                <c:pt idx="197">
                  <c:v>0.94971248029971722</c:v>
                </c:pt>
                <c:pt idx="198">
                  <c:v>0.94974402771666366</c:v>
                </c:pt>
                <c:pt idx="199">
                  <c:v>0.94977453256325028</c:v>
                </c:pt>
                <c:pt idx="200">
                  <c:v>0.94980400923300279</c:v>
                </c:pt>
              </c:numCache>
            </c:numRef>
          </c:yVal>
          <c:smooth val="0"/>
          <c:extLst>
            <c:ext xmlns:c16="http://schemas.microsoft.com/office/drawing/2014/chart" uri="{C3380CC4-5D6E-409C-BE32-E72D297353CC}">
              <c16:uniqueId val="{00000000-63C5-4D6A-B9BD-1C49DB4002EC}"/>
            </c:ext>
          </c:extLst>
        </c:ser>
        <c:dLbls>
          <c:showLegendKey val="0"/>
          <c:showVal val="0"/>
          <c:showCatName val="0"/>
          <c:showSerName val="0"/>
          <c:showPercent val="0"/>
          <c:showBubbleSize val="0"/>
        </c:dLbls>
        <c:axId val="177307008"/>
        <c:axId val="177313280"/>
      </c:scatterChart>
      <c:valAx>
        <c:axId val="177307008"/>
        <c:scaling>
          <c:orientation val="minMax"/>
          <c:min val="0"/>
        </c:scaling>
        <c:delete val="0"/>
        <c:axPos val="b"/>
        <c:majorGridlines/>
        <c:title>
          <c:tx>
            <c:rich>
              <a:bodyPr/>
              <a:lstStyle/>
              <a:p>
                <a:pPr>
                  <a:defRPr sz="1025" b="1" i="0" u="none" strike="noStrike" baseline="0">
                    <a:solidFill>
                      <a:srgbClr val="000000"/>
                    </a:solidFill>
                    <a:latin typeface="Arial"/>
                    <a:ea typeface="Arial"/>
                    <a:cs typeface="Arial"/>
                  </a:defRPr>
                </a:pPr>
                <a:r>
                  <a:rPr lang="en-US"/>
                  <a:t>Iout (A)</a:t>
                </a:r>
              </a:p>
            </c:rich>
          </c:tx>
          <c:layout>
            <c:manualLayout>
              <c:xMode val="edge"/>
              <c:yMode val="edge"/>
              <c:x val="0.49051561644225661"/>
              <c:y val="0.9435492337651399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77313280"/>
        <c:crosses val="autoZero"/>
        <c:crossBetween val="midCat"/>
      </c:valAx>
      <c:valAx>
        <c:axId val="177313280"/>
        <c:scaling>
          <c:orientation val="minMax"/>
          <c:min val="0.5"/>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5965E-3"/>
              <c:y val="0.4274197781728962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77307008"/>
        <c:crosses val="autoZero"/>
        <c:crossBetween val="midCat"/>
      </c:valAx>
      <c:spPr>
        <a:solidFill>
          <a:srgbClr val="C0C0C0"/>
        </a:solidFill>
        <a:ln w="12700">
          <a:solidFill>
            <a:srgbClr val="808080"/>
          </a:solidFill>
          <a:prstDash val="solid"/>
        </a:ln>
      </c:spPr>
    </c:plotArea>
    <c:legend>
      <c:legendPos val="r"/>
      <c:layout>
        <c:manualLayout>
          <c:xMode val="edge"/>
          <c:yMode val="edge"/>
          <c:x val="0.85636970175475957"/>
          <c:y val="3.6290322580645677E-2"/>
          <c:w val="0.11788632112042907"/>
          <c:h val="4.2338709677419352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22" fmlaRange="$1:$1048576" noThreeD="1" sel="0"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pin" dx="16" fmlaLink="$E$61" max="150" min="10" page="10" val="30"/>
</file>

<file path=xl/ctrlProps/ctrlProp5.xml><?xml version="1.0" encoding="utf-8"?>
<formControlPr xmlns="http://schemas.microsoft.com/office/spreadsheetml/2009/9/main" objectType="Spin" dx="16" fmlaLink="$E$67" max="100" min="1" page="10" val="9"/>
</file>

<file path=xl/ctrlProps/ctrlProp6.xml><?xml version="1.0" encoding="utf-8"?>
<formControlPr xmlns="http://schemas.microsoft.com/office/spreadsheetml/2009/9/main" objectType="Spin" dx="16" fmlaLink="$E$68" max="100" min="1" page="10" val="3"/>
</file>

<file path=xl/ctrlProps/ctrlProp7.xml><?xml version="1.0" encoding="utf-8"?>
<formControlPr xmlns="http://schemas.microsoft.com/office/spreadsheetml/2009/9/main" objectType="Spin" dx="16" fmlaLink="$E$69" inc="10" max="1000" min="100" page="10" val="120"/>
</file>

<file path=xl/ctrlProps/ctrlProp8.xml><?xml version="1.0" encoding="utf-8"?>
<formControlPr xmlns="http://schemas.microsoft.com/office/spreadsheetml/2009/9/main" objectType="Spin" dx="16" fmlaLink="$E$70" inc="10" max="1000" min="100" page="10" val="150"/>
</file>

<file path=xl/ctrlProps/ctrlProp9.xml><?xml version="1.0" encoding="utf-8"?>
<formControlPr xmlns="http://schemas.microsoft.com/office/spreadsheetml/2009/9/main" objectType="Drop" dropLines="2" dropStyle="combo" dx="16" fmlaLink="'Variable Management'!$M$56" fmlaRange="'Variable Management'!$L$54:$L$55" noThreeD="1" sel="1" val="0"/>
</file>

<file path=xl/ctrlProps/ctrlProp10.xml><?xml version="1.0" encoding="utf-8"?>
<formControlPr xmlns="http://schemas.microsoft.com/office/spreadsheetml/2009/9/main" objectType="Drop" dropLines="5" dropStyle="combo" dx="16" fmlaLink="'Variable Management'!$V$12" fmlaRange="'Variable Management'!$U$7:$U$11" noThreeD="1" sel="3" val="0"/>
</file>

<file path=xl/ctrlProps/ctrlProp11.xml><?xml version="1.0" encoding="utf-8"?>
<formControlPr xmlns="http://schemas.microsoft.com/office/spreadsheetml/2009/9/main" objectType="Drop" dropLines="2" dropStyle="combo" dx="16" fmlaLink="'Variable Management'!$V$21" fmlaRange="'Variable Management'!$U$19:$U$20" noThreeD="1" sel="1" val="0"/>
</file>

<file path=xl/ctrlProps/ctrlProp12.xml><?xml version="1.0" encoding="utf-8"?>
<formControlPr xmlns="http://schemas.microsoft.com/office/spreadsheetml/2009/9/main" objectType="Drop" dropLines="4" dropStyle="combo" dx="16" fmlaLink="'Schematic &amp; BOM'!$Q$49" fmlaRange="'Variable Management'!$L$48:$L$51" noThreeD="1" sel="1" val="0"/>
</file>

<file path=xl/ctrlProps/ctrlProp13.xml><?xml version="1.0" encoding="utf-8"?>
<formControlPr xmlns="http://schemas.microsoft.com/office/spreadsheetml/2009/9/main" objectType="Drop" dropStyle="combo" dx="16" fmlaLink="$Q$50" fmlaRange="'Variable Management'!$L$48:$L$51" noThreeD="1" sel="1" val="0"/>
</file>

<file path=xl/ctrlProps/ctrlProp14.xml><?xml version="1.0" encoding="utf-8"?>
<formControlPr xmlns="http://schemas.microsoft.com/office/spreadsheetml/2009/9/main" objectType="Drop" dropLines="3" dropStyle="combo" dx="16" fmlaLink="$Q$38" fmlaRange="'Variable Management'!$L$69:$L$71" noThreeD="1" sel="2" val="0"/>
</file>

<file path=xl/ctrlProps/ctrlProp15.xml><?xml version="1.0" encoding="utf-8"?>
<formControlPr xmlns="http://schemas.microsoft.com/office/spreadsheetml/2009/9/main" objectType="Drop" dropLines="3" dropStyle="combo" dx="16" fmlaLink="$Q$39" fmlaRange="'Variable Management'!$L$69:$L$71" noThreeD="1" sel="1" val="0"/>
</file>

<file path=xl/ctrlProps/ctrlProp16.xml><?xml version="1.0" encoding="utf-8"?>
<formControlPr xmlns="http://schemas.microsoft.com/office/spreadsheetml/2009/9/main" objectType="Drop" dropLines="3" dropStyle="combo" dx="16" fmlaLink="$Q$40" fmlaRange="'Variable Management'!$L$69:$L$71" noThreeD="1" sel="1" val="0"/>
</file>

<file path=xl/ctrlProps/ctrlProp17.xml><?xml version="1.0" encoding="utf-8"?>
<formControlPr xmlns="http://schemas.microsoft.com/office/spreadsheetml/2009/9/main" objectType="Drop" dropLines="3" dropStyle="combo" dx="16" fmlaLink="$Q$41" fmlaRange="'Variable Management'!$L$69:$L$71" noThreeD="1" sel="1" val="0"/>
</file>

<file path=xl/ctrlProps/ctrlProp18.xml><?xml version="1.0" encoding="utf-8"?>
<formControlPr xmlns="http://schemas.microsoft.com/office/spreadsheetml/2009/9/main" objectType="Drop" dropLines="3" dropStyle="combo" dx="16" fmlaLink="$Q$42" fmlaRange="'Variable Management'!$L$69:$L$71" noThreeD="1" sel="2" val="0"/>
</file>

<file path=xl/ctrlProps/ctrlProp19.xml><?xml version="1.0" encoding="utf-8"?>
<formControlPr xmlns="http://schemas.microsoft.com/office/spreadsheetml/2009/9/main" objectType="Drop" dropLines="3" dropStyle="combo" dx="16" fmlaLink="$Q$45" fmlaRange="'Variable Management'!$L$69:$L$71" noThreeD="1" sel="2" val="0"/>
</file>

<file path=xl/ctrlProps/ctrlProp20.xml><?xml version="1.0" encoding="utf-8"?>
<formControlPr xmlns="http://schemas.microsoft.com/office/spreadsheetml/2009/9/main" objectType="Drop" dropLines="3" dropStyle="combo" dx="16" fmlaLink="$Q$46" fmlaRange="'Variable Management'!$L$69:$L$71" noThreeD="1" sel="3" val="0"/>
</file>

<file path=xl/ctrlProps/ctrlProp21.xml><?xml version="1.0" encoding="utf-8"?>
<formControlPr xmlns="http://schemas.microsoft.com/office/spreadsheetml/2009/9/main" objectType="Drop" dropLines="3" dropStyle="combo" dx="16" fmlaLink="$Q$47" fmlaRange="'Variable Management'!$L$69:$L$71" noThreeD="1" sel="2" val="0"/>
</file>

<file path=xl/ctrlProps/ctrlProp22.xml><?xml version="1.0" encoding="utf-8"?>
<formControlPr xmlns="http://schemas.microsoft.com/office/spreadsheetml/2009/9/main" objectType="Drop" dropLines="3" dropStyle="combo" dx="16" fmlaLink="$Q$52" fmlaRange="'Variable Management'!$L$69:$L$71" noThreeD="1" sel="1" val="0"/>
</file>

<file path=xl/ctrlProps/ctrlProp23.xml><?xml version="1.0" encoding="utf-8"?>
<formControlPr xmlns="http://schemas.microsoft.com/office/spreadsheetml/2009/9/main" objectType="Drop" dropLines="3" dropStyle="combo" dx="16" fmlaLink="$Q$53" fmlaRange="'Variable Management'!$L$69:$L$71" noThreeD="1" sel="1" val="0"/>
</file>

<file path=xl/ctrlProps/ctrlProp24.xml><?xml version="1.0" encoding="utf-8"?>
<formControlPr xmlns="http://schemas.microsoft.com/office/spreadsheetml/2009/9/main" objectType="Drop" dropLines="3" dropStyle="combo" dx="16" fmlaLink="$Q$54" fmlaRange="'Variable Management'!$L$69:$L$71" noThreeD="1" sel="3" val="0"/>
</file>

<file path=xl/ctrlProps/ctrlProp25.xml><?xml version="1.0" encoding="utf-8"?>
<formControlPr xmlns="http://schemas.microsoft.com/office/spreadsheetml/2009/9/main" objectType="Drop" dropLines="3" dropStyle="combo" dx="16" fmlaLink="$Q$55" fmlaRange="'Variable Management'!$L$69:$L$71" noThreeD="1" sel="1" val="0"/>
</file>

<file path=xl/ctrlProps/ctrlProp26.xml><?xml version="1.0" encoding="utf-8"?>
<formControlPr xmlns="http://schemas.microsoft.com/office/spreadsheetml/2009/9/main" objectType="Drop" dropLines="3" dropStyle="combo" dx="16" fmlaLink="$Q$56" fmlaRange="'Variable Management'!$L$69:$L$71" noThreeD="1" sel="1" val="0"/>
</file>

<file path=xl/ctrlProps/ctrlProp27.xml><?xml version="1.0" encoding="utf-8"?>
<formControlPr xmlns="http://schemas.microsoft.com/office/spreadsheetml/2009/9/main" objectType="Drop" dropLines="3" dropStyle="combo" dx="16" fmlaLink="$Q$57" fmlaRange="'Variable Management'!$L$69:$L$71" noThreeD="1" sel="1" val="0"/>
</file>

<file path=xl/ctrlProps/ctrlProp28.xml><?xml version="1.0" encoding="utf-8"?>
<formControlPr xmlns="http://schemas.microsoft.com/office/spreadsheetml/2009/9/main" objectType="Drop" dropLines="3" dropStyle="combo" dx="16" fmlaLink="$Q$58" fmlaRange="'Variable Management'!$L$69:$L$71" noThreeD="1" sel="1" val="0"/>
</file>

<file path=xl/ctrlProps/ctrlProp29.xml><?xml version="1.0" encoding="utf-8"?>
<formControlPr xmlns="http://schemas.microsoft.com/office/spreadsheetml/2009/9/main" objectType="Drop" dropLines="3" dropStyle="combo" dx="16" fmlaLink="$Q$60" fmlaRange="'Variable Management'!$L$69:$L$71" noThreeD="1" sel="2" val="0"/>
</file>

<file path=xl/ctrlProps/ctrlProp30.xml><?xml version="1.0" encoding="utf-8"?>
<formControlPr xmlns="http://schemas.microsoft.com/office/spreadsheetml/2009/9/main" objectType="Drop" dropLines="3" dropStyle="combo" dx="16" fmlaLink="$Q$61" fmlaRange="'Variable Management'!$L$69:$L$71" noThreeD="1" sel="1" val="0"/>
</file>

<file path=xl/ctrlProps/ctrlProp31.xml><?xml version="1.0" encoding="utf-8"?>
<formControlPr xmlns="http://schemas.microsoft.com/office/spreadsheetml/2009/9/main" objectType="Drop" dropLines="3" dropStyle="combo" dx="16" fmlaLink="$Q$62" fmlaRange="'Variable Management'!$L$69:$L$71" noThreeD="1" sel="1" val="0"/>
</file>

<file path=xl/ctrlProps/ctrlProp32.xml><?xml version="1.0" encoding="utf-8"?>
<formControlPr xmlns="http://schemas.microsoft.com/office/spreadsheetml/2009/9/main" objectType="Drop" dropStyle="combo" dx="16" fmlaLink="$Q$48" fmlaRange="'Variable Management'!$L$78:$L$85" noThreeD="1" sel="7" val="0"/>
</file>

<file path=xl/ctrlProps/ctrlProp33.xml><?xml version="1.0" encoding="utf-8"?>
<formControlPr xmlns="http://schemas.microsoft.com/office/spreadsheetml/2009/9/main" objectType="Drop" dropLines="5" dropStyle="combo" dx="16" fmlaLink="$Q$43" fmlaRange="'Variable Management'!$L$69:$L$73" noThreeD="1" sel="5" val="0"/>
</file>

<file path=xl/ctrlProps/ctrlProp34.xml><?xml version="1.0" encoding="utf-8"?>
<formControlPr xmlns="http://schemas.microsoft.com/office/spreadsheetml/2009/9/main" objectType="Drop" dropLines="5" dropStyle="combo" dx="16" fmlaLink="$Q$44" fmlaRange="'Variable Management'!$L$69:$L$73" noThreeD="1" sel="5" val="0"/>
</file>

<file path=xl/ctrlProps/ctrlProp35.xml><?xml version="1.0" encoding="utf-8"?>
<formControlPr xmlns="http://schemas.microsoft.com/office/spreadsheetml/2009/9/main" objectType="Drop" dropLines="2" dropStyle="combo" dx="16" fmlaLink="'Schematic &amp; BOM'!$R$49" fmlaRange="'Variable Management'!$Q$44:$Q$45" noThreeD="1" sel="1" val="0"/>
</file>

<file path=xl/ctrlProps/ctrlProp36.xml><?xml version="1.0" encoding="utf-8"?>
<formControlPr xmlns="http://schemas.microsoft.com/office/spreadsheetml/2009/9/main" objectType="Drop" dropLines="2" dropStyle="combo" dx="16" fmlaLink="$R$50" fmlaRange="'Variable Management'!$Q$44:$Q$45"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2.xml"/><Relationship Id="rId7" Type="http://schemas.openxmlformats.org/officeDocument/2006/relationships/hyperlink" Target="http://www.ti.com/widevin" TargetMode="External"/><Relationship Id="rId2" Type="http://schemas.openxmlformats.org/officeDocument/2006/relationships/chart" Target="../charts/chart1.xml"/><Relationship Id="rId1" Type="http://schemas.openxmlformats.org/officeDocument/2006/relationships/image" Target="../media/image1.emf"/><Relationship Id="rId6" Type="http://schemas.openxmlformats.org/officeDocument/2006/relationships/image" Target="../media/image3.jpg"/><Relationship Id="rId5" Type="http://schemas.openxmlformats.org/officeDocument/2006/relationships/image" Target="../media/image2.jpg"/><Relationship Id="rId4" Type="http://schemas.openxmlformats.org/officeDocument/2006/relationships/hyperlink" Target="http://www.ti.com/power" TargetMode="External"/><Relationship Id="rId9" Type="http://schemas.openxmlformats.org/officeDocument/2006/relationships/image" Target="../media/image5.jpg"/></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8" Type="http://schemas.openxmlformats.org/officeDocument/2006/relationships/image" Target="../media/image15.emf"/><Relationship Id="rId3" Type="http://schemas.openxmlformats.org/officeDocument/2006/relationships/image" Target="../media/image10.jpeg"/><Relationship Id="rId7" Type="http://schemas.openxmlformats.org/officeDocument/2006/relationships/image" Target="../media/image14.emf"/><Relationship Id="rId2" Type="http://schemas.openxmlformats.org/officeDocument/2006/relationships/image" Target="../media/image9.emf"/><Relationship Id="rId1" Type="http://schemas.openxmlformats.org/officeDocument/2006/relationships/image" Target="../media/image8.jpeg"/><Relationship Id="rId6" Type="http://schemas.openxmlformats.org/officeDocument/2006/relationships/image" Target="../media/image13.emf"/><Relationship Id="rId5" Type="http://schemas.openxmlformats.org/officeDocument/2006/relationships/image" Target="../media/image12.emf"/><Relationship Id="rId4" Type="http://schemas.openxmlformats.org/officeDocument/2006/relationships/image" Target="../media/image11.jpeg"/></Relationships>
</file>

<file path=xl/drawings/_rels/drawing6.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7.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388620</xdr:colOff>
          <xdr:row>74</xdr:row>
          <xdr:rowOff>7620</xdr:rowOff>
        </xdr:from>
        <xdr:to>
          <xdr:col>3</xdr:col>
          <xdr:colOff>7620</xdr:colOff>
          <xdr:row>77</xdr:row>
          <xdr:rowOff>22860</xdr:rowOff>
        </xdr:to>
        <xdr:sp macro="" textlink="">
          <xdr:nvSpPr>
            <xdr:cNvPr id="673566" name="Button 798" hidden="1">
              <a:extLst>
                <a:ext uri="{63B3BB69-23CF-44E3-9099-C40C66FF867C}">
                  <a14:compatExt spid="_x0000_s673566"/>
                </a:ext>
                <a:ext uri="{FF2B5EF4-FFF2-40B4-BE49-F238E27FC236}">
                  <a16:creationId xmlns:a16="http://schemas.microsoft.com/office/drawing/2014/main" id="{00000000-0008-0000-0000-00001E47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388620</xdr:colOff>
          <xdr:row>74</xdr:row>
          <xdr:rowOff>7620</xdr:rowOff>
        </xdr:from>
        <xdr:to>
          <xdr:col>3</xdr:col>
          <xdr:colOff>7620</xdr:colOff>
          <xdr:row>77</xdr:row>
          <xdr:rowOff>22860</xdr:rowOff>
        </xdr:to>
        <xdr:sp macro="" textlink="">
          <xdr:nvSpPr>
            <xdr:cNvPr id="673565" name="Button 797" hidden="1">
              <a:extLst>
                <a:ext uri="{63B3BB69-23CF-44E3-9099-C40C66FF867C}">
                  <a14:compatExt spid="_x0000_s673565"/>
                </a:ext>
                <a:ext uri="{FF2B5EF4-FFF2-40B4-BE49-F238E27FC236}">
                  <a16:creationId xmlns:a16="http://schemas.microsoft.com/office/drawing/2014/main" id="{00000000-0008-0000-0000-00001D47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900" b="1" i="0" u="none" strike="noStrike" baseline="0">
                  <a:solidFill>
                    <a:srgbClr val="000000"/>
                  </a:solidFill>
                  <a:latin typeface="Arial"/>
                  <a:cs typeface="Arial"/>
                </a:rPr>
                <a:t>FIX</a:t>
              </a:r>
            </a:p>
            <a:p>
              <a:pPr algn="ctr" rtl="0">
                <a:defRPr sz="1000"/>
              </a:pPr>
              <a:r>
                <a:rPr lang="ja-JP" altLang="en-US" sz="900" b="1" i="0" u="none" strike="noStrike" baseline="0">
                  <a:solidFill>
                    <a:srgbClr val="000000"/>
                  </a:solidFill>
                  <a:latin typeface="Arial"/>
                  <a:cs typeface="Arial"/>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1699260</xdr:colOff>
          <xdr:row>0</xdr:row>
          <xdr:rowOff>449580</xdr:rowOff>
        </xdr:from>
        <xdr:to>
          <xdr:col>16</xdr:col>
          <xdr:colOff>2080260</xdr:colOff>
          <xdr:row>1</xdr:row>
          <xdr:rowOff>30480</xdr:rowOff>
        </xdr:to>
        <xdr:sp macro="" textlink="">
          <xdr:nvSpPr>
            <xdr:cNvPr id="683100" name="Drop Down 1116" hidden="1">
              <a:extLst>
                <a:ext uri="{63B3BB69-23CF-44E3-9099-C40C66FF867C}">
                  <a14:compatExt spid="_x0000_s683100"/>
                </a:ext>
                <a:ext uri="{FF2B5EF4-FFF2-40B4-BE49-F238E27FC236}">
                  <a16:creationId xmlns:a16="http://schemas.microsoft.com/office/drawing/2014/main" id="{00000000-0008-0000-0000-00005C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408044</xdr:colOff>
          <xdr:row>4</xdr:row>
          <xdr:rowOff>244629</xdr:rowOff>
        </xdr:from>
        <xdr:to>
          <xdr:col>16</xdr:col>
          <xdr:colOff>2547247</xdr:colOff>
          <xdr:row>33</xdr:row>
          <xdr:rowOff>44380</xdr:rowOff>
        </xdr:to>
        <xdr:pic>
          <xdr:nvPicPr>
            <xdr:cNvPr id="3" name="Picture 2">
              <a:extLst>
                <a:ext uri="{FF2B5EF4-FFF2-40B4-BE49-F238E27FC236}">
                  <a16:creationId xmlns:a16="http://schemas.microsoft.com/office/drawing/2014/main" id="{00000000-0008-0000-0000-000003000000}"/>
                </a:ext>
              </a:extLst>
            </xdr:cNvPr>
            <xdr:cNvPicPr>
              <a:picLocks noChangeAspect="1"/>
              <a:extLst>
                <a:ext uri="{84589F7E-364E-4C9E-8A38-B11213B215E9}">
                  <a14:cameraTool cellRange="PICTURE10" spid="_x0000_s683189"/>
                </a:ext>
              </a:extLst>
            </xdr:cNvPicPr>
          </xdr:nvPicPr>
          <xdr:blipFill>
            <a:blip xmlns:r="http://schemas.openxmlformats.org/officeDocument/2006/relationships" r:embed="rId1"/>
            <a:stretch>
              <a:fillRect/>
            </a:stretch>
          </xdr:blipFill>
          <xdr:spPr>
            <a:xfrm>
              <a:off x="4155291" y="1401076"/>
              <a:ext cx="9113744" cy="5339939"/>
            </a:xfrm>
            <a:prstGeom prst="rect">
              <a:avLst/>
            </a:prstGeom>
          </xdr:spPr>
        </xdr:pic>
        <xdr:clientData/>
      </xdr:twoCellAnchor>
    </mc:Choice>
    <mc:Fallback/>
  </mc:AlternateContent>
  <xdr:twoCellAnchor editAs="absolute">
    <xdr:from>
      <xdr:col>6</xdr:col>
      <xdr:colOff>228601</xdr:colOff>
      <xdr:row>42</xdr:row>
      <xdr:rowOff>31025</xdr:rowOff>
    </xdr:from>
    <xdr:to>
      <xdr:col>16</xdr:col>
      <xdr:colOff>2215563</xdr:colOff>
      <xdr:row>69</xdr:row>
      <xdr:rowOff>17145</xdr:rowOff>
    </xdr:to>
    <xdr:graphicFrame macro="">
      <xdr:nvGraphicFramePr>
        <xdr:cNvPr id="65" name="Chart 12">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564178</xdr:colOff>
      <xdr:row>62</xdr:row>
      <xdr:rowOff>198576</xdr:rowOff>
    </xdr:from>
    <xdr:to>
      <xdr:col>10</xdr:col>
      <xdr:colOff>402630</xdr:colOff>
      <xdr:row>64</xdr:row>
      <xdr:rowOff>14727</xdr:rowOff>
    </xdr:to>
    <xdr:sp macro="" textlink="'Variable Management'!A260">
      <xdr:nvSpPr>
        <xdr:cNvPr id="2071" name="Text Box 23">
          <a:extLst>
            <a:ext uri="{FF2B5EF4-FFF2-40B4-BE49-F238E27FC236}">
              <a16:creationId xmlns:a16="http://schemas.microsoft.com/office/drawing/2014/main" id="{00000000-0008-0000-0000-000017080000}"/>
            </a:ext>
          </a:extLst>
        </xdr:cNvPr>
        <xdr:cNvSpPr txBox="1">
          <a:spLocks noChangeArrowheads="1" noTextEdit="1"/>
        </xdr:cNvSpPr>
      </xdr:nvSpPr>
      <xdr:spPr bwMode="auto">
        <a:xfrm>
          <a:off x="4802803" y="11876226"/>
          <a:ext cx="2067302" cy="216201"/>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10952A97-D9C5-44B7-89A3-65441574648A}" type="TxLink">
            <a:rPr lang="en-US" sz="1050" b="1" i="0" u="none" strike="noStrike" baseline="0">
              <a:solidFill>
                <a:srgbClr val="FF0000"/>
              </a:solidFill>
              <a:latin typeface="Arial"/>
              <a:cs typeface="Arial"/>
            </a:rPr>
            <a:pPr algn="l" rtl="0">
              <a:defRPr sz="1000"/>
            </a:pPr>
            <a:t>Crossover Frequency = 24 kHz</a:t>
          </a:fld>
          <a:endParaRPr lang="en-US" sz="1050" b="1" i="0" u="none" strike="noStrike" baseline="0">
            <a:solidFill>
              <a:srgbClr val="FF0000"/>
            </a:solidFill>
            <a:latin typeface="Arial"/>
            <a:cs typeface="Arial"/>
          </a:endParaRPr>
        </a:p>
      </xdr:txBody>
    </xdr:sp>
    <xdr:clientData/>
  </xdr:twoCellAnchor>
  <xdr:twoCellAnchor>
    <xdr:from>
      <xdr:col>7</xdr:col>
      <xdr:colOff>575180</xdr:colOff>
      <xdr:row>65</xdr:row>
      <xdr:rowOff>23362</xdr:rowOff>
    </xdr:from>
    <xdr:to>
      <xdr:col>9</xdr:col>
      <xdr:colOff>495300</xdr:colOff>
      <xdr:row>66</xdr:row>
      <xdr:rowOff>96064</xdr:rowOff>
    </xdr:to>
    <xdr:sp macro="" textlink="'Variable Management'!A261">
      <xdr:nvSpPr>
        <xdr:cNvPr id="2072" name="Text Box 24">
          <a:extLst>
            <a:ext uri="{FF2B5EF4-FFF2-40B4-BE49-F238E27FC236}">
              <a16:creationId xmlns:a16="http://schemas.microsoft.com/office/drawing/2014/main" id="{00000000-0008-0000-0000-000018080000}"/>
            </a:ext>
          </a:extLst>
        </xdr:cNvPr>
        <xdr:cNvSpPr txBox="1">
          <a:spLocks noChangeArrowheads="1" noTextEdit="1"/>
        </xdr:cNvSpPr>
      </xdr:nvSpPr>
      <xdr:spPr bwMode="auto">
        <a:xfrm>
          <a:off x="4813805" y="12301087"/>
          <a:ext cx="1320295" cy="244152"/>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95DD25AA-EC3B-4C80-B80E-8DC148525216}" type="TxLink">
            <a:rPr lang="en-US" sz="1050" b="1" i="0" u="none" strike="noStrike" baseline="0">
              <a:solidFill>
                <a:srgbClr val="002060"/>
              </a:solidFill>
              <a:latin typeface="Arial"/>
              <a:cs typeface="Arial"/>
            </a:rPr>
            <a:pPr algn="l" rtl="0">
              <a:defRPr sz="1000"/>
            </a:pPr>
            <a:t>Phase Margin = 62°</a:t>
          </a:fld>
          <a:endParaRPr lang="en-US" sz="1050" b="1" i="0" u="none" strike="noStrike" baseline="0">
            <a:solidFill>
              <a:srgbClr val="002060"/>
            </a:solidFill>
            <a:latin typeface="Arial"/>
            <a:cs typeface="Arial"/>
          </a:endParaRPr>
        </a:p>
      </xdr:txBody>
    </xdr:sp>
    <xdr:clientData/>
  </xdr:twoCellAnchor>
  <xdr:twoCellAnchor>
    <xdr:from>
      <xdr:col>6</xdr:col>
      <xdr:colOff>295274</xdr:colOff>
      <xdr:row>80</xdr:row>
      <xdr:rowOff>135255</xdr:rowOff>
    </xdr:from>
    <xdr:to>
      <xdr:col>16</xdr:col>
      <xdr:colOff>2343149</xdr:colOff>
      <xdr:row>107</xdr:row>
      <xdr:rowOff>49357</xdr:rowOff>
    </xdr:to>
    <xdr:graphicFrame macro="">
      <xdr:nvGraphicFramePr>
        <xdr:cNvPr id="22339318" name="Chart 253">
          <a:extLst>
            <a:ext uri="{FF2B5EF4-FFF2-40B4-BE49-F238E27FC236}">
              <a16:creationId xmlns:a16="http://schemas.microsoft.com/office/drawing/2014/main" id="{00000000-0008-0000-0000-0000F6DE5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555564</xdr:colOff>
      <xdr:row>13</xdr:row>
      <xdr:rowOff>151039</xdr:rowOff>
    </xdr:from>
    <xdr:to>
      <xdr:col>7</xdr:col>
      <xdr:colOff>202908</xdr:colOff>
      <xdr:row>14</xdr:row>
      <xdr:rowOff>203796</xdr:rowOff>
    </xdr:to>
    <xdr:sp macro="" textlink="">
      <xdr:nvSpPr>
        <xdr:cNvPr id="2272" name="Text Box 224">
          <a:extLst>
            <a:ext uri="{FF2B5EF4-FFF2-40B4-BE49-F238E27FC236}">
              <a16:creationId xmlns:a16="http://schemas.microsoft.com/office/drawing/2014/main" id="{00000000-0008-0000-0000-0000E0080000}"/>
            </a:ext>
          </a:extLst>
        </xdr:cNvPr>
        <xdr:cNvSpPr txBox="1">
          <a:spLocks noChangeArrowheads="1"/>
        </xdr:cNvSpPr>
      </xdr:nvSpPr>
      <xdr:spPr bwMode="auto">
        <a:xfrm>
          <a:off x="4302811" y="3010780"/>
          <a:ext cx="274873" cy="23205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C3</a:t>
          </a:r>
        </a:p>
      </xdr:txBody>
    </xdr:sp>
    <xdr:clientData/>
  </xdr:twoCellAnchor>
  <xdr:twoCellAnchor>
    <xdr:from>
      <xdr:col>7</xdr:col>
      <xdr:colOff>759806</xdr:colOff>
      <xdr:row>11</xdr:row>
      <xdr:rowOff>40097</xdr:rowOff>
    </xdr:from>
    <xdr:to>
      <xdr:col>8</xdr:col>
      <xdr:colOff>312532</xdr:colOff>
      <xdr:row>12</xdr:row>
      <xdr:rowOff>70462</xdr:rowOff>
    </xdr:to>
    <xdr:sp macro="" textlink="">
      <xdr:nvSpPr>
        <xdr:cNvPr id="2273" name="Text Box 225">
          <a:extLst>
            <a:ext uri="{FF2B5EF4-FFF2-40B4-BE49-F238E27FC236}">
              <a16:creationId xmlns:a16="http://schemas.microsoft.com/office/drawing/2014/main" id="{00000000-0008-0000-0000-0000E1080000}"/>
            </a:ext>
          </a:extLst>
        </xdr:cNvPr>
        <xdr:cNvSpPr txBox="1">
          <a:spLocks noChangeArrowheads="1"/>
        </xdr:cNvSpPr>
      </xdr:nvSpPr>
      <xdr:spPr bwMode="auto">
        <a:xfrm>
          <a:off x="5134582" y="2523321"/>
          <a:ext cx="368515" cy="209659"/>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6</xdr:col>
      <xdr:colOff>590986</xdr:colOff>
      <xdr:row>11</xdr:row>
      <xdr:rowOff>3919</xdr:rowOff>
    </xdr:from>
    <xdr:to>
      <xdr:col>7</xdr:col>
      <xdr:colOff>242156</xdr:colOff>
      <xdr:row>12</xdr:row>
      <xdr:rowOff>74398</xdr:rowOff>
    </xdr:to>
    <xdr:sp macro="" textlink="">
      <xdr:nvSpPr>
        <xdr:cNvPr id="2275" name="Text Box 227">
          <a:extLst>
            <a:ext uri="{FF2B5EF4-FFF2-40B4-BE49-F238E27FC236}">
              <a16:creationId xmlns:a16="http://schemas.microsoft.com/office/drawing/2014/main" id="{00000000-0008-0000-0000-0000E3080000}"/>
            </a:ext>
          </a:extLst>
        </xdr:cNvPr>
        <xdr:cNvSpPr txBox="1">
          <a:spLocks noChangeArrowheads="1"/>
        </xdr:cNvSpPr>
      </xdr:nvSpPr>
      <xdr:spPr bwMode="auto">
        <a:xfrm>
          <a:off x="4338233" y="2487143"/>
          <a:ext cx="278699" cy="24977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16</xdr:col>
      <xdr:colOff>1680139</xdr:colOff>
      <xdr:row>20</xdr:row>
      <xdr:rowOff>55039</xdr:rowOff>
    </xdr:from>
    <xdr:to>
      <xdr:col>16</xdr:col>
      <xdr:colOff>2101928</xdr:colOff>
      <xdr:row>21</xdr:row>
      <xdr:rowOff>94916</xdr:rowOff>
    </xdr:to>
    <xdr:sp macro="" textlink="">
      <xdr:nvSpPr>
        <xdr:cNvPr id="2276" name="Text Box 228">
          <a:extLst>
            <a:ext uri="{FF2B5EF4-FFF2-40B4-BE49-F238E27FC236}">
              <a16:creationId xmlns:a16="http://schemas.microsoft.com/office/drawing/2014/main" id="{00000000-0008-0000-0000-0000E4080000}"/>
            </a:ext>
          </a:extLst>
        </xdr:cNvPr>
        <xdr:cNvSpPr txBox="1">
          <a:spLocks noChangeArrowheads="1"/>
        </xdr:cNvSpPr>
      </xdr:nvSpPr>
      <xdr:spPr bwMode="auto">
        <a:xfrm>
          <a:off x="12401927" y="4259486"/>
          <a:ext cx="421789" cy="22813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13</xdr:col>
      <xdr:colOff>325065</xdr:colOff>
      <xdr:row>29</xdr:row>
      <xdr:rowOff>74937</xdr:rowOff>
    </xdr:from>
    <xdr:to>
      <xdr:col>14</xdr:col>
      <xdr:colOff>188000</xdr:colOff>
      <xdr:row>30</xdr:row>
      <xdr:rowOff>114031</xdr:rowOff>
    </xdr:to>
    <xdr:sp macro="" textlink="">
      <xdr:nvSpPr>
        <xdr:cNvPr id="2279" name="Text Box 231">
          <a:extLst>
            <a:ext uri="{FF2B5EF4-FFF2-40B4-BE49-F238E27FC236}">
              <a16:creationId xmlns:a16="http://schemas.microsoft.com/office/drawing/2014/main" id="{00000000-0008-0000-0000-0000E7080000}"/>
            </a:ext>
          </a:extLst>
        </xdr:cNvPr>
        <xdr:cNvSpPr txBox="1">
          <a:spLocks noChangeArrowheads="1"/>
        </xdr:cNvSpPr>
      </xdr:nvSpPr>
      <xdr:spPr bwMode="auto">
        <a:xfrm>
          <a:off x="9101512" y="6000608"/>
          <a:ext cx="490464" cy="27217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ILIM</a:t>
          </a:r>
        </a:p>
      </xdr:txBody>
    </xdr:sp>
    <xdr:clientData/>
  </xdr:twoCellAnchor>
  <xdr:twoCellAnchor>
    <xdr:from>
      <xdr:col>16</xdr:col>
      <xdr:colOff>877317</xdr:colOff>
      <xdr:row>14</xdr:row>
      <xdr:rowOff>229231</xdr:rowOff>
    </xdr:from>
    <xdr:to>
      <xdr:col>16</xdr:col>
      <xdr:colOff>1222388</xdr:colOff>
      <xdr:row>16</xdr:row>
      <xdr:rowOff>83471</xdr:rowOff>
    </xdr:to>
    <xdr:sp macro="" textlink="">
      <xdr:nvSpPr>
        <xdr:cNvPr id="2283" name="Text Box 235">
          <a:extLst>
            <a:ext uri="{FF2B5EF4-FFF2-40B4-BE49-F238E27FC236}">
              <a16:creationId xmlns:a16="http://schemas.microsoft.com/office/drawing/2014/main" id="{00000000-0008-0000-0000-0000EB080000}"/>
            </a:ext>
          </a:extLst>
        </xdr:cNvPr>
        <xdr:cNvSpPr txBox="1">
          <a:spLocks noChangeArrowheads="1"/>
        </xdr:cNvSpPr>
      </xdr:nvSpPr>
      <xdr:spPr bwMode="auto">
        <a:xfrm>
          <a:off x="11599105" y="3268266"/>
          <a:ext cx="345071" cy="28454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F</a:t>
          </a:r>
        </a:p>
      </xdr:txBody>
    </xdr:sp>
    <xdr:clientData/>
  </xdr:twoCellAnchor>
  <xdr:twoCellAnchor>
    <xdr:from>
      <xdr:col>16</xdr:col>
      <xdr:colOff>627859</xdr:colOff>
      <xdr:row>20</xdr:row>
      <xdr:rowOff>87726</xdr:rowOff>
    </xdr:from>
    <xdr:to>
      <xdr:col>16</xdr:col>
      <xdr:colOff>953625</xdr:colOff>
      <xdr:row>21</xdr:row>
      <xdr:rowOff>126803</xdr:rowOff>
    </xdr:to>
    <xdr:sp macro="" textlink="">
      <xdr:nvSpPr>
        <xdr:cNvPr id="2292" name="Text Box 244">
          <a:extLst>
            <a:ext uri="{FF2B5EF4-FFF2-40B4-BE49-F238E27FC236}">
              <a16:creationId xmlns:a16="http://schemas.microsoft.com/office/drawing/2014/main" id="{00000000-0008-0000-0000-0000F4080000}"/>
            </a:ext>
          </a:extLst>
        </xdr:cNvPr>
        <xdr:cNvSpPr txBox="1">
          <a:spLocks noChangeArrowheads="1"/>
        </xdr:cNvSpPr>
      </xdr:nvSpPr>
      <xdr:spPr bwMode="auto">
        <a:xfrm>
          <a:off x="11349647" y="4292173"/>
          <a:ext cx="325766" cy="22733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15</xdr:col>
      <xdr:colOff>259069</xdr:colOff>
      <xdr:row>26</xdr:row>
      <xdr:rowOff>24987</xdr:rowOff>
    </xdr:from>
    <xdr:to>
      <xdr:col>15</xdr:col>
      <xdr:colOff>634071</xdr:colOff>
      <xdr:row>27</xdr:row>
      <xdr:rowOff>73564</xdr:rowOff>
    </xdr:to>
    <xdr:sp macro="" textlink="">
      <xdr:nvSpPr>
        <xdr:cNvPr id="2297" name="Text Box 249">
          <a:extLst>
            <a:ext uri="{FF2B5EF4-FFF2-40B4-BE49-F238E27FC236}">
              <a16:creationId xmlns:a16="http://schemas.microsoft.com/office/drawing/2014/main" id="{00000000-0008-0000-0000-0000F9080000}"/>
            </a:ext>
          </a:extLst>
        </xdr:cNvPr>
        <xdr:cNvSpPr txBox="1">
          <a:spLocks noChangeArrowheads="1"/>
        </xdr:cNvSpPr>
      </xdr:nvSpPr>
      <xdr:spPr bwMode="auto">
        <a:xfrm>
          <a:off x="10290575" y="5412775"/>
          <a:ext cx="375002" cy="22787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9</xdr:col>
      <xdr:colOff>386419</xdr:colOff>
      <xdr:row>13</xdr:row>
      <xdr:rowOff>92828</xdr:rowOff>
    </xdr:from>
    <xdr:to>
      <xdr:col>9</xdr:col>
      <xdr:colOff>711193</xdr:colOff>
      <xdr:row>14</xdr:row>
      <xdr:rowOff>197498</xdr:rowOff>
    </xdr:to>
    <xdr:sp macro="" textlink="">
      <xdr:nvSpPr>
        <xdr:cNvPr id="2299" name="Text Box 251">
          <a:extLst>
            <a:ext uri="{FF2B5EF4-FFF2-40B4-BE49-F238E27FC236}">
              <a16:creationId xmlns:a16="http://schemas.microsoft.com/office/drawing/2014/main" id="{00000000-0008-0000-0000-0000FB080000}"/>
            </a:ext>
          </a:extLst>
        </xdr:cNvPr>
        <xdr:cNvSpPr txBox="1">
          <a:spLocks noChangeArrowheads="1"/>
        </xdr:cNvSpPr>
      </xdr:nvSpPr>
      <xdr:spPr bwMode="auto">
        <a:xfrm>
          <a:off x="6204513" y="2952569"/>
          <a:ext cx="324774" cy="28396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9</xdr:col>
      <xdr:colOff>22299</xdr:colOff>
      <xdr:row>26</xdr:row>
      <xdr:rowOff>46305</xdr:rowOff>
    </xdr:from>
    <xdr:to>
      <xdr:col>9</xdr:col>
      <xdr:colOff>402179</xdr:colOff>
      <xdr:row>26</xdr:row>
      <xdr:rowOff>46305</xdr:rowOff>
    </xdr:to>
    <xdr:sp macro="" textlink="">
      <xdr:nvSpPr>
        <xdr:cNvPr id="2300" name="Text Box 252">
          <a:extLst>
            <a:ext uri="{FF2B5EF4-FFF2-40B4-BE49-F238E27FC236}">
              <a16:creationId xmlns:a16="http://schemas.microsoft.com/office/drawing/2014/main" id="{00000000-0008-0000-0000-0000FC080000}"/>
            </a:ext>
          </a:extLst>
        </xdr:cNvPr>
        <xdr:cNvSpPr txBox="1">
          <a:spLocks noChangeArrowheads="1"/>
        </xdr:cNvSpPr>
      </xdr:nvSpPr>
      <xdr:spPr bwMode="auto">
        <a:xfrm>
          <a:off x="5840393" y="5434093"/>
          <a:ext cx="379880" cy="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Calibri"/>
            </a:rPr>
            <a:t>R</a:t>
          </a:r>
          <a:r>
            <a:rPr lang="en-US" sz="1100" b="0" i="0" strike="noStrike" baseline="-25000">
              <a:solidFill>
                <a:srgbClr val="000000"/>
              </a:solidFill>
              <a:latin typeface="Calibri"/>
            </a:rPr>
            <a:t>FADJ</a:t>
          </a:r>
        </a:p>
      </xdr:txBody>
    </xdr:sp>
    <xdr:clientData/>
  </xdr:twoCellAnchor>
  <xdr:twoCellAnchor>
    <xdr:from>
      <xdr:col>7</xdr:col>
      <xdr:colOff>250203</xdr:colOff>
      <xdr:row>19</xdr:row>
      <xdr:rowOff>37243</xdr:rowOff>
    </xdr:from>
    <xdr:to>
      <xdr:col>7</xdr:col>
      <xdr:colOff>645192</xdr:colOff>
      <xdr:row>20</xdr:row>
      <xdr:rowOff>77952</xdr:rowOff>
    </xdr:to>
    <xdr:sp macro="" textlink="">
      <xdr:nvSpPr>
        <xdr:cNvPr id="2303" name="Text Box 255">
          <a:extLst>
            <a:ext uri="{FF2B5EF4-FFF2-40B4-BE49-F238E27FC236}">
              <a16:creationId xmlns:a16="http://schemas.microsoft.com/office/drawing/2014/main" id="{00000000-0008-0000-0000-0000FF080000}"/>
            </a:ext>
          </a:extLst>
        </xdr:cNvPr>
        <xdr:cNvSpPr txBox="1">
          <a:spLocks noChangeArrowheads="1"/>
        </xdr:cNvSpPr>
      </xdr:nvSpPr>
      <xdr:spPr bwMode="auto">
        <a:xfrm>
          <a:off x="4624979" y="4053431"/>
          <a:ext cx="394989" cy="22896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8</xdr:col>
      <xdr:colOff>21933</xdr:colOff>
      <xdr:row>17</xdr:row>
      <xdr:rowOff>144748</xdr:rowOff>
    </xdr:from>
    <xdr:to>
      <xdr:col>8</xdr:col>
      <xdr:colOff>290089</xdr:colOff>
      <xdr:row>18</xdr:row>
      <xdr:rowOff>187394</xdr:rowOff>
    </xdr:to>
    <xdr:sp macro="" textlink="">
      <xdr:nvSpPr>
        <xdr:cNvPr id="2304" name="Text Box 256">
          <a:extLst>
            <a:ext uri="{FF2B5EF4-FFF2-40B4-BE49-F238E27FC236}">
              <a16:creationId xmlns:a16="http://schemas.microsoft.com/office/drawing/2014/main" id="{00000000-0008-0000-0000-000000090000}"/>
            </a:ext>
          </a:extLst>
        </xdr:cNvPr>
        <xdr:cNvSpPr txBox="1">
          <a:spLocks noChangeArrowheads="1"/>
        </xdr:cNvSpPr>
      </xdr:nvSpPr>
      <xdr:spPr bwMode="auto">
        <a:xfrm>
          <a:off x="5212498" y="3793383"/>
          <a:ext cx="268156" cy="221940"/>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8</xdr:col>
      <xdr:colOff>519797</xdr:colOff>
      <xdr:row>13</xdr:row>
      <xdr:rowOff>148705</xdr:rowOff>
    </xdr:from>
    <xdr:to>
      <xdr:col>9</xdr:col>
      <xdr:colOff>207317</xdr:colOff>
      <xdr:row>14</xdr:row>
      <xdr:rowOff>212782</xdr:rowOff>
    </xdr:to>
    <xdr:sp macro="" textlink="">
      <xdr:nvSpPr>
        <xdr:cNvPr id="2305" name="Text Box 257">
          <a:extLst>
            <a:ext uri="{FF2B5EF4-FFF2-40B4-BE49-F238E27FC236}">
              <a16:creationId xmlns:a16="http://schemas.microsoft.com/office/drawing/2014/main" id="{00000000-0008-0000-0000-000001090000}"/>
            </a:ext>
          </a:extLst>
        </xdr:cNvPr>
        <xdr:cNvSpPr txBox="1">
          <a:spLocks noChangeArrowheads="1"/>
        </xdr:cNvSpPr>
      </xdr:nvSpPr>
      <xdr:spPr bwMode="auto">
        <a:xfrm>
          <a:off x="5710362" y="3008446"/>
          <a:ext cx="315049" cy="2433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8</xdr:col>
      <xdr:colOff>35132</xdr:colOff>
      <xdr:row>13</xdr:row>
      <xdr:rowOff>129764</xdr:rowOff>
    </xdr:from>
    <xdr:to>
      <xdr:col>8</xdr:col>
      <xdr:colOff>374595</xdr:colOff>
      <xdr:row>14</xdr:row>
      <xdr:rowOff>199977</xdr:rowOff>
    </xdr:to>
    <xdr:sp macro="" textlink="">
      <xdr:nvSpPr>
        <xdr:cNvPr id="9616412" name="Text Box 258">
          <a:extLst>
            <a:ext uri="{FF2B5EF4-FFF2-40B4-BE49-F238E27FC236}">
              <a16:creationId xmlns:a16="http://schemas.microsoft.com/office/drawing/2014/main" id="{00000000-0008-0000-0000-00001CBC9200}"/>
            </a:ext>
          </a:extLst>
        </xdr:cNvPr>
        <xdr:cNvSpPr txBox="1">
          <a:spLocks noChangeArrowheads="1"/>
        </xdr:cNvSpPr>
      </xdr:nvSpPr>
      <xdr:spPr bwMode="auto">
        <a:xfrm>
          <a:off x="5225697" y="2989505"/>
          <a:ext cx="339463" cy="24950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15</xdr:col>
      <xdr:colOff>246918</xdr:colOff>
      <xdr:row>27</xdr:row>
      <xdr:rowOff>76189</xdr:rowOff>
    </xdr:from>
    <xdr:to>
      <xdr:col>15</xdr:col>
      <xdr:colOff>665248</xdr:colOff>
      <xdr:row>28</xdr:row>
      <xdr:rowOff>163563</xdr:rowOff>
    </xdr:to>
    <xdr:sp macro="" textlink="">
      <xdr:nvSpPr>
        <xdr:cNvPr id="2308" name="Text Box 260">
          <a:extLst>
            <a:ext uri="{FF2B5EF4-FFF2-40B4-BE49-F238E27FC236}">
              <a16:creationId xmlns:a16="http://schemas.microsoft.com/office/drawing/2014/main" id="{00000000-0008-0000-0000-000004090000}"/>
            </a:ext>
          </a:extLst>
        </xdr:cNvPr>
        <xdr:cNvSpPr txBox="1">
          <a:spLocks noChangeArrowheads="1"/>
        </xdr:cNvSpPr>
      </xdr:nvSpPr>
      <xdr:spPr bwMode="auto">
        <a:xfrm>
          <a:off x="10278424" y="5643271"/>
          <a:ext cx="418330" cy="266668"/>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2.2</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8</xdr:col>
      <xdr:colOff>366144</xdr:colOff>
      <xdr:row>14</xdr:row>
      <xdr:rowOff>149052</xdr:rowOff>
    </xdr:from>
    <xdr:to>
      <xdr:col>9</xdr:col>
      <xdr:colOff>254444</xdr:colOff>
      <xdr:row>15</xdr:row>
      <xdr:rowOff>140755</xdr:rowOff>
    </xdr:to>
    <xdr:sp macro="" textlink="'Variable Management'!B254">
      <xdr:nvSpPr>
        <xdr:cNvPr id="2309" name="Text Box 261">
          <a:extLst>
            <a:ext uri="{FF2B5EF4-FFF2-40B4-BE49-F238E27FC236}">
              <a16:creationId xmlns:a16="http://schemas.microsoft.com/office/drawing/2014/main" id="{00000000-0008-0000-0000-000005090000}"/>
            </a:ext>
          </a:extLst>
        </xdr:cNvPr>
        <xdr:cNvSpPr txBox="1">
          <a:spLocks noChangeArrowheads="1" noTextEdit="1"/>
        </xdr:cNvSpPr>
      </xdr:nvSpPr>
      <xdr:spPr bwMode="auto">
        <a:xfrm>
          <a:off x="5556709" y="3188087"/>
          <a:ext cx="515829" cy="242715"/>
        </a:xfrm>
        <a:prstGeom prst="rect">
          <a:avLst/>
        </a:prstGeom>
        <a:noFill/>
        <a:ln w="9525">
          <a:noFill/>
          <a:miter lim="800000"/>
          <a:headEnd/>
          <a:tailEnd/>
        </a:ln>
      </xdr:spPr>
      <xdr:txBody>
        <a:bodyPr vertOverflow="clip" wrap="square" lIns="27432" tIns="22860" rIns="0" bIns="0" anchor="t" upright="1"/>
        <a:lstStyle/>
        <a:p>
          <a:pPr algn="r" rtl="0">
            <a:defRPr sz="1000"/>
          </a:pPr>
          <a:fld id="{491934A6-59AB-480F-A883-A2630DEA4784}" type="TxLink">
            <a:rPr lang="en-US" sz="1000" b="0" i="0" u="none" strike="noStrike" baseline="0">
              <a:solidFill>
                <a:srgbClr val="000000"/>
              </a:solidFill>
              <a:latin typeface="Arial" pitchFamily="34" charset="0"/>
              <a:cs typeface="Arial" pitchFamily="34" charset="0"/>
            </a:rPr>
            <a:pPr algn="r" rtl="0">
              <a:defRPr sz="1000"/>
            </a:pPr>
            <a:t>4.7nF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8</xdr:col>
      <xdr:colOff>487542</xdr:colOff>
      <xdr:row>17</xdr:row>
      <xdr:rowOff>145320</xdr:rowOff>
    </xdr:from>
    <xdr:to>
      <xdr:col>9</xdr:col>
      <xdr:colOff>332489</xdr:colOff>
      <xdr:row>19</xdr:row>
      <xdr:rowOff>1662</xdr:rowOff>
    </xdr:to>
    <xdr:sp macro="" textlink="'Variable Management'!B255">
      <xdr:nvSpPr>
        <xdr:cNvPr id="2310" name="Text Box 262">
          <a:extLst>
            <a:ext uri="{FF2B5EF4-FFF2-40B4-BE49-F238E27FC236}">
              <a16:creationId xmlns:a16="http://schemas.microsoft.com/office/drawing/2014/main" id="{00000000-0008-0000-0000-000006090000}"/>
            </a:ext>
          </a:extLst>
        </xdr:cNvPr>
        <xdr:cNvSpPr txBox="1">
          <a:spLocks noChangeArrowheads="1" noTextEdit="1"/>
        </xdr:cNvSpPr>
      </xdr:nvSpPr>
      <xdr:spPr bwMode="auto">
        <a:xfrm>
          <a:off x="5678107" y="3793955"/>
          <a:ext cx="472476" cy="223895"/>
        </a:xfrm>
        <a:prstGeom prst="rect">
          <a:avLst/>
        </a:prstGeom>
        <a:noFill/>
        <a:ln w="9525">
          <a:noFill/>
          <a:miter lim="800000"/>
          <a:headEnd/>
          <a:tailEnd/>
        </a:ln>
      </xdr:spPr>
      <xdr:txBody>
        <a:bodyPr vertOverflow="clip" wrap="square" lIns="27432" tIns="22860" rIns="0" bIns="0" anchor="t"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150pF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710015</xdr:colOff>
      <xdr:row>14</xdr:row>
      <xdr:rowOff>168174</xdr:rowOff>
    </xdr:from>
    <xdr:to>
      <xdr:col>8</xdr:col>
      <xdr:colOff>434385</xdr:colOff>
      <xdr:row>15</xdr:row>
      <xdr:rowOff>149088</xdr:rowOff>
    </xdr:to>
    <xdr:sp macro="" textlink="'Variable Management'!B253">
      <xdr:nvSpPr>
        <xdr:cNvPr id="2311" name="Text Box 263">
          <a:extLst>
            <a:ext uri="{FF2B5EF4-FFF2-40B4-BE49-F238E27FC236}">
              <a16:creationId xmlns:a16="http://schemas.microsoft.com/office/drawing/2014/main" id="{00000000-0008-0000-0000-000007090000}"/>
            </a:ext>
          </a:extLst>
        </xdr:cNvPr>
        <xdr:cNvSpPr txBox="1">
          <a:spLocks noChangeArrowheads="1" noTextEdit="1"/>
        </xdr:cNvSpPr>
      </xdr:nvSpPr>
      <xdr:spPr bwMode="auto">
        <a:xfrm>
          <a:off x="5084791" y="3207209"/>
          <a:ext cx="540159" cy="231926"/>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5.6kΩ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567860</xdr:colOff>
      <xdr:row>20</xdr:row>
      <xdr:rowOff>92775</xdr:rowOff>
    </xdr:from>
    <xdr:to>
      <xdr:col>7</xdr:col>
      <xdr:colOff>551680</xdr:colOff>
      <xdr:row>21</xdr:row>
      <xdr:rowOff>142630</xdr:rowOff>
    </xdr:to>
    <xdr:sp macro="" textlink="'Variable Management'!B259">
      <xdr:nvSpPr>
        <xdr:cNvPr id="2312" name="Text Box 264">
          <a:extLst>
            <a:ext uri="{FF2B5EF4-FFF2-40B4-BE49-F238E27FC236}">
              <a16:creationId xmlns:a16="http://schemas.microsoft.com/office/drawing/2014/main" id="{00000000-0008-0000-0000-000008090000}"/>
            </a:ext>
          </a:extLst>
        </xdr:cNvPr>
        <xdr:cNvSpPr txBox="1">
          <a:spLocks noChangeArrowheads="1" noTextEdit="1"/>
        </xdr:cNvSpPr>
      </xdr:nvSpPr>
      <xdr:spPr bwMode="auto">
        <a:xfrm>
          <a:off x="4315107" y="4297222"/>
          <a:ext cx="611349" cy="238114"/>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3.32kΩ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449671</xdr:colOff>
      <xdr:row>12</xdr:row>
      <xdr:rowOff>37083</xdr:rowOff>
    </xdr:from>
    <xdr:to>
      <xdr:col>7</xdr:col>
      <xdr:colOff>236237</xdr:colOff>
      <xdr:row>13</xdr:row>
      <xdr:rowOff>112369</xdr:rowOff>
    </xdr:to>
    <xdr:sp macro="" textlink="'Variable Management'!B256">
      <xdr:nvSpPr>
        <xdr:cNvPr id="2313" name="Text Box 265">
          <a:extLst>
            <a:ext uri="{FF2B5EF4-FFF2-40B4-BE49-F238E27FC236}">
              <a16:creationId xmlns:a16="http://schemas.microsoft.com/office/drawing/2014/main" id="{00000000-0008-0000-0000-000009090000}"/>
            </a:ext>
          </a:extLst>
        </xdr:cNvPr>
        <xdr:cNvSpPr txBox="1">
          <a:spLocks noChangeArrowheads="1" noTextEdit="1"/>
        </xdr:cNvSpPr>
      </xdr:nvSpPr>
      <xdr:spPr bwMode="auto">
        <a:xfrm>
          <a:off x="4196918" y="2699601"/>
          <a:ext cx="414095" cy="272509"/>
        </a:xfrm>
        <a:prstGeom prst="rect">
          <a:avLst/>
        </a:prstGeom>
        <a:noFill/>
        <a:ln w="9525">
          <a:noFill/>
          <a:miter lim="800000"/>
          <a:headEnd/>
          <a:tailEnd/>
        </a:ln>
      </xdr:spPr>
      <xdr:txBody>
        <a:bodyPr vertOverflow="clip" wrap="square" lIns="27432" tIns="22860" rIns="0" bIns="0" anchor="t" upright="1"/>
        <a:lstStyle/>
        <a:p>
          <a:pPr algn="r" rtl="0">
            <a:defRPr sz="1000"/>
          </a:pPr>
          <a:fld id="{8A5847E3-10F5-4FFF-8A55-57AE8AD8F48A}" type="TxLink">
            <a:rPr lang="el-GR" sz="1000" b="0" i="0" u="none" strike="noStrike" baseline="0">
              <a:solidFill>
                <a:srgbClr val="000000"/>
              </a:solidFill>
              <a:latin typeface="Arial" pitchFamily="34" charset="0"/>
              <a:cs typeface="Arial" pitchFamily="34" charset="0"/>
            </a:rPr>
            <a:pPr algn="r" rtl="0">
              <a:defRPr sz="1000"/>
            </a:pPr>
            <a:t>600Ω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409584</xdr:colOff>
      <xdr:row>14</xdr:row>
      <xdr:rowOff>178913</xdr:rowOff>
    </xdr:from>
    <xdr:to>
      <xdr:col>7</xdr:col>
      <xdr:colOff>278518</xdr:colOff>
      <xdr:row>15</xdr:row>
      <xdr:rowOff>121046</xdr:rowOff>
    </xdr:to>
    <xdr:sp macro="" textlink="'Variable Management'!B257">
      <xdr:nvSpPr>
        <xdr:cNvPr id="2314" name="Text Box 266">
          <a:extLst>
            <a:ext uri="{FF2B5EF4-FFF2-40B4-BE49-F238E27FC236}">
              <a16:creationId xmlns:a16="http://schemas.microsoft.com/office/drawing/2014/main" id="{00000000-0008-0000-0000-00000A090000}"/>
            </a:ext>
          </a:extLst>
        </xdr:cNvPr>
        <xdr:cNvSpPr txBox="1">
          <a:spLocks noChangeArrowheads="1" noTextEdit="1"/>
        </xdr:cNvSpPr>
      </xdr:nvSpPr>
      <xdr:spPr bwMode="auto">
        <a:xfrm>
          <a:off x="4156831" y="3217948"/>
          <a:ext cx="496463" cy="193145"/>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2200pF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1596141</xdr:colOff>
      <xdr:row>21</xdr:row>
      <xdr:rowOff>108054</xdr:rowOff>
    </xdr:from>
    <xdr:to>
      <xdr:col>16</xdr:col>
      <xdr:colOff>2286142</xdr:colOff>
      <xdr:row>22</xdr:row>
      <xdr:rowOff>175707</xdr:rowOff>
    </xdr:to>
    <xdr:sp macro="" textlink="'Variable Management'!E243">
      <xdr:nvSpPr>
        <xdr:cNvPr id="2315" name="Text Box 267">
          <a:extLst>
            <a:ext uri="{FF2B5EF4-FFF2-40B4-BE49-F238E27FC236}">
              <a16:creationId xmlns:a16="http://schemas.microsoft.com/office/drawing/2014/main" id="{00000000-0008-0000-0000-00000B090000}"/>
            </a:ext>
          </a:extLst>
        </xdr:cNvPr>
        <xdr:cNvSpPr txBox="1">
          <a:spLocks noChangeArrowheads="1" noTextEdit="1"/>
        </xdr:cNvSpPr>
      </xdr:nvSpPr>
      <xdr:spPr bwMode="auto">
        <a:xfrm>
          <a:off x="12317929" y="4500760"/>
          <a:ext cx="690001" cy="246947"/>
        </a:xfrm>
        <a:prstGeom prst="rect">
          <a:avLst/>
        </a:prstGeom>
        <a:noFill/>
        <a:ln w="9525">
          <a:noFill/>
          <a:miter lim="800000"/>
          <a:headEnd/>
          <a:tailEnd/>
        </a:ln>
      </xdr:spPr>
      <xdr:txBody>
        <a:bodyPr vertOverflow="clip" wrap="square" lIns="27432" tIns="22860" rIns="0" bIns="0" anchor="ctr" upright="1"/>
        <a:lstStyle/>
        <a:p>
          <a:pPr algn="l" rtl="0">
            <a:defRPr sz="1000"/>
          </a:pPr>
          <a:fld id="{B1C96643-9062-44BD-9D18-137667D0E8FF}" type="TxLink">
            <a:rPr lang="en-US" sz="1000" b="0" i="0" u="none" strike="noStrike" baseline="0">
              <a:solidFill>
                <a:srgbClr val="000000"/>
              </a:solidFill>
              <a:latin typeface="Arial"/>
              <a:cs typeface="Arial"/>
            </a:rPr>
            <a:pPr algn="l" rtl="0">
              <a:defRPr sz="1000"/>
            </a:pPr>
            <a:t>3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773901</xdr:colOff>
      <xdr:row>12</xdr:row>
      <xdr:rowOff>30614</xdr:rowOff>
    </xdr:from>
    <xdr:to>
      <xdr:col>8</xdr:col>
      <xdr:colOff>512153</xdr:colOff>
      <xdr:row>13</xdr:row>
      <xdr:rowOff>142936</xdr:rowOff>
    </xdr:to>
    <xdr:sp macro="" textlink="'Variable Management'!B258">
      <xdr:nvSpPr>
        <xdr:cNvPr id="2316" name="Text Box 268">
          <a:extLst>
            <a:ext uri="{FF2B5EF4-FFF2-40B4-BE49-F238E27FC236}">
              <a16:creationId xmlns:a16="http://schemas.microsoft.com/office/drawing/2014/main" id="{00000000-0008-0000-0000-00000C090000}"/>
            </a:ext>
          </a:extLst>
        </xdr:cNvPr>
        <xdr:cNvSpPr txBox="1">
          <a:spLocks noChangeArrowheads="1" noTextEdit="1"/>
        </xdr:cNvSpPr>
      </xdr:nvSpPr>
      <xdr:spPr bwMode="auto">
        <a:xfrm>
          <a:off x="5148677" y="2693132"/>
          <a:ext cx="554041" cy="309545"/>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18kΩ</a:t>
          </a:fld>
          <a:endParaRPr lang="el-GR" sz="1000" b="0" i="0" strike="noStrike">
            <a:solidFill>
              <a:srgbClr val="000000"/>
            </a:solidFill>
            <a:latin typeface="Arial" pitchFamily="34" charset="0"/>
            <a:cs typeface="Arial" pitchFamily="34" charset="0"/>
          </a:endParaRPr>
        </a:p>
      </xdr:txBody>
    </xdr:sp>
    <xdr:clientData/>
  </xdr:twoCellAnchor>
  <xdr:twoCellAnchor>
    <xdr:from>
      <xdr:col>13</xdr:col>
      <xdr:colOff>317672</xdr:colOff>
      <xdr:row>30</xdr:row>
      <xdr:rowOff>59671</xdr:rowOff>
    </xdr:from>
    <xdr:to>
      <xdr:col>14</xdr:col>
      <xdr:colOff>278742</xdr:colOff>
      <xdr:row>31</xdr:row>
      <xdr:rowOff>105842</xdr:rowOff>
    </xdr:to>
    <xdr:sp macro="" textlink="'Variable Management'!B268">
      <xdr:nvSpPr>
        <xdr:cNvPr id="2318" name="Text Box 270">
          <a:extLst>
            <a:ext uri="{FF2B5EF4-FFF2-40B4-BE49-F238E27FC236}">
              <a16:creationId xmlns:a16="http://schemas.microsoft.com/office/drawing/2014/main" id="{00000000-0008-0000-0000-00000E090000}"/>
            </a:ext>
          </a:extLst>
        </xdr:cNvPr>
        <xdr:cNvSpPr txBox="1">
          <a:spLocks noChangeArrowheads="1" noTextEdit="1"/>
        </xdr:cNvSpPr>
      </xdr:nvSpPr>
      <xdr:spPr bwMode="auto">
        <a:xfrm>
          <a:off x="9094119" y="6218424"/>
          <a:ext cx="588599" cy="225465"/>
        </a:xfrm>
        <a:prstGeom prst="rect">
          <a:avLst/>
        </a:prstGeom>
        <a:noFill/>
        <a:ln w="9525">
          <a:noFill/>
          <a:miter lim="800000"/>
          <a:headEnd/>
          <a:tailEnd/>
        </a:ln>
      </xdr:spPr>
      <xdr:txBody>
        <a:bodyPr vertOverflow="clip" wrap="square" lIns="27432" tIns="22860" rIns="0" bIns="0" anchor="t" upright="1"/>
        <a:lstStyle/>
        <a:p>
          <a:pPr algn="l" rtl="0">
            <a:defRPr sz="1000"/>
          </a:pPr>
          <a:fld id="{07E99D9F-90DD-4315-B69B-BBFCCDB8D767}" type="TxLink">
            <a:rPr lang="en-US" sz="1000" b="0" i="0" u="none" strike="noStrike" baseline="0">
              <a:solidFill>
                <a:srgbClr val="000000"/>
              </a:solidFill>
              <a:latin typeface="Arial"/>
              <a:cs typeface="Arial"/>
            </a:rPr>
            <a:pPr algn="l" rtl="0">
              <a:defRPr sz="1000"/>
            </a:pPr>
            <a:t>174Ω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782306</xdr:colOff>
      <xdr:row>17</xdr:row>
      <xdr:rowOff>128493</xdr:rowOff>
    </xdr:from>
    <xdr:to>
      <xdr:col>16</xdr:col>
      <xdr:colOff>1236466</xdr:colOff>
      <xdr:row>19</xdr:row>
      <xdr:rowOff>41799</xdr:rowOff>
    </xdr:to>
    <xdr:sp macro="" textlink="'Variable Management'!B238">
      <xdr:nvSpPr>
        <xdr:cNvPr id="2323" name="Text Box 275">
          <a:extLst>
            <a:ext uri="{FF2B5EF4-FFF2-40B4-BE49-F238E27FC236}">
              <a16:creationId xmlns:a16="http://schemas.microsoft.com/office/drawing/2014/main" id="{00000000-0008-0000-0000-000013090000}"/>
            </a:ext>
          </a:extLst>
        </xdr:cNvPr>
        <xdr:cNvSpPr txBox="1">
          <a:spLocks noChangeArrowheads="1" noTextEdit="1"/>
        </xdr:cNvSpPr>
      </xdr:nvSpPr>
      <xdr:spPr bwMode="auto">
        <a:xfrm>
          <a:off x="11504094" y="3777128"/>
          <a:ext cx="454160" cy="280859"/>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10µH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582353</xdr:colOff>
      <xdr:row>21</xdr:row>
      <xdr:rowOff>101486</xdr:rowOff>
    </xdr:from>
    <xdr:to>
      <xdr:col>16</xdr:col>
      <xdr:colOff>1220379</xdr:colOff>
      <xdr:row>22</xdr:row>
      <xdr:rowOff>160385</xdr:rowOff>
    </xdr:to>
    <xdr:sp macro="" textlink="'Variable Management'!E250">
      <xdr:nvSpPr>
        <xdr:cNvPr id="2324" name="Text Box 276">
          <a:extLst>
            <a:ext uri="{FF2B5EF4-FFF2-40B4-BE49-F238E27FC236}">
              <a16:creationId xmlns:a16="http://schemas.microsoft.com/office/drawing/2014/main" id="{00000000-0008-0000-0000-000014090000}"/>
            </a:ext>
          </a:extLst>
        </xdr:cNvPr>
        <xdr:cNvSpPr txBox="1">
          <a:spLocks noChangeArrowheads="1" noTextEdit="1"/>
        </xdr:cNvSpPr>
      </xdr:nvSpPr>
      <xdr:spPr bwMode="auto">
        <a:xfrm>
          <a:off x="11304141" y="4494192"/>
          <a:ext cx="638026" cy="238193"/>
        </a:xfrm>
        <a:prstGeom prst="rect">
          <a:avLst/>
        </a:prstGeom>
        <a:noFill/>
        <a:ln w="9525">
          <a:noFill/>
          <a:miter lim="800000"/>
          <a:headEnd/>
          <a:tailEnd/>
        </a:ln>
      </xdr:spPr>
      <xdr:txBody>
        <a:bodyPr vertOverflow="clip" wrap="square" lIns="27432" tIns="22860" rIns="0" bIns="0" anchor="ctr" upright="1"/>
        <a:lstStyle/>
        <a:p>
          <a:pPr algn="l" rtl="0">
            <a:defRPr sz="1000"/>
          </a:pPr>
          <a:fld id="{1B4FF237-4FCE-4391-A30E-D8A66113D8BC}" type="TxLink">
            <a:rPr lang="en-US" sz="1000" b="0" i="0" u="none" strike="noStrike" baseline="0">
              <a:solidFill>
                <a:srgbClr val="000000"/>
              </a:solidFill>
              <a:latin typeface="Arial"/>
              <a:cs typeface="Arial"/>
            </a:rPr>
            <a:pPr algn="l" rtl="0">
              <a:defRPr sz="1000"/>
            </a:pPr>
            <a:t>24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15</xdr:col>
      <xdr:colOff>124830</xdr:colOff>
      <xdr:row>10</xdr:row>
      <xdr:rowOff>136599</xdr:rowOff>
    </xdr:from>
    <xdr:to>
      <xdr:col>15</xdr:col>
      <xdr:colOff>508235</xdr:colOff>
      <xdr:row>12</xdr:row>
      <xdr:rowOff>17055</xdr:rowOff>
    </xdr:to>
    <xdr:sp macro="" textlink="">
      <xdr:nvSpPr>
        <xdr:cNvPr id="2327" name="Text Box 279">
          <a:extLst>
            <a:ext uri="{FF2B5EF4-FFF2-40B4-BE49-F238E27FC236}">
              <a16:creationId xmlns:a16="http://schemas.microsoft.com/office/drawing/2014/main" id="{00000000-0008-0000-0000-000017090000}"/>
            </a:ext>
          </a:extLst>
        </xdr:cNvPr>
        <xdr:cNvSpPr txBox="1">
          <a:spLocks noChangeArrowheads="1"/>
        </xdr:cNvSpPr>
      </xdr:nvSpPr>
      <xdr:spPr bwMode="auto">
        <a:xfrm>
          <a:off x="10156336" y="2440528"/>
          <a:ext cx="383405" cy="239045"/>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9</xdr:col>
      <xdr:colOff>361975</xdr:colOff>
      <xdr:row>14</xdr:row>
      <xdr:rowOff>183310</xdr:rowOff>
    </xdr:from>
    <xdr:to>
      <xdr:col>9</xdr:col>
      <xdr:colOff>715599</xdr:colOff>
      <xdr:row>15</xdr:row>
      <xdr:rowOff>171154</xdr:rowOff>
    </xdr:to>
    <xdr:sp macro="" textlink="'Variable Management'!B276">
      <xdr:nvSpPr>
        <xdr:cNvPr id="2329" name="Text Box 281">
          <a:extLst>
            <a:ext uri="{FF2B5EF4-FFF2-40B4-BE49-F238E27FC236}">
              <a16:creationId xmlns:a16="http://schemas.microsoft.com/office/drawing/2014/main" id="{00000000-0008-0000-0000-000019090000}"/>
            </a:ext>
          </a:extLst>
        </xdr:cNvPr>
        <xdr:cNvSpPr txBox="1">
          <a:spLocks noChangeArrowheads="1" noTextEdit="1"/>
        </xdr:cNvSpPr>
      </xdr:nvSpPr>
      <xdr:spPr bwMode="auto">
        <a:xfrm>
          <a:off x="6180069" y="3222345"/>
          <a:ext cx="353624" cy="238856"/>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xdr:from>
      <xdr:col>16</xdr:col>
      <xdr:colOff>623073</xdr:colOff>
      <xdr:row>9</xdr:row>
      <xdr:rowOff>117905</xdr:rowOff>
    </xdr:from>
    <xdr:to>
      <xdr:col>16</xdr:col>
      <xdr:colOff>991413</xdr:colOff>
      <xdr:row>11</xdr:row>
      <xdr:rowOff>12846</xdr:rowOff>
    </xdr:to>
    <xdr:sp macro="" textlink="'Variable Management'!B280">
      <xdr:nvSpPr>
        <xdr:cNvPr id="2331" name="Text Box 283">
          <a:extLst>
            <a:ext uri="{FF2B5EF4-FFF2-40B4-BE49-F238E27FC236}">
              <a16:creationId xmlns:a16="http://schemas.microsoft.com/office/drawing/2014/main" id="{00000000-0008-0000-0000-00001B090000}"/>
            </a:ext>
          </a:extLst>
        </xdr:cNvPr>
        <xdr:cNvSpPr txBox="1">
          <a:spLocks noChangeArrowheads="1" noTextEdit="1"/>
        </xdr:cNvSpPr>
      </xdr:nvSpPr>
      <xdr:spPr bwMode="auto">
        <a:xfrm>
          <a:off x="11344861" y="2242540"/>
          <a:ext cx="368340" cy="253530"/>
        </a:xfrm>
        <a:prstGeom prst="rect">
          <a:avLst/>
        </a:prstGeom>
        <a:noFill/>
        <a:ln w="9525">
          <a:noFill/>
          <a:miter lim="800000"/>
          <a:headEnd/>
          <a:tailEnd/>
        </a:ln>
      </xdr:spPr>
      <xdr:txBody>
        <a:bodyPr vertOverflow="clip" wrap="square" lIns="27432" tIns="22860" rIns="0" bIns="0" anchor="t" upright="1"/>
        <a:lstStyle/>
        <a:p>
          <a:pPr algn="l" rtl="0">
            <a:defRPr sz="1000"/>
          </a:pPr>
          <a:fld id="{211B0151-B00E-493E-8C8F-6E492416D93B}" type="TxLink">
            <a:rPr lang="en-US" sz="1200" b="1" i="0" u="none" strike="noStrike">
              <a:solidFill>
                <a:srgbClr val="FF0000"/>
              </a:solidFill>
              <a:latin typeface="Arial" pitchFamily="34" charset="0"/>
              <a:cs typeface="Arial" pitchFamily="34" charset="0"/>
            </a:rPr>
            <a:pPr algn="l" rtl="0">
              <a:defRPr sz="1000"/>
            </a:pPr>
            <a:t>24V</a:t>
          </a:fld>
          <a:endParaRPr lang="en-US" sz="1200" b="1" i="0" strike="noStrike">
            <a:solidFill>
              <a:srgbClr val="FF0000"/>
            </a:solidFill>
            <a:latin typeface="Arial" pitchFamily="34" charset="0"/>
            <a:cs typeface="Arial" pitchFamily="34" charset="0"/>
          </a:endParaRPr>
        </a:p>
      </xdr:txBody>
    </xdr:sp>
    <xdr:clientData/>
  </xdr:twoCellAnchor>
  <xdr:twoCellAnchor>
    <xdr:from>
      <xdr:col>16</xdr:col>
      <xdr:colOff>1842170</xdr:colOff>
      <xdr:row>18</xdr:row>
      <xdr:rowOff>76087</xdr:rowOff>
    </xdr:from>
    <xdr:to>
      <xdr:col>17</xdr:col>
      <xdr:colOff>5124</xdr:colOff>
      <xdr:row>19</xdr:row>
      <xdr:rowOff>128149</xdr:rowOff>
    </xdr:to>
    <xdr:sp macro="" textlink="'Variable Management'!B241">
      <xdr:nvSpPr>
        <xdr:cNvPr id="2333" name="Text Box 285">
          <a:extLst>
            <a:ext uri="{FF2B5EF4-FFF2-40B4-BE49-F238E27FC236}">
              <a16:creationId xmlns:a16="http://schemas.microsoft.com/office/drawing/2014/main" id="{00000000-0008-0000-0000-00001D090000}"/>
            </a:ext>
          </a:extLst>
        </xdr:cNvPr>
        <xdr:cNvSpPr txBox="1">
          <a:spLocks noChangeArrowheads="1" noTextEdit="1"/>
        </xdr:cNvSpPr>
      </xdr:nvSpPr>
      <xdr:spPr bwMode="auto">
        <a:xfrm>
          <a:off x="12563958" y="3904016"/>
          <a:ext cx="1031660" cy="240321"/>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5.1V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16</xdr:col>
      <xdr:colOff>1842170</xdr:colOff>
      <xdr:row>19</xdr:row>
      <xdr:rowOff>103233</xdr:rowOff>
    </xdr:from>
    <xdr:to>
      <xdr:col>17</xdr:col>
      <xdr:colOff>16788</xdr:colOff>
      <xdr:row>20</xdr:row>
      <xdr:rowOff>159248</xdr:rowOff>
    </xdr:to>
    <xdr:sp macro="" textlink="'Variable Management'!B279">
      <xdr:nvSpPr>
        <xdr:cNvPr id="2334" name="Text Box 286">
          <a:extLst>
            <a:ext uri="{FF2B5EF4-FFF2-40B4-BE49-F238E27FC236}">
              <a16:creationId xmlns:a16="http://schemas.microsoft.com/office/drawing/2014/main" id="{00000000-0008-0000-0000-00001E090000}"/>
            </a:ext>
          </a:extLst>
        </xdr:cNvPr>
        <xdr:cNvSpPr txBox="1">
          <a:spLocks noChangeArrowheads="1" noTextEdit="1"/>
        </xdr:cNvSpPr>
      </xdr:nvSpPr>
      <xdr:spPr bwMode="auto">
        <a:xfrm>
          <a:off x="12563958" y="4119421"/>
          <a:ext cx="1043324" cy="244274"/>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200" b="1" i="0" u="none" strike="noStrike">
              <a:solidFill>
                <a:srgbClr val="FF0000"/>
              </a:solidFill>
              <a:latin typeface="Arial" pitchFamily="34" charset="0"/>
              <a:cs typeface="Arial" pitchFamily="34" charset="0"/>
            </a:rPr>
            <a:pPr algn="l" rtl="0">
              <a:defRPr sz="1000"/>
            </a:pPr>
            <a:t>6A</a:t>
          </a:fld>
          <a:endParaRPr lang="en-US" sz="1200" b="1" i="0" strike="noStrike">
            <a:solidFill>
              <a:srgbClr val="FF0000"/>
            </a:solidFill>
            <a:latin typeface="Arial" pitchFamily="34" charset="0"/>
            <a:cs typeface="Arial" pitchFamily="34" charset="0"/>
          </a:endParaRPr>
        </a:p>
      </xdr:txBody>
    </xdr:sp>
    <xdr:clientData/>
  </xdr:twoCellAnchor>
  <xdr:twoCellAnchor>
    <xdr:from>
      <xdr:col>10</xdr:col>
      <xdr:colOff>244736</xdr:colOff>
      <xdr:row>26</xdr:row>
      <xdr:rowOff>46305</xdr:rowOff>
    </xdr:from>
    <xdr:to>
      <xdr:col>10</xdr:col>
      <xdr:colOff>463811</xdr:colOff>
      <xdr:row>26</xdr:row>
      <xdr:rowOff>46305</xdr:rowOff>
    </xdr:to>
    <xdr:sp macro="" textlink="'Variable Management'!B292">
      <xdr:nvSpPr>
        <xdr:cNvPr id="2347" name="Text Box 299">
          <a:extLst>
            <a:ext uri="{FF2B5EF4-FFF2-40B4-BE49-F238E27FC236}">
              <a16:creationId xmlns:a16="http://schemas.microsoft.com/office/drawing/2014/main" id="{00000000-0008-0000-0000-00002B090000}"/>
            </a:ext>
          </a:extLst>
        </xdr:cNvPr>
        <xdr:cNvSpPr txBox="1">
          <a:spLocks noChangeArrowheads="1" noTextEdit="1"/>
        </xdr:cNvSpPr>
      </xdr:nvSpPr>
      <xdr:spPr bwMode="auto">
        <a:xfrm>
          <a:off x="6914477" y="5434093"/>
          <a:ext cx="219075" cy="0"/>
        </a:xfrm>
        <a:prstGeom prst="rect">
          <a:avLst/>
        </a:prstGeom>
        <a:noFill/>
        <a:ln w="9525">
          <a:noFill/>
          <a:miter lim="800000"/>
          <a:headEnd/>
          <a:tailEnd/>
        </a:ln>
      </xdr:spPr>
      <xdr:txBody>
        <a:bodyPr vertOverflow="clip" wrap="square" lIns="27432" tIns="22860" rIns="0" bIns="0" anchor="t" upright="1"/>
        <a:lstStyle/>
        <a:p>
          <a:pPr algn="l" rtl="0">
            <a:defRPr sz="1000"/>
          </a:pPr>
          <a:fld id="{497BFBE6-0671-4D0F-A59C-D9187795E36B}" type="TxLink">
            <a:rPr lang="en-US" sz="1000" b="0" i="0" u="none" strike="noStrike">
              <a:solidFill>
                <a:srgbClr val="000000"/>
              </a:solidFill>
              <a:latin typeface="Calibri"/>
              <a:cs typeface="Arial"/>
            </a:rPr>
            <a:pPr algn="l" rtl="0">
              <a:defRPr sz="1000"/>
            </a:pPr>
            <a:t>13</a:t>
          </a:fld>
          <a:endParaRPr lang="en-US" sz="1000" b="0" i="0" strike="noStrike">
            <a:solidFill>
              <a:srgbClr val="000000"/>
            </a:solidFill>
            <a:latin typeface="Calibri"/>
          </a:endParaRPr>
        </a:p>
      </xdr:txBody>
    </xdr:sp>
    <xdr:clientData/>
  </xdr:twoCellAnchor>
  <xdr:twoCellAnchor>
    <xdr:from>
      <xdr:col>9</xdr:col>
      <xdr:colOff>568607</xdr:colOff>
      <xdr:row>10</xdr:row>
      <xdr:rowOff>38586</xdr:rowOff>
    </xdr:from>
    <xdr:to>
      <xdr:col>10</xdr:col>
      <xdr:colOff>98287</xdr:colOff>
      <xdr:row>11</xdr:row>
      <xdr:rowOff>123857</xdr:rowOff>
    </xdr:to>
    <xdr:sp macro="" textlink="">
      <xdr:nvSpPr>
        <xdr:cNvPr id="90" name="Text Box 251">
          <a:extLst>
            <a:ext uri="{FF2B5EF4-FFF2-40B4-BE49-F238E27FC236}">
              <a16:creationId xmlns:a16="http://schemas.microsoft.com/office/drawing/2014/main" id="{00000000-0008-0000-0000-00005A000000}"/>
            </a:ext>
          </a:extLst>
        </xdr:cNvPr>
        <xdr:cNvSpPr txBox="1">
          <a:spLocks noChangeArrowheads="1"/>
        </xdr:cNvSpPr>
      </xdr:nvSpPr>
      <xdr:spPr bwMode="auto">
        <a:xfrm>
          <a:off x="6386701" y="2342515"/>
          <a:ext cx="381327" cy="26456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xdr:from>
      <xdr:col>9</xdr:col>
      <xdr:colOff>433888</xdr:colOff>
      <xdr:row>11</xdr:row>
      <xdr:rowOff>83690</xdr:rowOff>
    </xdr:from>
    <xdr:to>
      <xdr:col>10</xdr:col>
      <xdr:colOff>115603</xdr:colOff>
      <xdr:row>12</xdr:row>
      <xdr:rowOff>151150</xdr:rowOff>
    </xdr:to>
    <xdr:sp macro="" textlink="'Variable Management'!B275">
      <xdr:nvSpPr>
        <xdr:cNvPr id="91" name="Text Box 281">
          <a:extLst>
            <a:ext uri="{FF2B5EF4-FFF2-40B4-BE49-F238E27FC236}">
              <a16:creationId xmlns:a16="http://schemas.microsoft.com/office/drawing/2014/main" id="{00000000-0008-0000-0000-00005B000000}"/>
            </a:ext>
          </a:extLst>
        </xdr:cNvPr>
        <xdr:cNvSpPr txBox="1">
          <a:spLocks noChangeArrowheads="1" noTextEdit="1"/>
        </xdr:cNvSpPr>
      </xdr:nvSpPr>
      <xdr:spPr bwMode="auto">
        <a:xfrm>
          <a:off x="6251982" y="2566914"/>
          <a:ext cx="533362" cy="246754"/>
        </a:xfrm>
        <a:prstGeom prst="rect">
          <a:avLst/>
        </a:prstGeom>
        <a:noFill/>
        <a:ln w="9525">
          <a:noFill/>
          <a:miter lim="800000"/>
          <a:headEnd/>
          <a:tailEnd/>
        </a:ln>
      </xdr:spPr>
      <xdr:txBody>
        <a:bodyPr vertOverflow="clip" wrap="square" lIns="27432" tIns="22860" rIns="0" bIns="0" anchor="t" upright="1"/>
        <a:lstStyle/>
        <a:p>
          <a:pPr algn="ctr" rtl="0">
            <a:defRPr sz="1000"/>
          </a:pPr>
          <a:fld id="{84EB9262-B954-486D-9975-AAB24967BDAC}" type="TxLink">
            <a:rPr lang="en-US" sz="1000" b="0" i="0" u="none" strike="noStrike">
              <a:solidFill>
                <a:srgbClr val="000000"/>
              </a:solidFill>
              <a:latin typeface="Arial" pitchFamily="34" charset="0"/>
              <a:cs typeface="Arial" pitchFamily="34" charset="0"/>
            </a:rPr>
            <a:pPr algn="ctr" rtl="0">
              <a:defRPr sz="1000"/>
            </a:pPr>
            <a:t>33.2kΩ</a:t>
          </a:fld>
          <a:endParaRPr lang="en-US" sz="1000" b="0" i="0" strike="noStrike">
            <a:solidFill>
              <a:srgbClr val="000000"/>
            </a:solidFill>
            <a:latin typeface="Arial" pitchFamily="34" charset="0"/>
            <a:cs typeface="Arial" pitchFamily="34" charset="0"/>
          </a:endParaRPr>
        </a:p>
      </xdr:txBody>
    </xdr:sp>
    <xdr:clientData/>
  </xdr:twoCellAnchor>
  <xdr:twoCellAnchor>
    <xdr:from>
      <xdr:col>15</xdr:col>
      <xdr:colOff>99631</xdr:colOff>
      <xdr:row>9</xdr:row>
      <xdr:rowOff>126447</xdr:rowOff>
    </xdr:from>
    <xdr:to>
      <xdr:col>15</xdr:col>
      <xdr:colOff>503574</xdr:colOff>
      <xdr:row>10</xdr:row>
      <xdr:rowOff>176075</xdr:rowOff>
    </xdr:to>
    <xdr:sp macro="" textlink="">
      <xdr:nvSpPr>
        <xdr:cNvPr id="2295" name="Text Box 247">
          <a:extLst>
            <a:ext uri="{FF2B5EF4-FFF2-40B4-BE49-F238E27FC236}">
              <a16:creationId xmlns:a16="http://schemas.microsoft.com/office/drawing/2014/main" id="{00000000-0008-0000-0000-0000F7080000}"/>
            </a:ext>
          </a:extLst>
        </xdr:cNvPr>
        <xdr:cNvSpPr txBox="1">
          <a:spLocks noChangeArrowheads="1"/>
        </xdr:cNvSpPr>
      </xdr:nvSpPr>
      <xdr:spPr bwMode="auto">
        <a:xfrm>
          <a:off x="10131137" y="2251082"/>
          <a:ext cx="403943" cy="2289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a:t>
          </a:r>
        </a:p>
      </xdr:txBody>
    </xdr:sp>
    <xdr:clientData/>
  </xdr:twoCellAnchor>
  <xdr:twoCellAnchor>
    <xdr:from>
      <xdr:col>16</xdr:col>
      <xdr:colOff>90349</xdr:colOff>
      <xdr:row>18</xdr:row>
      <xdr:rowOff>17007</xdr:rowOff>
    </xdr:from>
    <xdr:to>
      <xdr:col>16</xdr:col>
      <xdr:colOff>413194</xdr:colOff>
      <xdr:row>19</xdr:row>
      <xdr:rowOff>128344</xdr:rowOff>
    </xdr:to>
    <xdr:sp macro="" textlink="">
      <xdr:nvSpPr>
        <xdr:cNvPr id="97" name="Text Box 244">
          <a:extLst>
            <a:ext uri="{FF2B5EF4-FFF2-40B4-BE49-F238E27FC236}">
              <a16:creationId xmlns:a16="http://schemas.microsoft.com/office/drawing/2014/main" id="{00000000-0008-0000-0000-000061000000}"/>
            </a:ext>
          </a:extLst>
        </xdr:cNvPr>
        <xdr:cNvSpPr txBox="1">
          <a:spLocks noChangeArrowheads="1"/>
        </xdr:cNvSpPr>
      </xdr:nvSpPr>
      <xdr:spPr bwMode="auto">
        <a:xfrm>
          <a:off x="10812137" y="3844936"/>
          <a:ext cx="322845" cy="29959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16</xdr:col>
      <xdr:colOff>80474</xdr:colOff>
      <xdr:row>13</xdr:row>
      <xdr:rowOff>17014</xdr:rowOff>
    </xdr:from>
    <xdr:to>
      <xdr:col>16</xdr:col>
      <xdr:colOff>403319</xdr:colOff>
      <xdr:row>14</xdr:row>
      <xdr:rowOff>112859</xdr:rowOff>
    </xdr:to>
    <xdr:sp macro="" textlink="">
      <xdr:nvSpPr>
        <xdr:cNvPr id="102" name="Text Box 244">
          <a:extLst>
            <a:ext uri="{FF2B5EF4-FFF2-40B4-BE49-F238E27FC236}">
              <a16:creationId xmlns:a16="http://schemas.microsoft.com/office/drawing/2014/main" id="{00000000-0008-0000-0000-000066000000}"/>
            </a:ext>
          </a:extLst>
        </xdr:cNvPr>
        <xdr:cNvSpPr txBox="1">
          <a:spLocks noChangeArrowheads="1"/>
        </xdr:cNvSpPr>
      </xdr:nvSpPr>
      <xdr:spPr bwMode="auto">
        <a:xfrm>
          <a:off x="10802262" y="2876755"/>
          <a:ext cx="322845" cy="27513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10</xdr:col>
      <xdr:colOff>535368</xdr:colOff>
      <xdr:row>6</xdr:row>
      <xdr:rowOff>39262</xdr:rowOff>
    </xdr:from>
    <xdr:to>
      <xdr:col>11</xdr:col>
      <xdr:colOff>481378</xdr:colOff>
      <xdr:row>7</xdr:row>
      <xdr:rowOff>83672</xdr:rowOff>
    </xdr:to>
    <xdr:sp macro="" textlink="'Variable Management'!G98">
      <xdr:nvSpPr>
        <xdr:cNvPr id="66" name="Text Box 264">
          <a:extLst>
            <a:ext uri="{FF2B5EF4-FFF2-40B4-BE49-F238E27FC236}">
              <a16:creationId xmlns:a16="http://schemas.microsoft.com/office/drawing/2014/main" id="{00000000-0008-0000-0000-000042000000}"/>
            </a:ext>
          </a:extLst>
        </xdr:cNvPr>
        <xdr:cNvSpPr txBox="1">
          <a:spLocks noChangeArrowheads="1" noTextEdit="1"/>
        </xdr:cNvSpPr>
      </xdr:nvSpPr>
      <xdr:spPr bwMode="auto">
        <a:xfrm>
          <a:off x="7205109" y="1626015"/>
          <a:ext cx="573540" cy="223704"/>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12.7kΩ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84897</xdr:colOff>
      <xdr:row>5</xdr:row>
      <xdr:rowOff>8247</xdr:rowOff>
    </xdr:from>
    <xdr:to>
      <xdr:col>11</xdr:col>
      <xdr:colOff>505966</xdr:colOff>
      <xdr:row>6</xdr:row>
      <xdr:rowOff>38645</xdr:rowOff>
    </xdr:to>
    <xdr:sp macro="" textlink="">
      <xdr:nvSpPr>
        <xdr:cNvPr id="68" name="Text Box 255">
          <a:extLst>
            <a:ext uri="{FF2B5EF4-FFF2-40B4-BE49-F238E27FC236}">
              <a16:creationId xmlns:a16="http://schemas.microsoft.com/office/drawing/2014/main" id="{00000000-0008-0000-0000-000044000000}"/>
            </a:ext>
          </a:extLst>
        </xdr:cNvPr>
        <xdr:cNvSpPr txBox="1">
          <a:spLocks noChangeArrowheads="1"/>
        </xdr:cNvSpPr>
      </xdr:nvSpPr>
      <xdr:spPr bwMode="auto">
        <a:xfrm>
          <a:off x="7382168" y="1415706"/>
          <a:ext cx="421069" cy="20969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11</xdr:col>
      <xdr:colOff>661946</xdr:colOff>
      <xdr:row>6</xdr:row>
      <xdr:rowOff>29009</xdr:rowOff>
    </xdr:from>
    <xdr:to>
      <xdr:col>12</xdr:col>
      <xdr:colOff>395661</xdr:colOff>
      <xdr:row>7</xdr:row>
      <xdr:rowOff>65707</xdr:rowOff>
    </xdr:to>
    <xdr:sp macro="" textlink="'Variable Management'!G97">
      <xdr:nvSpPr>
        <xdr:cNvPr id="69" name="Text Box 264">
          <a:extLst>
            <a:ext uri="{FF2B5EF4-FFF2-40B4-BE49-F238E27FC236}">
              <a16:creationId xmlns:a16="http://schemas.microsoft.com/office/drawing/2014/main" id="{00000000-0008-0000-0000-000045000000}"/>
            </a:ext>
          </a:extLst>
        </xdr:cNvPr>
        <xdr:cNvSpPr txBox="1">
          <a:spLocks noChangeArrowheads="1" noTextEdit="1"/>
        </xdr:cNvSpPr>
      </xdr:nvSpPr>
      <xdr:spPr bwMode="auto">
        <a:xfrm>
          <a:off x="7959217" y="1615762"/>
          <a:ext cx="585362" cy="215992"/>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75kΩ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795787</xdr:colOff>
      <xdr:row>4</xdr:row>
      <xdr:rowOff>242103</xdr:rowOff>
    </xdr:from>
    <xdr:to>
      <xdr:col>12</xdr:col>
      <xdr:colOff>375327</xdr:colOff>
      <xdr:row>6</xdr:row>
      <xdr:rowOff>28879</xdr:rowOff>
    </xdr:to>
    <xdr:sp macro="" textlink="">
      <xdr:nvSpPr>
        <xdr:cNvPr id="70" name="Text Box 255">
          <a:extLst>
            <a:ext uri="{FF2B5EF4-FFF2-40B4-BE49-F238E27FC236}">
              <a16:creationId xmlns:a16="http://schemas.microsoft.com/office/drawing/2014/main" id="{00000000-0008-0000-0000-000046000000}"/>
            </a:ext>
          </a:extLst>
        </xdr:cNvPr>
        <xdr:cNvSpPr txBox="1">
          <a:spLocks noChangeArrowheads="1"/>
        </xdr:cNvSpPr>
      </xdr:nvSpPr>
      <xdr:spPr bwMode="auto">
        <a:xfrm>
          <a:off x="8093058" y="1398550"/>
          <a:ext cx="431187" cy="21708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16</xdr:col>
      <xdr:colOff>754541</xdr:colOff>
      <xdr:row>18</xdr:row>
      <xdr:rowOff>162716</xdr:rowOff>
    </xdr:from>
    <xdr:to>
      <xdr:col>16</xdr:col>
      <xdr:colOff>1270654</xdr:colOff>
      <xdr:row>20</xdr:row>
      <xdr:rowOff>55909</xdr:rowOff>
    </xdr:to>
    <xdr:sp macro="" textlink="'Variable Management'!B239">
      <xdr:nvSpPr>
        <xdr:cNvPr id="142" name="Text Box 275">
          <a:extLst>
            <a:ext uri="{FF2B5EF4-FFF2-40B4-BE49-F238E27FC236}">
              <a16:creationId xmlns:a16="http://schemas.microsoft.com/office/drawing/2014/main" id="{00000000-0008-0000-0000-00008E000000}"/>
            </a:ext>
          </a:extLst>
        </xdr:cNvPr>
        <xdr:cNvSpPr txBox="1">
          <a:spLocks noChangeArrowheads="1" noTextEdit="1"/>
        </xdr:cNvSpPr>
      </xdr:nvSpPr>
      <xdr:spPr bwMode="auto">
        <a:xfrm>
          <a:off x="11476329" y="3990645"/>
          <a:ext cx="516113" cy="269711"/>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5mΩ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799138</xdr:colOff>
      <xdr:row>28</xdr:row>
      <xdr:rowOff>53618</xdr:rowOff>
    </xdr:from>
    <xdr:to>
      <xdr:col>12</xdr:col>
      <xdr:colOff>455323</xdr:colOff>
      <xdr:row>29</xdr:row>
      <xdr:rowOff>110794</xdr:rowOff>
    </xdr:to>
    <xdr:sp macro="" textlink="">
      <xdr:nvSpPr>
        <xdr:cNvPr id="145" name="Text Box 245">
          <a:extLst>
            <a:ext uri="{FF2B5EF4-FFF2-40B4-BE49-F238E27FC236}">
              <a16:creationId xmlns:a16="http://schemas.microsoft.com/office/drawing/2014/main" id="{00000000-0008-0000-0000-000091000000}"/>
            </a:ext>
          </a:extLst>
        </xdr:cNvPr>
        <xdr:cNvSpPr txBox="1">
          <a:spLocks noChangeArrowheads="1"/>
        </xdr:cNvSpPr>
      </xdr:nvSpPr>
      <xdr:spPr bwMode="auto">
        <a:xfrm>
          <a:off x="8096409" y="5799994"/>
          <a:ext cx="507832" cy="2364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11</xdr:col>
      <xdr:colOff>816486</xdr:colOff>
      <xdr:row>29</xdr:row>
      <xdr:rowOff>62180</xdr:rowOff>
    </xdr:from>
    <xdr:to>
      <xdr:col>12</xdr:col>
      <xdr:colOff>596113</xdr:colOff>
      <xdr:row>30</xdr:row>
      <xdr:rowOff>78493</xdr:rowOff>
    </xdr:to>
    <xdr:sp macro="" textlink="'Variable Management'!B274">
      <xdr:nvSpPr>
        <xdr:cNvPr id="146" name="Text Box 281">
          <a:extLst>
            <a:ext uri="{FF2B5EF4-FFF2-40B4-BE49-F238E27FC236}">
              <a16:creationId xmlns:a16="http://schemas.microsoft.com/office/drawing/2014/main" id="{00000000-0008-0000-0000-000092000000}"/>
            </a:ext>
          </a:extLst>
        </xdr:cNvPr>
        <xdr:cNvSpPr txBox="1">
          <a:spLocks noChangeArrowheads="1" noTextEdit="1"/>
        </xdr:cNvSpPr>
      </xdr:nvSpPr>
      <xdr:spPr bwMode="auto">
        <a:xfrm>
          <a:off x="8113757" y="5987851"/>
          <a:ext cx="631274" cy="249395"/>
        </a:xfrm>
        <a:prstGeom prst="rect">
          <a:avLst/>
        </a:prstGeom>
        <a:noFill/>
        <a:ln w="9525">
          <a:noFill/>
          <a:miter lim="800000"/>
          <a:headEnd/>
          <a:tailEnd/>
        </a:ln>
      </xdr:spPr>
      <xdr:txBody>
        <a:bodyPr vertOverflow="clip" wrap="square" lIns="27432" tIns="22860" rIns="0" bIns="0" anchor="ctr" upright="1"/>
        <a:lstStyle/>
        <a:p>
          <a:pPr algn="l" rtl="0">
            <a:defRPr sz="1000"/>
          </a:pPr>
          <a:fld id="{89760BEF-9E88-4172-89E5-A2E0AD0D10FF}"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xdr:from>
          <xdr:col>5</xdr:col>
          <xdr:colOff>0</xdr:colOff>
          <xdr:row>59</xdr:row>
          <xdr:rowOff>160020</xdr:rowOff>
        </xdr:from>
        <xdr:to>
          <xdr:col>5</xdr:col>
          <xdr:colOff>182880</xdr:colOff>
          <xdr:row>61</xdr:row>
          <xdr:rowOff>7620</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66</xdr:row>
          <xdr:rowOff>0</xdr:rowOff>
        </xdr:from>
        <xdr:to>
          <xdr:col>5</xdr:col>
          <xdr:colOff>182880</xdr:colOff>
          <xdr:row>67</xdr:row>
          <xdr:rowOff>0</xdr:rowOff>
        </xdr:to>
        <xdr:sp macro="" textlink="">
          <xdr:nvSpPr>
            <xdr:cNvPr id="672830" name="Spinner 62" hidden="1">
              <a:extLst>
                <a:ext uri="{63B3BB69-23CF-44E3-9099-C40C66FF867C}">
                  <a14:compatExt spid="_x0000_s672830"/>
                </a:ext>
                <a:ext uri="{FF2B5EF4-FFF2-40B4-BE49-F238E27FC236}">
                  <a16:creationId xmlns:a16="http://schemas.microsoft.com/office/drawing/2014/main" id="{00000000-0008-0000-0000-00003E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67</xdr:row>
          <xdr:rowOff>0</xdr:rowOff>
        </xdr:from>
        <xdr:to>
          <xdr:col>5</xdr:col>
          <xdr:colOff>182880</xdr:colOff>
          <xdr:row>67</xdr:row>
          <xdr:rowOff>190500</xdr:rowOff>
        </xdr:to>
        <xdr:sp macro="" textlink="">
          <xdr:nvSpPr>
            <xdr:cNvPr id="672831" name="Spinner 63" hidden="1">
              <a:extLst>
                <a:ext uri="{63B3BB69-23CF-44E3-9099-C40C66FF867C}">
                  <a14:compatExt spid="_x0000_s672831"/>
                </a:ext>
                <a:ext uri="{FF2B5EF4-FFF2-40B4-BE49-F238E27FC236}">
                  <a16:creationId xmlns:a16="http://schemas.microsoft.com/office/drawing/2014/main" id="{00000000-0008-0000-0000-00003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68</xdr:row>
          <xdr:rowOff>0</xdr:rowOff>
        </xdr:from>
        <xdr:to>
          <xdr:col>5</xdr:col>
          <xdr:colOff>182880</xdr:colOff>
          <xdr:row>68</xdr:row>
          <xdr:rowOff>190500</xdr:rowOff>
        </xdr:to>
        <xdr:sp macro="" textlink="">
          <xdr:nvSpPr>
            <xdr:cNvPr id="672832" name="Spinner 64" hidden="1">
              <a:extLst>
                <a:ext uri="{63B3BB69-23CF-44E3-9099-C40C66FF867C}">
                  <a14:compatExt spid="_x0000_s672832"/>
                </a:ext>
                <a:ext uri="{FF2B5EF4-FFF2-40B4-BE49-F238E27FC236}">
                  <a16:creationId xmlns:a16="http://schemas.microsoft.com/office/drawing/2014/main" id="{00000000-0008-0000-0000-000040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69</xdr:row>
          <xdr:rowOff>0</xdr:rowOff>
        </xdr:from>
        <xdr:to>
          <xdr:col>5</xdr:col>
          <xdr:colOff>182880</xdr:colOff>
          <xdr:row>69</xdr:row>
          <xdr:rowOff>190500</xdr:rowOff>
        </xdr:to>
        <xdr:sp macro="" textlink="">
          <xdr:nvSpPr>
            <xdr:cNvPr id="672833" name="Spinner 65" hidden="1">
              <a:extLst>
                <a:ext uri="{63B3BB69-23CF-44E3-9099-C40C66FF867C}">
                  <a14:compatExt spid="_x0000_s672833"/>
                </a:ext>
                <a:ext uri="{FF2B5EF4-FFF2-40B4-BE49-F238E27FC236}">
                  <a16:creationId xmlns:a16="http://schemas.microsoft.com/office/drawing/2014/main" id="{00000000-0008-0000-0000-000041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0</xdr:col>
      <xdr:colOff>85725</xdr:colOff>
      <xdr:row>0</xdr:row>
      <xdr:rowOff>47625</xdr:rowOff>
    </xdr:from>
    <xdr:to>
      <xdr:col>3</xdr:col>
      <xdr:colOff>292346</xdr:colOff>
      <xdr:row>0</xdr:row>
      <xdr:rowOff>586281</xdr:rowOff>
    </xdr:to>
    <xdr:pic macro="[0]!OpenLM27403ProductFolder">
      <xdr:nvPicPr>
        <xdr:cNvPr id="80" name="Picture 79">
          <a:hlinkClick xmlns:r="http://schemas.openxmlformats.org/officeDocument/2006/relationships" r:id="rId4"/>
          <a:extLst>
            <a:ext uri="{FF2B5EF4-FFF2-40B4-BE49-F238E27FC236}">
              <a16:creationId xmlns:a16="http://schemas.microsoft.com/office/drawing/2014/main" id="{00000000-0008-0000-0000-00005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t="4896" b="8304"/>
        <a:stretch/>
      </xdr:blipFill>
      <xdr:spPr>
        <a:xfrm>
          <a:off x="85725" y="47625"/>
          <a:ext cx="2283071" cy="53865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7620</xdr:colOff>
          <xdr:row>23</xdr:row>
          <xdr:rowOff>0</xdr:rowOff>
        </xdr:from>
        <xdr:to>
          <xdr:col>1</xdr:col>
          <xdr:colOff>525780</xdr:colOff>
          <xdr:row>24</xdr:row>
          <xdr:rowOff>0</xdr:rowOff>
        </xdr:to>
        <xdr:sp macro="" textlink="">
          <xdr:nvSpPr>
            <xdr:cNvPr id="672871" name="Drop Down 103" hidden="1">
              <a:extLst>
                <a:ext uri="{63B3BB69-23CF-44E3-9099-C40C66FF867C}">
                  <a14:compatExt spid="_x0000_s672871"/>
                </a:ext>
                <a:ext uri="{FF2B5EF4-FFF2-40B4-BE49-F238E27FC236}">
                  <a16:creationId xmlns:a16="http://schemas.microsoft.com/office/drawing/2014/main" id="{00000000-0008-0000-0000-0000674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305281</xdr:colOff>
      <xdr:row>23</xdr:row>
      <xdr:rowOff>39249</xdr:rowOff>
    </xdr:from>
    <xdr:to>
      <xdr:col>16</xdr:col>
      <xdr:colOff>878968</xdr:colOff>
      <xdr:row>24</xdr:row>
      <xdr:rowOff>155985</xdr:rowOff>
    </xdr:to>
    <xdr:sp macro="" textlink="'Variable Management'!B269">
      <xdr:nvSpPr>
        <xdr:cNvPr id="88" name="Text Box 270">
          <a:extLst>
            <a:ext uri="{FF2B5EF4-FFF2-40B4-BE49-F238E27FC236}">
              <a16:creationId xmlns:a16="http://schemas.microsoft.com/office/drawing/2014/main" id="{00000000-0008-0000-0000-000058000000}"/>
            </a:ext>
          </a:extLst>
        </xdr:cNvPr>
        <xdr:cNvSpPr txBox="1">
          <a:spLocks noChangeArrowheads="1" noTextEdit="1"/>
        </xdr:cNvSpPr>
      </xdr:nvSpPr>
      <xdr:spPr bwMode="auto">
        <a:xfrm>
          <a:off x="11027069" y="4862261"/>
          <a:ext cx="573687" cy="304995"/>
        </a:xfrm>
        <a:prstGeom prst="rect">
          <a:avLst/>
        </a:prstGeom>
        <a:noFill/>
        <a:ln w="9525">
          <a:noFill/>
          <a:miter lim="800000"/>
          <a:headEnd/>
          <a:tailEnd/>
        </a:ln>
      </xdr:spPr>
      <xdr:txBody>
        <a:bodyPr vertOverflow="clip" wrap="square" lIns="27432" tIns="22860" rIns="0" bIns="0" anchor="t" upright="1"/>
        <a:lstStyle/>
        <a:p>
          <a:pPr algn="l" rtl="0">
            <a:defRPr sz="1000"/>
          </a:pPr>
          <a:fld id="{B99E8AFA-CC9D-495E-8F5C-E82A30AF7894}"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371956</xdr:colOff>
      <xdr:row>22</xdr:row>
      <xdr:rowOff>72867</xdr:rowOff>
    </xdr:from>
    <xdr:to>
      <xdr:col>16</xdr:col>
      <xdr:colOff>945643</xdr:colOff>
      <xdr:row>23</xdr:row>
      <xdr:rowOff>46129</xdr:rowOff>
    </xdr:to>
    <xdr:sp macro="" textlink="'Variable Management'!A269">
      <xdr:nvSpPr>
        <xdr:cNvPr id="92" name="Text Box 270">
          <a:extLst>
            <a:ext uri="{FF2B5EF4-FFF2-40B4-BE49-F238E27FC236}">
              <a16:creationId xmlns:a16="http://schemas.microsoft.com/office/drawing/2014/main" id="{00000000-0008-0000-0000-00005C000000}"/>
            </a:ext>
          </a:extLst>
        </xdr:cNvPr>
        <xdr:cNvSpPr txBox="1">
          <a:spLocks noChangeArrowheads="1" noTextEdit="1"/>
        </xdr:cNvSpPr>
      </xdr:nvSpPr>
      <xdr:spPr bwMode="auto">
        <a:xfrm>
          <a:off x="11093744" y="4644867"/>
          <a:ext cx="573687" cy="224274"/>
        </a:xfrm>
        <a:prstGeom prst="rect">
          <a:avLst/>
        </a:prstGeom>
        <a:noFill/>
        <a:ln w="9525">
          <a:noFill/>
          <a:miter lim="800000"/>
          <a:headEnd/>
          <a:tailEnd/>
        </a:ln>
      </xdr:spPr>
      <xdr:txBody>
        <a:bodyPr vertOverflow="clip" wrap="square" lIns="27432" tIns="22860" rIns="0" bIns="0" anchor="t" upright="1"/>
        <a:lstStyle/>
        <a:p>
          <a:pPr algn="l" rtl="0">
            <a:defRPr sz="1000"/>
          </a:pPr>
          <a:fld id="{70DB96BF-E1DF-48E4-A6D6-40F1646A7E3C}"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790575</xdr:colOff>
      <xdr:row>84</xdr:row>
      <xdr:rowOff>0</xdr:rowOff>
    </xdr:from>
    <xdr:to>
      <xdr:col>16</xdr:col>
      <xdr:colOff>1212518</xdr:colOff>
      <xdr:row>85</xdr:row>
      <xdr:rowOff>47625</xdr:rowOff>
    </xdr:to>
    <xdr:sp macro="" textlink="'Variable Management'!B308">
      <xdr:nvSpPr>
        <xdr:cNvPr id="62" name="Text Box 24">
          <a:extLst>
            <a:ext uri="{FF2B5EF4-FFF2-40B4-BE49-F238E27FC236}">
              <a16:creationId xmlns:a16="http://schemas.microsoft.com/office/drawing/2014/main" id="{00000000-0008-0000-0000-00003E000000}"/>
            </a:ext>
          </a:extLst>
        </xdr:cNvPr>
        <xdr:cNvSpPr txBox="1">
          <a:spLocks noChangeArrowheads="1" noTextEdit="1"/>
        </xdr:cNvSpPr>
      </xdr:nvSpPr>
      <xdr:spPr bwMode="auto">
        <a:xfrm>
          <a:off x="11106150" y="15935325"/>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5E2734BE-9F4E-46E2-95E4-7A6A07C9A939}" type="TxLink">
            <a:rPr lang="en-US" sz="1000" b="0" i="0" u="none" strike="noStrike" baseline="0">
              <a:solidFill>
                <a:srgbClr val="000000"/>
              </a:solidFill>
              <a:latin typeface="Arial"/>
              <a:cs typeface="Arial"/>
            </a:rPr>
            <a:pPr algn="l" rtl="0">
              <a:defRPr sz="1000"/>
            </a:pPr>
            <a:t>95%</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266700</xdr:colOff>
      <xdr:row>83</xdr:row>
      <xdr:rowOff>219075</xdr:rowOff>
    </xdr:from>
    <xdr:to>
      <xdr:col>13</xdr:col>
      <xdr:colOff>79043</xdr:colOff>
      <xdr:row>85</xdr:row>
      <xdr:rowOff>38100</xdr:rowOff>
    </xdr:to>
    <xdr:sp macro="" textlink="'Variable Management'!B309">
      <xdr:nvSpPr>
        <xdr:cNvPr id="63" name="Text Box 24">
          <a:extLst>
            <a:ext uri="{FF2B5EF4-FFF2-40B4-BE49-F238E27FC236}">
              <a16:creationId xmlns:a16="http://schemas.microsoft.com/office/drawing/2014/main" id="{00000000-0008-0000-0000-00003F000000}"/>
            </a:ext>
          </a:extLst>
        </xdr:cNvPr>
        <xdr:cNvSpPr txBox="1">
          <a:spLocks noChangeArrowheads="1" noTextEdit="1"/>
        </xdr:cNvSpPr>
      </xdr:nvSpPr>
      <xdr:spPr bwMode="auto">
        <a:xfrm>
          <a:off x="8077200" y="15925800"/>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54471BB4-2258-4940-9924-F43A04D031AE}" type="TxLink">
            <a:rPr lang="en-US" sz="1000" b="0" i="0" u="none" strike="noStrike" baseline="0">
              <a:solidFill>
                <a:srgbClr val="000000"/>
              </a:solidFill>
              <a:latin typeface="Arial"/>
              <a:cs typeface="Arial"/>
            </a:rPr>
            <a:pPr algn="l" rtl="0">
              <a:defRPr sz="1000"/>
            </a:pPr>
            <a:t>93.7%</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177630</xdr:colOff>
      <xdr:row>30</xdr:row>
      <xdr:rowOff>13788</xdr:rowOff>
    </xdr:from>
    <xdr:to>
      <xdr:col>13</xdr:col>
      <xdr:colOff>34872</xdr:colOff>
      <xdr:row>31</xdr:row>
      <xdr:rowOff>107497</xdr:rowOff>
    </xdr:to>
    <xdr:sp macro="" textlink="'Variable Management'!A270">
      <xdr:nvSpPr>
        <xdr:cNvPr id="64" name="Text Box 231">
          <a:extLst>
            <a:ext uri="{FF2B5EF4-FFF2-40B4-BE49-F238E27FC236}">
              <a16:creationId xmlns:a16="http://schemas.microsoft.com/office/drawing/2014/main" id="{00000000-0008-0000-0000-000040000000}"/>
            </a:ext>
          </a:extLst>
        </xdr:cNvPr>
        <xdr:cNvSpPr txBox="1">
          <a:spLocks noChangeArrowheads="1"/>
        </xdr:cNvSpPr>
      </xdr:nvSpPr>
      <xdr:spPr bwMode="auto">
        <a:xfrm>
          <a:off x="8326548" y="6172541"/>
          <a:ext cx="484771" cy="273003"/>
        </a:xfrm>
        <a:prstGeom prst="rect">
          <a:avLst/>
        </a:prstGeom>
        <a:noFill/>
        <a:ln w="9525">
          <a:noFill/>
          <a:miter lim="800000"/>
          <a:headEnd/>
          <a:tailEnd/>
        </a:ln>
      </xdr:spPr>
      <xdr:txBody>
        <a:bodyPr vertOverflow="clip" wrap="square" lIns="27432" tIns="27432" rIns="0" bIns="0" anchor="t" upright="1"/>
        <a:lstStyle/>
        <a:p>
          <a:pPr algn="l" rtl="0">
            <a:defRPr sz="1000"/>
          </a:pPr>
          <a:fld id="{6DDDD961-FD77-4006-A9BF-86BA94AAC47A}" type="TxLink">
            <a:rPr lang="en-US" sz="1000" b="0" i="0" u="none" strike="noStrike">
              <a:solidFill>
                <a:srgbClr val="000000"/>
              </a:solidFill>
              <a:latin typeface="Arial"/>
              <a:cs typeface="Arial"/>
            </a:rPr>
            <a:pPr algn="l" rtl="0">
              <a:defRPr sz="1000"/>
            </a:pPr>
            <a:t>Cilim</a:t>
          </a:fld>
          <a:endParaRPr lang="en-US" sz="1000" b="0" i="0" strike="noStrike" baseline="-25000">
            <a:solidFill>
              <a:srgbClr val="000000"/>
            </a:solidFill>
            <a:latin typeface="Arial" pitchFamily="34" charset="0"/>
            <a:cs typeface="Arial" pitchFamily="34" charset="0"/>
          </a:endParaRPr>
        </a:p>
      </xdr:txBody>
    </xdr:sp>
    <xdr:clientData/>
  </xdr:twoCellAnchor>
  <xdr:twoCellAnchor>
    <xdr:from>
      <xdr:col>12</xdr:col>
      <xdr:colOff>169823</xdr:colOff>
      <xdr:row>31</xdr:row>
      <xdr:rowOff>50238</xdr:rowOff>
    </xdr:from>
    <xdr:to>
      <xdr:col>13</xdr:col>
      <xdr:colOff>125593</xdr:colOff>
      <xdr:row>32</xdr:row>
      <xdr:rowOff>96408</xdr:rowOff>
    </xdr:to>
    <xdr:sp macro="" textlink="'Variable Management'!B270">
      <xdr:nvSpPr>
        <xdr:cNvPr id="67" name="Text Box 270">
          <a:extLst>
            <a:ext uri="{FF2B5EF4-FFF2-40B4-BE49-F238E27FC236}">
              <a16:creationId xmlns:a16="http://schemas.microsoft.com/office/drawing/2014/main" id="{00000000-0008-0000-0000-000043000000}"/>
            </a:ext>
          </a:extLst>
        </xdr:cNvPr>
        <xdr:cNvSpPr txBox="1">
          <a:spLocks noChangeArrowheads="1" noTextEdit="1"/>
        </xdr:cNvSpPr>
      </xdr:nvSpPr>
      <xdr:spPr bwMode="auto">
        <a:xfrm>
          <a:off x="8318741" y="6388285"/>
          <a:ext cx="583299" cy="225464"/>
        </a:xfrm>
        <a:prstGeom prst="rect">
          <a:avLst/>
        </a:prstGeom>
        <a:noFill/>
        <a:ln w="9525">
          <a:noFill/>
          <a:miter lim="800000"/>
          <a:headEnd/>
          <a:tailEnd/>
        </a:ln>
      </xdr:spPr>
      <xdr:txBody>
        <a:bodyPr vertOverflow="clip" wrap="square" lIns="27432" tIns="22860" rIns="0" bIns="0" anchor="t" upright="1"/>
        <a:lstStyle/>
        <a:p>
          <a:pPr algn="l" rtl="0">
            <a:defRPr sz="1000"/>
          </a:pPr>
          <a:fld id="{F1AA52B6-2C20-478B-832B-81CF265F500F}" type="TxLink">
            <a:rPr lang="en-US" sz="1000" b="0" i="0" u="none" strike="noStrike" baseline="0">
              <a:solidFill>
                <a:srgbClr val="000000"/>
              </a:solidFill>
              <a:latin typeface="Arial"/>
              <a:cs typeface="Arial"/>
            </a:rPr>
            <a:pPr algn="l" rtl="0">
              <a:defRPr sz="1000"/>
            </a:pPr>
            <a:t>33pF</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617200</xdr:colOff>
      <xdr:row>10</xdr:row>
      <xdr:rowOff>173656</xdr:rowOff>
    </xdr:from>
    <xdr:to>
      <xdr:col>16</xdr:col>
      <xdr:colOff>1765580</xdr:colOff>
      <xdr:row>12</xdr:row>
      <xdr:rowOff>63149</xdr:rowOff>
    </xdr:to>
    <xdr:sp macro="" textlink="'Variable Management'!B281">
      <xdr:nvSpPr>
        <xdr:cNvPr id="71" name="Text Box 283">
          <a:extLst>
            <a:ext uri="{FF2B5EF4-FFF2-40B4-BE49-F238E27FC236}">
              <a16:creationId xmlns:a16="http://schemas.microsoft.com/office/drawing/2014/main" id="{00000000-0008-0000-0000-000047000000}"/>
            </a:ext>
          </a:extLst>
        </xdr:cNvPr>
        <xdr:cNvSpPr txBox="1">
          <a:spLocks noChangeArrowheads="1" noTextEdit="1"/>
        </xdr:cNvSpPr>
      </xdr:nvSpPr>
      <xdr:spPr bwMode="auto">
        <a:xfrm>
          <a:off x="11338988" y="2477585"/>
          <a:ext cx="1148380" cy="248082"/>
        </a:xfrm>
        <a:prstGeom prst="rect">
          <a:avLst/>
        </a:prstGeom>
        <a:noFill/>
        <a:ln w="9525">
          <a:noFill/>
          <a:miter lim="800000"/>
          <a:headEnd/>
          <a:tailEnd/>
        </a:ln>
      </xdr:spPr>
      <xdr:txBody>
        <a:bodyPr vertOverflow="clip" wrap="square" lIns="27432" tIns="22860" rIns="0" bIns="0" anchor="t" upright="1"/>
        <a:lstStyle/>
        <a:p>
          <a:pPr algn="l" rtl="0">
            <a:defRPr sz="1000"/>
          </a:pPr>
          <a:fld id="{EF361795-4FFE-464C-BBFA-7CAE15CC7442}" type="TxLink">
            <a:rPr lang="en-US" sz="1200" b="1" i="0" u="none" strike="noStrike">
              <a:solidFill>
                <a:srgbClr val="0000FF"/>
              </a:solidFill>
              <a:latin typeface="Arial"/>
              <a:cs typeface="Arial"/>
            </a:rPr>
            <a:pPr algn="l" rtl="0">
              <a:defRPr sz="1000"/>
            </a:pPr>
            <a:t>18V to 36V</a:t>
          </a:fld>
          <a:endParaRPr lang="en-US" sz="2400" b="1" i="0" strike="noStrike">
            <a:solidFill>
              <a:srgbClr val="0000FF"/>
            </a:solidFill>
            <a:latin typeface="Arial" pitchFamily="34" charset="0"/>
            <a:cs typeface="Arial" pitchFamily="34" charset="0"/>
          </a:endParaRPr>
        </a:p>
      </xdr:txBody>
    </xdr:sp>
    <xdr:clientData/>
  </xdr:twoCellAnchor>
  <xdr:twoCellAnchor editAs="oneCell">
    <xdr:from>
      <xdr:col>16</xdr:col>
      <xdr:colOff>1085850</xdr:colOff>
      <xdr:row>0</xdr:row>
      <xdr:rowOff>0</xdr:rowOff>
    </xdr:from>
    <xdr:to>
      <xdr:col>17</xdr:col>
      <xdr:colOff>1822</xdr:colOff>
      <xdr:row>3</xdr:row>
      <xdr:rowOff>61728</xdr:rowOff>
    </xdr:to>
    <xdr:pic>
      <xdr:nvPicPr>
        <xdr:cNvPr id="72" name="Picture 71">
          <a:hlinkClick xmlns:r="http://schemas.openxmlformats.org/officeDocument/2006/relationships" r:id="rId4"/>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791950" y="0"/>
          <a:ext cx="1788712" cy="1037088"/>
        </a:xfrm>
        <a:prstGeom prst="rect">
          <a:avLst/>
        </a:prstGeom>
      </xdr:spPr>
    </xdr:pic>
    <xdr:clientData/>
  </xdr:twoCellAnchor>
  <xdr:twoCellAnchor editAs="oneCell">
    <xdr:from>
      <xdr:col>16</xdr:col>
      <xdr:colOff>993530</xdr:colOff>
      <xdr:row>71</xdr:row>
      <xdr:rowOff>227465</xdr:rowOff>
    </xdr:from>
    <xdr:to>
      <xdr:col>16</xdr:col>
      <xdr:colOff>2784229</xdr:colOff>
      <xdr:row>78</xdr:row>
      <xdr:rowOff>37116</xdr:rowOff>
    </xdr:to>
    <xdr:pic>
      <xdr:nvPicPr>
        <xdr:cNvPr id="73" name="Picture 72">
          <a:hlinkClick xmlns:r="http://schemas.openxmlformats.org/officeDocument/2006/relationships" r:id="rId7"/>
          <a:extLst>
            <a:ext uri="{FF2B5EF4-FFF2-40B4-BE49-F238E27FC236}">
              <a16:creationId xmlns:a16="http://schemas.microsoft.com/office/drawing/2014/main" id="{00000000-0008-0000-0000-00004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1404355" y="13657715"/>
          <a:ext cx="1790699" cy="1131721"/>
        </a:xfrm>
        <a:prstGeom prst="rect">
          <a:avLst/>
        </a:prstGeom>
      </xdr:spPr>
    </xdr:pic>
    <xdr:clientData/>
  </xdr:twoCellAnchor>
  <xdr:twoCellAnchor editAs="oneCell">
    <xdr:from>
      <xdr:col>16</xdr:col>
      <xdr:colOff>111673</xdr:colOff>
      <xdr:row>0</xdr:row>
      <xdr:rowOff>0</xdr:rowOff>
    </xdr:from>
    <xdr:to>
      <xdr:col>16</xdr:col>
      <xdr:colOff>971551</xdr:colOff>
      <xdr:row>1</xdr:row>
      <xdr:rowOff>676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0523483" y="0"/>
          <a:ext cx="859878" cy="63129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38100</xdr:colOff>
          <xdr:row>3</xdr:row>
          <xdr:rowOff>175260</xdr:rowOff>
        </xdr:from>
        <xdr:to>
          <xdr:col>6</xdr:col>
          <xdr:colOff>0</xdr:colOff>
          <xdr:row>4</xdr:row>
          <xdr:rowOff>236220</xdr:rowOff>
        </xdr:to>
        <xdr:sp macro="" textlink="">
          <xdr:nvSpPr>
            <xdr:cNvPr id="683041" name="Drop Down 1057" hidden="1">
              <a:extLst>
                <a:ext uri="{63B3BB69-23CF-44E3-9099-C40C66FF867C}">
                  <a14:compatExt spid="_x0000_s683041"/>
                </a:ext>
                <a:ext uri="{FF2B5EF4-FFF2-40B4-BE49-F238E27FC236}">
                  <a16:creationId xmlns:a16="http://schemas.microsoft.com/office/drawing/2014/main" id="{00000000-0008-0000-0000-000021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11</xdr:col>
      <xdr:colOff>508170</xdr:colOff>
      <xdr:row>17</xdr:row>
      <xdr:rowOff>112251</xdr:rowOff>
    </xdr:from>
    <xdr:to>
      <xdr:col>13</xdr:col>
      <xdr:colOff>84928</xdr:colOff>
      <xdr:row>19</xdr:row>
      <xdr:rowOff>105398</xdr:rowOff>
    </xdr:to>
    <xdr:sp macro="" textlink="'Variable Management'!U12">
      <xdr:nvSpPr>
        <xdr:cNvPr id="74" name="Text Box 24">
          <a:extLst>
            <a:ext uri="{FF2B5EF4-FFF2-40B4-BE49-F238E27FC236}">
              <a16:creationId xmlns:a16="http://schemas.microsoft.com/office/drawing/2014/main" id="{00000000-0008-0000-0000-00004A000000}"/>
            </a:ext>
          </a:extLst>
        </xdr:cNvPr>
        <xdr:cNvSpPr txBox="1">
          <a:spLocks noChangeArrowheads="1" noTextEdit="1"/>
        </xdr:cNvSpPr>
      </xdr:nvSpPr>
      <xdr:spPr bwMode="auto">
        <a:xfrm>
          <a:off x="7805441" y="3760886"/>
          <a:ext cx="1055934" cy="360700"/>
        </a:xfrm>
        <a:prstGeom prst="rect">
          <a:avLst/>
        </a:prstGeom>
        <a:solidFill>
          <a:srgbClr val="7DC4D6"/>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FE4215C9-6CF6-4ED6-BE24-17A843393DAB}" type="TxLink">
            <a:rPr lang="en-US" sz="1400" b="1" i="0" u="none" strike="noStrike" baseline="0">
              <a:solidFill>
                <a:srgbClr val="FF0000"/>
              </a:solidFill>
              <a:latin typeface="Arial"/>
              <a:cs typeface="Arial"/>
            </a:rPr>
            <a:pPr algn="ctr" rtl="0">
              <a:defRPr sz="1000"/>
            </a:pPr>
            <a:t>LM25145</a:t>
          </a:fld>
          <a:endParaRPr lang="en-US" sz="2000" b="1" i="0" u="none" strike="noStrike" baseline="0">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22860</xdr:colOff>
          <xdr:row>108</xdr:row>
          <xdr:rowOff>0</xdr:rowOff>
        </xdr:from>
        <xdr:to>
          <xdr:col>2</xdr:col>
          <xdr:colOff>198120</xdr:colOff>
          <xdr:row>109</xdr:row>
          <xdr:rowOff>15240</xdr:rowOff>
        </xdr:to>
        <xdr:sp macro="" textlink="">
          <xdr:nvSpPr>
            <xdr:cNvPr id="683134" name="Drop Down 1150" hidden="1">
              <a:extLst>
                <a:ext uri="{63B3BB69-23CF-44E3-9099-C40C66FF867C}">
                  <a14:compatExt spid="_x0000_s683134"/>
                </a:ext>
                <a:ext uri="{FF2B5EF4-FFF2-40B4-BE49-F238E27FC236}">
                  <a16:creationId xmlns:a16="http://schemas.microsoft.com/office/drawing/2014/main" id="{00000000-0008-0000-0000-00007E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0.08796</cdr:x>
      <cdr:y>0.49238</cdr:y>
    </cdr:from>
    <cdr:to>
      <cdr:x>0.92197</cdr:x>
      <cdr:y>0.49409</cdr:y>
    </cdr:to>
    <cdr:sp macro="" textlink="">
      <cdr:nvSpPr>
        <cdr:cNvPr id="8195" name="Line 3"/>
        <cdr:cNvSpPr>
          <a:spLocks xmlns:a="http://schemas.openxmlformats.org/drawingml/2006/main" noChangeShapeType="1"/>
        </cdr:cNvSpPr>
      </cdr:nvSpPr>
      <cdr:spPr bwMode="auto">
        <a:xfrm xmlns:a="http://schemas.openxmlformats.org/drawingml/2006/main">
          <a:off x="753099" y="2185131"/>
          <a:ext cx="7141085" cy="762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0.92062</cdr:x>
      <cdr:y>0.58763</cdr:y>
    </cdr:from>
    <cdr:to>
      <cdr:x>0.95653</cdr:x>
      <cdr:y>0.64353</cdr:y>
    </cdr:to>
    <cdr:sp macro="" textlink="'Variable Management'!$B$261">
      <cdr:nvSpPr>
        <cdr:cNvPr id="3" name="Text Box 24"/>
        <cdr:cNvSpPr txBox="1">
          <a:spLocks xmlns:a="http://schemas.openxmlformats.org/drawingml/2006/main" noChangeArrowheads="1" noTextEdit="1"/>
        </cdr:cNvSpPr>
      </cdr:nvSpPr>
      <cdr:spPr bwMode="auto">
        <a:xfrm xmlns:a="http://schemas.openxmlformats.org/drawingml/2006/main">
          <a:off x="7976234" y="2610019"/>
          <a:ext cx="311124" cy="24828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62°</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48</xdr:row>
          <xdr:rowOff>0</xdr:rowOff>
        </xdr:from>
        <xdr:to>
          <xdr:col>8</xdr:col>
          <xdr:colOff>0</xdr:colOff>
          <xdr:row>48</xdr:row>
          <xdr:rowOff>198120</xdr:rowOff>
        </xdr:to>
        <xdr:sp macro="" textlink="">
          <xdr:nvSpPr>
            <xdr:cNvPr id="673839" name="Drop Down 47" hidden="1">
              <a:extLst>
                <a:ext uri="{63B3BB69-23CF-44E3-9099-C40C66FF867C}">
                  <a14:compatExt spid="_x0000_s673839"/>
                </a:ext>
                <a:ext uri="{FF2B5EF4-FFF2-40B4-BE49-F238E27FC236}">
                  <a16:creationId xmlns:a16="http://schemas.microsoft.com/office/drawing/2014/main" id="{00000000-0008-0000-0100-00002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49</xdr:row>
          <xdr:rowOff>0</xdr:rowOff>
        </xdr:from>
        <xdr:to>
          <xdr:col>8</xdr:col>
          <xdr:colOff>0</xdr:colOff>
          <xdr:row>49</xdr:row>
          <xdr:rowOff>198120</xdr:rowOff>
        </xdr:to>
        <xdr:sp macro="" textlink="">
          <xdr:nvSpPr>
            <xdr:cNvPr id="673840" name="Drop Down 48" hidden="1">
              <a:extLst>
                <a:ext uri="{63B3BB69-23CF-44E3-9099-C40C66FF867C}">
                  <a14:compatExt spid="_x0000_s673840"/>
                </a:ext>
                <a:ext uri="{FF2B5EF4-FFF2-40B4-BE49-F238E27FC236}">
                  <a16:creationId xmlns:a16="http://schemas.microsoft.com/office/drawing/2014/main" id="{00000000-0008-0000-0100-000030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37</xdr:row>
          <xdr:rowOff>0</xdr:rowOff>
        </xdr:from>
        <xdr:to>
          <xdr:col>7</xdr:col>
          <xdr:colOff>876300</xdr:colOff>
          <xdr:row>37</xdr:row>
          <xdr:rowOff>198120</xdr:rowOff>
        </xdr:to>
        <xdr:sp macro="" textlink="">
          <xdr:nvSpPr>
            <xdr:cNvPr id="673855" name="Drop Down 63" hidden="1">
              <a:extLst>
                <a:ext uri="{63B3BB69-23CF-44E3-9099-C40C66FF867C}">
                  <a14:compatExt spid="_x0000_s673855"/>
                </a:ext>
                <a:ext uri="{FF2B5EF4-FFF2-40B4-BE49-F238E27FC236}">
                  <a16:creationId xmlns:a16="http://schemas.microsoft.com/office/drawing/2014/main" id="{00000000-0008-0000-0100-00003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38</xdr:row>
          <xdr:rowOff>0</xdr:rowOff>
        </xdr:from>
        <xdr:to>
          <xdr:col>7</xdr:col>
          <xdr:colOff>876300</xdr:colOff>
          <xdr:row>38</xdr:row>
          <xdr:rowOff>198120</xdr:rowOff>
        </xdr:to>
        <xdr:sp macro="" textlink="">
          <xdr:nvSpPr>
            <xdr:cNvPr id="673857" name="Drop Down 65" hidden="1">
              <a:extLst>
                <a:ext uri="{63B3BB69-23CF-44E3-9099-C40C66FF867C}">
                  <a14:compatExt spid="_x0000_s673857"/>
                </a:ext>
                <a:ext uri="{FF2B5EF4-FFF2-40B4-BE49-F238E27FC236}">
                  <a16:creationId xmlns:a16="http://schemas.microsoft.com/office/drawing/2014/main" id="{00000000-0008-0000-0100-000041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39</xdr:row>
          <xdr:rowOff>0</xdr:rowOff>
        </xdr:from>
        <xdr:to>
          <xdr:col>7</xdr:col>
          <xdr:colOff>876300</xdr:colOff>
          <xdr:row>39</xdr:row>
          <xdr:rowOff>198120</xdr:rowOff>
        </xdr:to>
        <xdr:sp macro="" textlink="">
          <xdr:nvSpPr>
            <xdr:cNvPr id="673858" name="Drop Down 66" hidden="1">
              <a:extLst>
                <a:ext uri="{63B3BB69-23CF-44E3-9099-C40C66FF867C}">
                  <a14:compatExt spid="_x0000_s673858"/>
                </a:ext>
                <a:ext uri="{FF2B5EF4-FFF2-40B4-BE49-F238E27FC236}">
                  <a16:creationId xmlns:a16="http://schemas.microsoft.com/office/drawing/2014/main" id="{00000000-0008-0000-0100-000042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40</xdr:row>
          <xdr:rowOff>0</xdr:rowOff>
        </xdr:from>
        <xdr:to>
          <xdr:col>7</xdr:col>
          <xdr:colOff>876300</xdr:colOff>
          <xdr:row>40</xdr:row>
          <xdr:rowOff>198120</xdr:rowOff>
        </xdr:to>
        <xdr:sp macro="" textlink="">
          <xdr:nvSpPr>
            <xdr:cNvPr id="673859" name="Drop Down 67" hidden="1">
              <a:extLst>
                <a:ext uri="{63B3BB69-23CF-44E3-9099-C40C66FF867C}">
                  <a14:compatExt spid="_x0000_s673859"/>
                </a:ext>
                <a:ext uri="{FF2B5EF4-FFF2-40B4-BE49-F238E27FC236}">
                  <a16:creationId xmlns:a16="http://schemas.microsoft.com/office/drawing/2014/main" id="{00000000-0008-0000-0100-000043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41</xdr:row>
          <xdr:rowOff>0</xdr:rowOff>
        </xdr:from>
        <xdr:to>
          <xdr:col>7</xdr:col>
          <xdr:colOff>876300</xdr:colOff>
          <xdr:row>41</xdr:row>
          <xdr:rowOff>198120</xdr:rowOff>
        </xdr:to>
        <xdr:sp macro="" textlink="">
          <xdr:nvSpPr>
            <xdr:cNvPr id="673860" name="Drop Down 68" hidden="1">
              <a:extLst>
                <a:ext uri="{63B3BB69-23CF-44E3-9099-C40C66FF867C}">
                  <a14:compatExt spid="_x0000_s673860"/>
                </a:ext>
                <a:ext uri="{FF2B5EF4-FFF2-40B4-BE49-F238E27FC236}">
                  <a16:creationId xmlns:a16="http://schemas.microsoft.com/office/drawing/2014/main" id="{00000000-0008-0000-0100-000044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0</xdr:rowOff>
        </xdr:from>
        <xdr:to>
          <xdr:col>7</xdr:col>
          <xdr:colOff>876300</xdr:colOff>
          <xdr:row>44</xdr:row>
          <xdr:rowOff>198120</xdr:rowOff>
        </xdr:to>
        <xdr:sp macro="" textlink="">
          <xdr:nvSpPr>
            <xdr:cNvPr id="673861" name="Drop Down 69" hidden="1">
              <a:extLst>
                <a:ext uri="{63B3BB69-23CF-44E3-9099-C40C66FF867C}">
                  <a14:compatExt spid="_x0000_s673861"/>
                </a:ext>
                <a:ext uri="{FF2B5EF4-FFF2-40B4-BE49-F238E27FC236}">
                  <a16:creationId xmlns:a16="http://schemas.microsoft.com/office/drawing/2014/main" id="{00000000-0008-0000-0100-000045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45</xdr:row>
          <xdr:rowOff>0</xdr:rowOff>
        </xdr:from>
        <xdr:to>
          <xdr:col>7</xdr:col>
          <xdr:colOff>876300</xdr:colOff>
          <xdr:row>45</xdr:row>
          <xdr:rowOff>198120</xdr:rowOff>
        </xdr:to>
        <xdr:sp macro="" textlink="">
          <xdr:nvSpPr>
            <xdr:cNvPr id="673862" name="Drop Down 70" hidden="1">
              <a:extLst>
                <a:ext uri="{63B3BB69-23CF-44E3-9099-C40C66FF867C}">
                  <a14:compatExt spid="_x0000_s673862"/>
                </a:ext>
                <a:ext uri="{FF2B5EF4-FFF2-40B4-BE49-F238E27FC236}">
                  <a16:creationId xmlns:a16="http://schemas.microsoft.com/office/drawing/2014/main" id="{00000000-0008-0000-0100-000046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46</xdr:row>
          <xdr:rowOff>0</xdr:rowOff>
        </xdr:from>
        <xdr:to>
          <xdr:col>7</xdr:col>
          <xdr:colOff>876300</xdr:colOff>
          <xdr:row>46</xdr:row>
          <xdr:rowOff>198120</xdr:rowOff>
        </xdr:to>
        <xdr:sp macro="" textlink="">
          <xdr:nvSpPr>
            <xdr:cNvPr id="673863" name="Drop Down 71" hidden="1">
              <a:extLst>
                <a:ext uri="{63B3BB69-23CF-44E3-9099-C40C66FF867C}">
                  <a14:compatExt spid="_x0000_s673863"/>
                </a:ext>
                <a:ext uri="{FF2B5EF4-FFF2-40B4-BE49-F238E27FC236}">
                  <a16:creationId xmlns:a16="http://schemas.microsoft.com/office/drawing/2014/main" id="{00000000-0008-0000-0100-000047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51</xdr:row>
          <xdr:rowOff>0</xdr:rowOff>
        </xdr:from>
        <xdr:to>
          <xdr:col>7</xdr:col>
          <xdr:colOff>876300</xdr:colOff>
          <xdr:row>51</xdr:row>
          <xdr:rowOff>198120</xdr:rowOff>
        </xdr:to>
        <xdr:sp macro="" textlink="">
          <xdr:nvSpPr>
            <xdr:cNvPr id="673865" name="Drop Down 73" hidden="1">
              <a:extLst>
                <a:ext uri="{63B3BB69-23CF-44E3-9099-C40C66FF867C}">
                  <a14:compatExt spid="_x0000_s673865"/>
                </a:ext>
                <a:ext uri="{FF2B5EF4-FFF2-40B4-BE49-F238E27FC236}">
                  <a16:creationId xmlns:a16="http://schemas.microsoft.com/office/drawing/2014/main" id="{00000000-0008-0000-0100-000049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0</xdr:rowOff>
        </xdr:from>
        <xdr:to>
          <xdr:col>7</xdr:col>
          <xdr:colOff>876300</xdr:colOff>
          <xdr:row>52</xdr:row>
          <xdr:rowOff>198120</xdr:rowOff>
        </xdr:to>
        <xdr:sp macro="" textlink="">
          <xdr:nvSpPr>
            <xdr:cNvPr id="673866" name="Drop Down 74" hidden="1">
              <a:extLst>
                <a:ext uri="{63B3BB69-23CF-44E3-9099-C40C66FF867C}">
                  <a14:compatExt spid="_x0000_s673866"/>
                </a:ext>
                <a:ext uri="{FF2B5EF4-FFF2-40B4-BE49-F238E27FC236}">
                  <a16:creationId xmlns:a16="http://schemas.microsoft.com/office/drawing/2014/main" id="{00000000-0008-0000-0100-00004A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53</xdr:row>
          <xdr:rowOff>0</xdr:rowOff>
        </xdr:from>
        <xdr:to>
          <xdr:col>7</xdr:col>
          <xdr:colOff>876300</xdr:colOff>
          <xdr:row>53</xdr:row>
          <xdr:rowOff>198120</xdr:rowOff>
        </xdr:to>
        <xdr:sp macro="" textlink="">
          <xdr:nvSpPr>
            <xdr:cNvPr id="673867" name="Drop Down 75" hidden="1">
              <a:extLst>
                <a:ext uri="{63B3BB69-23CF-44E3-9099-C40C66FF867C}">
                  <a14:compatExt spid="_x0000_s673867"/>
                </a:ext>
                <a:ext uri="{FF2B5EF4-FFF2-40B4-BE49-F238E27FC236}">
                  <a16:creationId xmlns:a16="http://schemas.microsoft.com/office/drawing/2014/main" id="{00000000-0008-0000-0100-00004B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xdr:row>
          <xdr:rowOff>0</xdr:rowOff>
        </xdr:from>
        <xdr:to>
          <xdr:col>7</xdr:col>
          <xdr:colOff>876300</xdr:colOff>
          <xdr:row>54</xdr:row>
          <xdr:rowOff>198120</xdr:rowOff>
        </xdr:to>
        <xdr:sp macro="" textlink="">
          <xdr:nvSpPr>
            <xdr:cNvPr id="673868" name="Drop Down 76" hidden="1">
              <a:extLst>
                <a:ext uri="{63B3BB69-23CF-44E3-9099-C40C66FF867C}">
                  <a14:compatExt spid="_x0000_s673868"/>
                </a:ext>
                <a:ext uri="{FF2B5EF4-FFF2-40B4-BE49-F238E27FC236}">
                  <a16:creationId xmlns:a16="http://schemas.microsoft.com/office/drawing/2014/main" id="{00000000-0008-0000-0100-00004C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55</xdr:row>
          <xdr:rowOff>0</xdr:rowOff>
        </xdr:from>
        <xdr:to>
          <xdr:col>7</xdr:col>
          <xdr:colOff>876300</xdr:colOff>
          <xdr:row>55</xdr:row>
          <xdr:rowOff>198120</xdr:rowOff>
        </xdr:to>
        <xdr:sp macro="" textlink="">
          <xdr:nvSpPr>
            <xdr:cNvPr id="673869" name="Drop Down 77" hidden="1">
              <a:extLst>
                <a:ext uri="{63B3BB69-23CF-44E3-9099-C40C66FF867C}">
                  <a14:compatExt spid="_x0000_s673869"/>
                </a:ext>
                <a:ext uri="{FF2B5EF4-FFF2-40B4-BE49-F238E27FC236}">
                  <a16:creationId xmlns:a16="http://schemas.microsoft.com/office/drawing/2014/main" id="{00000000-0008-0000-0100-00004D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56</xdr:row>
          <xdr:rowOff>0</xdr:rowOff>
        </xdr:from>
        <xdr:to>
          <xdr:col>7</xdr:col>
          <xdr:colOff>876300</xdr:colOff>
          <xdr:row>56</xdr:row>
          <xdr:rowOff>198120</xdr:rowOff>
        </xdr:to>
        <xdr:sp macro="" textlink="">
          <xdr:nvSpPr>
            <xdr:cNvPr id="673870" name="Drop Down 78" hidden="1">
              <a:extLst>
                <a:ext uri="{63B3BB69-23CF-44E3-9099-C40C66FF867C}">
                  <a14:compatExt spid="_x0000_s673870"/>
                </a:ext>
                <a:ext uri="{FF2B5EF4-FFF2-40B4-BE49-F238E27FC236}">
                  <a16:creationId xmlns:a16="http://schemas.microsoft.com/office/drawing/2014/main" id="{00000000-0008-0000-0100-00004E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57</xdr:row>
          <xdr:rowOff>0</xdr:rowOff>
        </xdr:from>
        <xdr:to>
          <xdr:col>7</xdr:col>
          <xdr:colOff>876300</xdr:colOff>
          <xdr:row>57</xdr:row>
          <xdr:rowOff>198120</xdr:rowOff>
        </xdr:to>
        <xdr:sp macro="" textlink="">
          <xdr:nvSpPr>
            <xdr:cNvPr id="673871" name="Drop Down 79" hidden="1">
              <a:extLst>
                <a:ext uri="{63B3BB69-23CF-44E3-9099-C40C66FF867C}">
                  <a14:compatExt spid="_x0000_s673871"/>
                </a:ext>
                <a:ext uri="{FF2B5EF4-FFF2-40B4-BE49-F238E27FC236}">
                  <a16:creationId xmlns:a16="http://schemas.microsoft.com/office/drawing/2014/main" id="{00000000-0008-0000-0100-00004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59</xdr:row>
          <xdr:rowOff>0</xdr:rowOff>
        </xdr:from>
        <xdr:to>
          <xdr:col>7</xdr:col>
          <xdr:colOff>876300</xdr:colOff>
          <xdr:row>59</xdr:row>
          <xdr:rowOff>198120</xdr:rowOff>
        </xdr:to>
        <xdr:sp macro="" textlink="">
          <xdr:nvSpPr>
            <xdr:cNvPr id="673872" name="Drop Down 80" hidden="1">
              <a:extLst>
                <a:ext uri="{63B3BB69-23CF-44E3-9099-C40C66FF867C}">
                  <a14:compatExt spid="_x0000_s673872"/>
                </a:ext>
                <a:ext uri="{FF2B5EF4-FFF2-40B4-BE49-F238E27FC236}">
                  <a16:creationId xmlns:a16="http://schemas.microsoft.com/office/drawing/2014/main" id="{00000000-0008-0000-0100-000050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60</xdr:row>
          <xdr:rowOff>0</xdr:rowOff>
        </xdr:from>
        <xdr:to>
          <xdr:col>7</xdr:col>
          <xdr:colOff>876300</xdr:colOff>
          <xdr:row>60</xdr:row>
          <xdr:rowOff>198120</xdr:rowOff>
        </xdr:to>
        <xdr:sp macro="" textlink="">
          <xdr:nvSpPr>
            <xdr:cNvPr id="673873" name="Drop Down 81" hidden="1">
              <a:extLst>
                <a:ext uri="{63B3BB69-23CF-44E3-9099-C40C66FF867C}">
                  <a14:compatExt spid="_x0000_s673873"/>
                </a:ext>
                <a:ext uri="{FF2B5EF4-FFF2-40B4-BE49-F238E27FC236}">
                  <a16:creationId xmlns:a16="http://schemas.microsoft.com/office/drawing/2014/main" id="{00000000-0008-0000-0100-000051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61</xdr:row>
          <xdr:rowOff>0</xdr:rowOff>
        </xdr:from>
        <xdr:to>
          <xdr:col>7</xdr:col>
          <xdr:colOff>876300</xdr:colOff>
          <xdr:row>61</xdr:row>
          <xdr:rowOff>198120</xdr:rowOff>
        </xdr:to>
        <xdr:sp macro="" textlink="">
          <xdr:nvSpPr>
            <xdr:cNvPr id="673874" name="Drop Down 82" hidden="1">
              <a:extLst>
                <a:ext uri="{63B3BB69-23CF-44E3-9099-C40C66FF867C}">
                  <a14:compatExt spid="_x0000_s673874"/>
                </a:ext>
                <a:ext uri="{FF2B5EF4-FFF2-40B4-BE49-F238E27FC236}">
                  <a16:creationId xmlns:a16="http://schemas.microsoft.com/office/drawing/2014/main" id="{00000000-0008-0000-0100-000052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47</xdr:row>
          <xdr:rowOff>0</xdr:rowOff>
        </xdr:from>
        <xdr:to>
          <xdr:col>7</xdr:col>
          <xdr:colOff>876300</xdr:colOff>
          <xdr:row>47</xdr:row>
          <xdr:rowOff>198120</xdr:rowOff>
        </xdr:to>
        <xdr:sp macro="" textlink="">
          <xdr:nvSpPr>
            <xdr:cNvPr id="673877" name="Drop Down 85" hidden="1">
              <a:extLst>
                <a:ext uri="{63B3BB69-23CF-44E3-9099-C40C66FF867C}">
                  <a14:compatExt spid="_x0000_s673877"/>
                </a:ext>
                <a:ext uri="{FF2B5EF4-FFF2-40B4-BE49-F238E27FC236}">
                  <a16:creationId xmlns:a16="http://schemas.microsoft.com/office/drawing/2014/main" id="{00000000-0008-0000-0100-000055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42</xdr:row>
          <xdr:rowOff>0</xdr:rowOff>
        </xdr:from>
        <xdr:to>
          <xdr:col>7</xdr:col>
          <xdr:colOff>876300</xdr:colOff>
          <xdr:row>42</xdr:row>
          <xdr:rowOff>198120</xdr:rowOff>
        </xdr:to>
        <xdr:sp macro="" textlink="">
          <xdr:nvSpPr>
            <xdr:cNvPr id="673878" name="Drop Down 86" hidden="1">
              <a:extLst>
                <a:ext uri="{63B3BB69-23CF-44E3-9099-C40C66FF867C}">
                  <a14:compatExt spid="_x0000_s673878"/>
                </a:ext>
                <a:ext uri="{FF2B5EF4-FFF2-40B4-BE49-F238E27FC236}">
                  <a16:creationId xmlns:a16="http://schemas.microsoft.com/office/drawing/2014/main" id="{00000000-0008-0000-0100-000056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43</xdr:row>
          <xdr:rowOff>0</xdr:rowOff>
        </xdr:from>
        <xdr:to>
          <xdr:col>7</xdr:col>
          <xdr:colOff>876300</xdr:colOff>
          <xdr:row>43</xdr:row>
          <xdr:rowOff>198120</xdr:rowOff>
        </xdr:to>
        <xdr:sp macro="" textlink="">
          <xdr:nvSpPr>
            <xdr:cNvPr id="673879" name="Drop Down 87" hidden="1">
              <a:extLst>
                <a:ext uri="{63B3BB69-23CF-44E3-9099-C40C66FF867C}">
                  <a14:compatExt spid="_x0000_s673879"/>
                </a:ext>
                <a:ext uri="{FF2B5EF4-FFF2-40B4-BE49-F238E27FC236}">
                  <a16:creationId xmlns:a16="http://schemas.microsoft.com/office/drawing/2014/main" id="{00000000-0008-0000-0100-000057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1173480</xdr:colOff>
          <xdr:row>48</xdr:row>
          <xdr:rowOff>7620</xdr:rowOff>
        </xdr:from>
        <xdr:to>
          <xdr:col>6</xdr:col>
          <xdr:colOff>640080</xdr:colOff>
          <xdr:row>49</xdr:row>
          <xdr:rowOff>0</xdr:rowOff>
        </xdr:to>
        <xdr:sp macro="" textlink="">
          <xdr:nvSpPr>
            <xdr:cNvPr id="674328" name="Drop Down 536" hidden="1">
              <a:extLst>
                <a:ext uri="{63B3BB69-23CF-44E3-9099-C40C66FF867C}">
                  <a14:compatExt spid="_x0000_s674328"/>
                </a:ext>
                <a:ext uri="{FF2B5EF4-FFF2-40B4-BE49-F238E27FC236}">
                  <a16:creationId xmlns:a16="http://schemas.microsoft.com/office/drawing/2014/main" id="{00000000-0008-0000-0100-000018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1173480</xdr:colOff>
          <xdr:row>49</xdr:row>
          <xdr:rowOff>0</xdr:rowOff>
        </xdr:from>
        <xdr:to>
          <xdr:col>6</xdr:col>
          <xdr:colOff>640080</xdr:colOff>
          <xdr:row>49</xdr:row>
          <xdr:rowOff>198120</xdr:rowOff>
        </xdr:to>
        <xdr:sp macro="" textlink="">
          <xdr:nvSpPr>
            <xdr:cNvPr id="674330" name="Drop Down 538" hidden="1">
              <a:extLst>
                <a:ext uri="{63B3BB69-23CF-44E3-9099-C40C66FF867C}">
                  <a14:compatExt spid="_x0000_s674330"/>
                </a:ext>
                <a:ext uri="{FF2B5EF4-FFF2-40B4-BE49-F238E27FC236}">
                  <a16:creationId xmlns:a16="http://schemas.microsoft.com/office/drawing/2014/main" id="{00000000-0008-0000-0100-00001A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233082</xdr:colOff>
          <xdr:row>1</xdr:row>
          <xdr:rowOff>11491</xdr:rowOff>
        </xdr:from>
        <xdr:to>
          <xdr:col>8</xdr:col>
          <xdr:colOff>859491</xdr:colOff>
          <xdr:row>32</xdr:row>
          <xdr:rowOff>21016</xdr:rowOff>
        </xdr:to>
        <xdr:pic>
          <xdr:nvPicPr>
            <xdr:cNvPr id="151" name="Picture 150">
              <a:extLst>
                <a:ext uri="{FF2B5EF4-FFF2-40B4-BE49-F238E27FC236}">
                  <a16:creationId xmlns:a16="http://schemas.microsoft.com/office/drawing/2014/main" id="{00000000-0008-0000-0100-000097000000}"/>
                </a:ext>
              </a:extLst>
            </xdr:cNvPr>
            <xdr:cNvPicPr>
              <a:picLocks noChangeAspect="1"/>
              <a:extLst>
                <a:ext uri="{84589F7E-364E-4C9E-8A38-B11213B215E9}">
                  <a14:cameraTool cellRange="PICTURE10" spid="_x0000_s674707"/>
                </a:ext>
              </a:extLst>
            </xdr:cNvPicPr>
          </xdr:nvPicPr>
          <xdr:blipFill>
            <a:blip xmlns:r="http://schemas.openxmlformats.org/officeDocument/2006/relationships" r:embed="rId1"/>
            <a:stretch>
              <a:fillRect/>
            </a:stretch>
          </xdr:blipFill>
          <xdr:spPr>
            <a:xfrm>
              <a:off x="233082" y="181820"/>
              <a:ext cx="9089091" cy="5289737"/>
            </a:xfrm>
            <a:prstGeom prst="rect">
              <a:avLst/>
            </a:prstGeom>
          </xdr:spPr>
        </xdr:pic>
        <xdr:clientData/>
      </xdr:twoCellAnchor>
    </mc:Choice>
    <mc:Fallback/>
  </mc:AlternateContent>
  <xdr:twoCellAnchor>
    <xdr:from>
      <xdr:col>0</xdr:col>
      <xdr:colOff>380602</xdr:colOff>
      <xdr:row>10</xdr:row>
      <xdr:rowOff>74334</xdr:rowOff>
    </xdr:from>
    <xdr:to>
      <xdr:col>1</xdr:col>
      <xdr:colOff>63804</xdr:colOff>
      <xdr:row>11</xdr:row>
      <xdr:rowOff>140089</xdr:rowOff>
    </xdr:to>
    <xdr:sp macro="" textlink="">
      <xdr:nvSpPr>
        <xdr:cNvPr id="152" name="Text Box 224">
          <a:extLst>
            <a:ext uri="{FF2B5EF4-FFF2-40B4-BE49-F238E27FC236}">
              <a16:creationId xmlns:a16="http://schemas.microsoft.com/office/drawing/2014/main" id="{00000000-0008-0000-0100-000098000000}"/>
            </a:ext>
          </a:extLst>
        </xdr:cNvPr>
        <xdr:cNvSpPr txBox="1">
          <a:spLocks noChangeArrowheads="1"/>
        </xdr:cNvSpPr>
      </xdr:nvSpPr>
      <xdr:spPr bwMode="auto">
        <a:xfrm>
          <a:off x="380602" y="1777628"/>
          <a:ext cx="274873" cy="23608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C3</a:t>
          </a:r>
        </a:p>
      </xdr:txBody>
    </xdr:sp>
    <xdr:clientData/>
  </xdr:twoCellAnchor>
  <xdr:twoCellAnchor>
    <xdr:from>
      <xdr:col>1</xdr:col>
      <xdr:colOff>625632</xdr:colOff>
      <xdr:row>7</xdr:row>
      <xdr:rowOff>106380</xdr:rowOff>
    </xdr:from>
    <xdr:to>
      <xdr:col>1</xdr:col>
      <xdr:colOff>994596</xdr:colOff>
      <xdr:row>8</xdr:row>
      <xdr:rowOff>141228</xdr:rowOff>
    </xdr:to>
    <xdr:sp macro="" textlink="">
      <xdr:nvSpPr>
        <xdr:cNvPr id="153" name="Text Box 225">
          <a:extLst>
            <a:ext uri="{FF2B5EF4-FFF2-40B4-BE49-F238E27FC236}">
              <a16:creationId xmlns:a16="http://schemas.microsoft.com/office/drawing/2014/main" id="{00000000-0008-0000-0100-000099000000}"/>
            </a:ext>
          </a:extLst>
        </xdr:cNvPr>
        <xdr:cNvSpPr txBox="1">
          <a:spLocks noChangeArrowheads="1"/>
        </xdr:cNvSpPr>
      </xdr:nvSpPr>
      <xdr:spPr bwMode="auto">
        <a:xfrm>
          <a:off x="1217303" y="1298686"/>
          <a:ext cx="368964" cy="2051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0</xdr:col>
      <xdr:colOff>416024</xdr:colOff>
      <xdr:row>7</xdr:row>
      <xdr:rowOff>70202</xdr:rowOff>
    </xdr:from>
    <xdr:to>
      <xdr:col>1</xdr:col>
      <xdr:colOff>109775</xdr:colOff>
      <xdr:row>8</xdr:row>
      <xdr:rowOff>145164</xdr:rowOff>
    </xdr:to>
    <xdr:sp macro="" textlink="">
      <xdr:nvSpPr>
        <xdr:cNvPr id="154" name="Text Box 227">
          <a:extLst>
            <a:ext uri="{FF2B5EF4-FFF2-40B4-BE49-F238E27FC236}">
              <a16:creationId xmlns:a16="http://schemas.microsoft.com/office/drawing/2014/main" id="{00000000-0008-0000-0100-00009A000000}"/>
            </a:ext>
          </a:extLst>
        </xdr:cNvPr>
        <xdr:cNvSpPr txBox="1">
          <a:spLocks noChangeArrowheads="1"/>
        </xdr:cNvSpPr>
      </xdr:nvSpPr>
      <xdr:spPr bwMode="auto">
        <a:xfrm>
          <a:off x="416024" y="1262508"/>
          <a:ext cx="285422" cy="24529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7</xdr:col>
      <xdr:colOff>1100419</xdr:colOff>
      <xdr:row>17</xdr:row>
      <xdr:rowOff>111012</xdr:rowOff>
    </xdr:from>
    <xdr:to>
      <xdr:col>8</xdr:col>
      <xdr:colOff>416861</xdr:colOff>
      <xdr:row>18</xdr:row>
      <xdr:rowOff>158510</xdr:rowOff>
    </xdr:to>
    <xdr:sp macro="" textlink="">
      <xdr:nvSpPr>
        <xdr:cNvPr id="155" name="Text Box 228">
          <a:extLst>
            <a:ext uri="{FF2B5EF4-FFF2-40B4-BE49-F238E27FC236}">
              <a16:creationId xmlns:a16="http://schemas.microsoft.com/office/drawing/2014/main" id="{00000000-0008-0000-0100-00009B000000}"/>
            </a:ext>
          </a:extLst>
        </xdr:cNvPr>
        <xdr:cNvSpPr txBox="1">
          <a:spLocks noChangeArrowheads="1"/>
        </xdr:cNvSpPr>
      </xdr:nvSpPr>
      <xdr:spPr bwMode="auto">
        <a:xfrm>
          <a:off x="8460443" y="3006612"/>
          <a:ext cx="419100" cy="217827"/>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4</xdr:col>
      <xdr:colOff>1074364</xdr:colOff>
      <xdr:row>27</xdr:row>
      <xdr:rowOff>132255</xdr:rowOff>
    </xdr:from>
    <xdr:to>
      <xdr:col>5</xdr:col>
      <xdr:colOff>369833</xdr:colOff>
      <xdr:row>29</xdr:row>
      <xdr:rowOff>63773</xdr:rowOff>
    </xdr:to>
    <xdr:sp macro="" textlink="">
      <xdr:nvSpPr>
        <xdr:cNvPr id="156" name="Text Box 231">
          <a:extLst>
            <a:ext uri="{FF2B5EF4-FFF2-40B4-BE49-F238E27FC236}">
              <a16:creationId xmlns:a16="http://schemas.microsoft.com/office/drawing/2014/main" id="{00000000-0008-0000-0100-00009C000000}"/>
            </a:ext>
          </a:extLst>
        </xdr:cNvPr>
        <xdr:cNvSpPr txBox="1">
          <a:spLocks noChangeArrowheads="1"/>
        </xdr:cNvSpPr>
      </xdr:nvSpPr>
      <xdr:spPr bwMode="auto">
        <a:xfrm>
          <a:off x="5171235" y="4731149"/>
          <a:ext cx="487774" cy="27217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ILIM</a:t>
          </a:r>
        </a:p>
      </xdr:txBody>
    </xdr:sp>
    <xdr:clientData/>
  </xdr:twoCellAnchor>
  <xdr:twoCellAnchor>
    <xdr:from>
      <xdr:col>7</xdr:col>
      <xdr:colOff>300287</xdr:colOff>
      <xdr:row>11</xdr:row>
      <xdr:rowOff>165524</xdr:rowOff>
    </xdr:from>
    <xdr:to>
      <xdr:col>7</xdr:col>
      <xdr:colOff>642668</xdr:colOff>
      <xdr:row>13</xdr:row>
      <xdr:rowOff>98655</xdr:rowOff>
    </xdr:to>
    <xdr:sp macro="" textlink="">
      <xdr:nvSpPr>
        <xdr:cNvPr id="157" name="Text Box 235">
          <a:extLst>
            <a:ext uri="{FF2B5EF4-FFF2-40B4-BE49-F238E27FC236}">
              <a16:creationId xmlns:a16="http://schemas.microsoft.com/office/drawing/2014/main" id="{00000000-0008-0000-0100-00009D000000}"/>
            </a:ext>
          </a:extLst>
        </xdr:cNvPr>
        <xdr:cNvSpPr txBox="1">
          <a:spLocks noChangeArrowheads="1"/>
        </xdr:cNvSpPr>
      </xdr:nvSpPr>
      <xdr:spPr bwMode="auto">
        <a:xfrm>
          <a:off x="7660311" y="2039148"/>
          <a:ext cx="342381" cy="273789"/>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F</a:t>
          </a:r>
        </a:p>
      </xdr:txBody>
    </xdr:sp>
    <xdr:clientData/>
  </xdr:twoCellAnchor>
  <xdr:twoCellAnchor>
    <xdr:from>
      <xdr:col>7</xdr:col>
      <xdr:colOff>50829</xdr:colOff>
      <xdr:row>17</xdr:row>
      <xdr:rowOff>139665</xdr:rowOff>
    </xdr:from>
    <xdr:to>
      <xdr:col>7</xdr:col>
      <xdr:colOff>376595</xdr:colOff>
      <xdr:row>19</xdr:row>
      <xdr:rowOff>20067</xdr:rowOff>
    </xdr:to>
    <xdr:sp macro="" textlink="">
      <xdr:nvSpPr>
        <xdr:cNvPr id="158" name="Text Box 244">
          <a:extLst>
            <a:ext uri="{FF2B5EF4-FFF2-40B4-BE49-F238E27FC236}">
              <a16:creationId xmlns:a16="http://schemas.microsoft.com/office/drawing/2014/main" id="{00000000-0008-0000-0100-00009E000000}"/>
            </a:ext>
          </a:extLst>
        </xdr:cNvPr>
        <xdr:cNvSpPr txBox="1">
          <a:spLocks noChangeArrowheads="1"/>
        </xdr:cNvSpPr>
      </xdr:nvSpPr>
      <xdr:spPr bwMode="auto">
        <a:xfrm>
          <a:off x="7410853" y="3035265"/>
          <a:ext cx="325766" cy="22106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5</xdr:col>
      <xdr:colOff>1071122</xdr:colOff>
      <xdr:row>24</xdr:row>
      <xdr:rowOff>55410</xdr:rowOff>
    </xdr:from>
    <xdr:to>
      <xdr:col>6</xdr:col>
      <xdr:colOff>35975</xdr:colOff>
      <xdr:row>25</xdr:row>
      <xdr:rowOff>112952</xdr:rowOff>
    </xdr:to>
    <xdr:sp macro="" textlink="">
      <xdr:nvSpPr>
        <xdr:cNvPr id="159" name="Text Box 249">
          <a:extLst>
            <a:ext uri="{FF2B5EF4-FFF2-40B4-BE49-F238E27FC236}">
              <a16:creationId xmlns:a16="http://schemas.microsoft.com/office/drawing/2014/main" id="{00000000-0008-0000-0100-00009F000000}"/>
            </a:ext>
          </a:extLst>
        </xdr:cNvPr>
        <xdr:cNvSpPr txBox="1">
          <a:spLocks noChangeArrowheads="1"/>
        </xdr:cNvSpPr>
      </xdr:nvSpPr>
      <xdr:spPr bwMode="auto">
        <a:xfrm>
          <a:off x="6360298" y="4143316"/>
          <a:ext cx="372312" cy="22787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2</xdr:col>
      <xdr:colOff>669553</xdr:colOff>
      <xdr:row>10</xdr:row>
      <xdr:rowOff>20157</xdr:rowOff>
    </xdr:from>
    <xdr:to>
      <xdr:col>2</xdr:col>
      <xdr:colOff>994327</xdr:colOff>
      <xdr:row>11</xdr:row>
      <xdr:rowOff>133791</xdr:rowOff>
    </xdr:to>
    <xdr:sp macro="" textlink="">
      <xdr:nvSpPr>
        <xdr:cNvPr id="160" name="Text Box 251">
          <a:extLst>
            <a:ext uri="{FF2B5EF4-FFF2-40B4-BE49-F238E27FC236}">
              <a16:creationId xmlns:a16="http://schemas.microsoft.com/office/drawing/2014/main" id="{00000000-0008-0000-0100-0000A0000000}"/>
            </a:ext>
          </a:extLst>
        </xdr:cNvPr>
        <xdr:cNvSpPr txBox="1">
          <a:spLocks noChangeArrowheads="1"/>
        </xdr:cNvSpPr>
      </xdr:nvSpPr>
      <xdr:spPr bwMode="auto">
        <a:xfrm>
          <a:off x="2283200" y="1723451"/>
          <a:ext cx="324774" cy="28396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2</xdr:col>
      <xdr:colOff>305434</xdr:colOff>
      <xdr:row>24</xdr:row>
      <xdr:rowOff>76728</xdr:rowOff>
    </xdr:from>
    <xdr:to>
      <xdr:col>2</xdr:col>
      <xdr:colOff>685313</xdr:colOff>
      <xdr:row>24</xdr:row>
      <xdr:rowOff>76728</xdr:rowOff>
    </xdr:to>
    <xdr:sp macro="" textlink="">
      <xdr:nvSpPr>
        <xdr:cNvPr id="161" name="Text Box 252">
          <a:extLst>
            <a:ext uri="{FF2B5EF4-FFF2-40B4-BE49-F238E27FC236}">
              <a16:creationId xmlns:a16="http://schemas.microsoft.com/office/drawing/2014/main" id="{00000000-0008-0000-0100-0000A1000000}"/>
            </a:ext>
          </a:extLst>
        </xdr:cNvPr>
        <xdr:cNvSpPr txBox="1">
          <a:spLocks noChangeArrowheads="1"/>
        </xdr:cNvSpPr>
      </xdr:nvSpPr>
      <xdr:spPr bwMode="auto">
        <a:xfrm>
          <a:off x="1919081" y="4164634"/>
          <a:ext cx="379879" cy="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Calibri"/>
            </a:rPr>
            <a:t>R</a:t>
          </a:r>
          <a:r>
            <a:rPr lang="en-US" sz="1100" b="0" i="0" strike="noStrike" baseline="-25000">
              <a:solidFill>
                <a:srgbClr val="000000"/>
              </a:solidFill>
              <a:latin typeface="Calibri"/>
            </a:rPr>
            <a:t>FADJ</a:t>
          </a:r>
        </a:p>
      </xdr:txBody>
    </xdr:sp>
    <xdr:clientData/>
  </xdr:twoCellAnchor>
  <xdr:twoCellAnchor>
    <xdr:from>
      <xdr:col>1</xdr:col>
      <xdr:colOff>117822</xdr:colOff>
      <xdr:row>16</xdr:row>
      <xdr:rowOff>81562</xdr:rowOff>
    </xdr:from>
    <xdr:to>
      <xdr:col>1</xdr:col>
      <xdr:colOff>511018</xdr:colOff>
      <xdr:row>17</xdr:row>
      <xdr:rowOff>129891</xdr:rowOff>
    </xdr:to>
    <xdr:sp macro="" textlink="">
      <xdr:nvSpPr>
        <xdr:cNvPr id="162" name="Text Box 255">
          <a:extLst>
            <a:ext uri="{FF2B5EF4-FFF2-40B4-BE49-F238E27FC236}">
              <a16:creationId xmlns:a16="http://schemas.microsoft.com/office/drawing/2014/main" id="{00000000-0008-0000-0100-0000A2000000}"/>
            </a:ext>
          </a:extLst>
        </xdr:cNvPr>
        <xdr:cNvSpPr txBox="1">
          <a:spLocks noChangeArrowheads="1"/>
        </xdr:cNvSpPr>
      </xdr:nvSpPr>
      <xdr:spPr bwMode="auto">
        <a:xfrm>
          <a:off x="709493" y="2806833"/>
          <a:ext cx="393196" cy="21865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1</xdr:col>
      <xdr:colOff>703548</xdr:colOff>
      <xdr:row>14</xdr:row>
      <xdr:rowOff>166655</xdr:rowOff>
    </xdr:from>
    <xdr:to>
      <xdr:col>1</xdr:col>
      <xdr:colOff>972153</xdr:colOff>
      <xdr:row>16</xdr:row>
      <xdr:rowOff>43902</xdr:rowOff>
    </xdr:to>
    <xdr:sp macro="" textlink="">
      <xdr:nvSpPr>
        <xdr:cNvPr id="163" name="Text Box 256">
          <a:extLst>
            <a:ext uri="{FF2B5EF4-FFF2-40B4-BE49-F238E27FC236}">
              <a16:creationId xmlns:a16="http://schemas.microsoft.com/office/drawing/2014/main" id="{00000000-0008-0000-0100-0000A3000000}"/>
            </a:ext>
          </a:extLst>
        </xdr:cNvPr>
        <xdr:cNvSpPr txBox="1">
          <a:spLocks noChangeArrowheads="1"/>
        </xdr:cNvSpPr>
      </xdr:nvSpPr>
      <xdr:spPr bwMode="auto">
        <a:xfrm>
          <a:off x="1295219" y="2551267"/>
          <a:ext cx="268605" cy="217906"/>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2</xdr:col>
      <xdr:colOff>175403</xdr:colOff>
      <xdr:row>10</xdr:row>
      <xdr:rowOff>72000</xdr:rowOff>
    </xdr:from>
    <xdr:to>
      <xdr:col>2</xdr:col>
      <xdr:colOff>490452</xdr:colOff>
      <xdr:row>11</xdr:row>
      <xdr:rowOff>149075</xdr:rowOff>
    </xdr:to>
    <xdr:sp macro="" textlink="">
      <xdr:nvSpPr>
        <xdr:cNvPr id="164" name="Text Box 257">
          <a:extLst>
            <a:ext uri="{FF2B5EF4-FFF2-40B4-BE49-F238E27FC236}">
              <a16:creationId xmlns:a16="http://schemas.microsoft.com/office/drawing/2014/main" id="{00000000-0008-0000-0100-0000A4000000}"/>
            </a:ext>
          </a:extLst>
        </xdr:cNvPr>
        <xdr:cNvSpPr txBox="1">
          <a:spLocks noChangeArrowheads="1"/>
        </xdr:cNvSpPr>
      </xdr:nvSpPr>
      <xdr:spPr bwMode="auto">
        <a:xfrm>
          <a:off x="1789050" y="1775294"/>
          <a:ext cx="315049" cy="24740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1</xdr:col>
      <xdr:colOff>716747</xdr:colOff>
      <xdr:row>10</xdr:row>
      <xdr:rowOff>53059</xdr:rowOff>
    </xdr:from>
    <xdr:to>
      <xdr:col>2</xdr:col>
      <xdr:colOff>30201</xdr:colOff>
      <xdr:row>11</xdr:row>
      <xdr:rowOff>136270</xdr:rowOff>
    </xdr:to>
    <xdr:sp macro="" textlink="">
      <xdr:nvSpPr>
        <xdr:cNvPr id="165" name="Text Box 258">
          <a:extLst>
            <a:ext uri="{FF2B5EF4-FFF2-40B4-BE49-F238E27FC236}">
              <a16:creationId xmlns:a16="http://schemas.microsoft.com/office/drawing/2014/main" id="{00000000-0008-0000-0100-0000A5000000}"/>
            </a:ext>
          </a:extLst>
        </xdr:cNvPr>
        <xdr:cNvSpPr txBox="1">
          <a:spLocks noChangeArrowheads="1"/>
        </xdr:cNvSpPr>
      </xdr:nvSpPr>
      <xdr:spPr bwMode="auto">
        <a:xfrm>
          <a:off x="1308418" y="1756353"/>
          <a:ext cx="335430" cy="25354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5</xdr:col>
      <xdr:colOff>1056281</xdr:colOff>
      <xdr:row>25</xdr:row>
      <xdr:rowOff>115577</xdr:rowOff>
    </xdr:from>
    <xdr:to>
      <xdr:col>6</xdr:col>
      <xdr:colOff>67152</xdr:colOff>
      <xdr:row>27</xdr:row>
      <xdr:rowOff>41586</xdr:rowOff>
    </xdr:to>
    <xdr:sp macro="" textlink="">
      <xdr:nvSpPr>
        <xdr:cNvPr id="166" name="Text Box 260">
          <a:extLst>
            <a:ext uri="{FF2B5EF4-FFF2-40B4-BE49-F238E27FC236}">
              <a16:creationId xmlns:a16="http://schemas.microsoft.com/office/drawing/2014/main" id="{00000000-0008-0000-0100-0000A6000000}"/>
            </a:ext>
          </a:extLst>
        </xdr:cNvPr>
        <xdr:cNvSpPr txBox="1">
          <a:spLocks noChangeArrowheads="1"/>
        </xdr:cNvSpPr>
      </xdr:nvSpPr>
      <xdr:spPr bwMode="auto">
        <a:xfrm>
          <a:off x="6345457" y="4373812"/>
          <a:ext cx="418330" cy="266668"/>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2.2</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2</xdr:col>
      <xdr:colOff>21750</xdr:colOff>
      <xdr:row>11</xdr:row>
      <xdr:rowOff>81311</xdr:rowOff>
    </xdr:from>
    <xdr:to>
      <xdr:col>2</xdr:col>
      <xdr:colOff>540268</xdr:colOff>
      <xdr:row>12</xdr:row>
      <xdr:rowOff>151456</xdr:rowOff>
    </xdr:to>
    <xdr:sp macro="" textlink="'Variable Management'!B254">
      <xdr:nvSpPr>
        <xdr:cNvPr id="167" name="Text Box 261">
          <a:extLst>
            <a:ext uri="{FF2B5EF4-FFF2-40B4-BE49-F238E27FC236}">
              <a16:creationId xmlns:a16="http://schemas.microsoft.com/office/drawing/2014/main" id="{00000000-0008-0000-0100-0000A7000000}"/>
            </a:ext>
          </a:extLst>
        </xdr:cNvPr>
        <xdr:cNvSpPr txBox="1">
          <a:spLocks noChangeArrowheads="1" noTextEdit="1"/>
        </xdr:cNvSpPr>
      </xdr:nvSpPr>
      <xdr:spPr bwMode="auto">
        <a:xfrm>
          <a:off x="1635397" y="1954935"/>
          <a:ext cx="518518" cy="240474"/>
        </a:xfrm>
        <a:prstGeom prst="rect">
          <a:avLst/>
        </a:prstGeom>
        <a:noFill/>
        <a:ln w="9525">
          <a:noFill/>
          <a:miter lim="800000"/>
          <a:headEnd/>
          <a:tailEnd/>
        </a:ln>
      </xdr:spPr>
      <xdr:txBody>
        <a:bodyPr vertOverflow="clip" wrap="square" lIns="27432" tIns="22860" rIns="0" bIns="0" anchor="t" upright="1"/>
        <a:lstStyle/>
        <a:p>
          <a:pPr algn="r" rtl="0">
            <a:defRPr sz="1000"/>
          </a:pPr>
          <a:fld id="{491934A6-59AB-480F-A883-A2630DEA4784}" type="TxLink">
            <a:rPr lang="en-US" sz="1000" b="0" i="0" u="none" strike="noStrike" baseline="0">
              <a:solidFill>
                <a:srgbClr val="000000"/>
              </a:solidFill>
              <a:latin typeface="Arial" pitchFamily="34" charset="0"/>
              <a:cs typeface="Arial" pitchFamily="34" charset="0"/>
            </a:rPr>
            <a:pPr algn="r" rtl="0">
              <a:defRPr sz="1000"/>
            </a:pPr>
            <a:t>4.7nF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2</xdr:col>
      <xdr:colOff>143148</xdr:colOff>
      <xdr:row>14</xdr:row>
      <xdr:rowOff>167227</xdr:rowOff>
    </xdr:from>
    <xdr:to>
      <xdr:col>2</xdr:col>
      <xdr:colOff>615623</xdr:colOff>
      <xdr:row>16</xdr:row>
      <xdr:rowOff>46429</xdr:rowOff>
    </xdr:to>
    <xdr:sp macro="" textlink="'Variable Management'!B255">
      <xdr:nvSpPr>
        <xdr:cNvPr id="168" name="Text Box 262">
          <a:extLst>
            <a:ext uri="{FF2B5EF4-FFF2-40B4-BE49-F238E27FC236}">
              <a16:creationId xmlns:a16="http://schemas.microsoft.com/office/drawing/2014/main" id="{00000000-0008-0000-0100-0000A8000000}"/>
            </a:ext>
          </a:extLst>
        </xdr:cNvPr>
        <xdr:cNvSpPr txBox="1">
          <a:spLocks noChangeArrowheads="1" noTextEdit="1"/>
        </xdr:cNvSpPr>
      </xdr:nvSpPr>
      <xdr:spPr bwMode="auto">
        <a:xfrm>
          <a:off x="1756795" y="2551839"/>
          <a:ext cx="472475" cy="219861"/>
        </a:xfrm>
        <a:prstGeom prst="rect">
          <a:avLst/>
        </a:prstGeom>
        <a:noFill/>
        <a:ln w="9525">
          <a:noFill/>
          <a:miter lim="800000"/>
          <a:headEnd/>
          <a:tailEnd/>
        </a:ln>
      </xdr:spPr>
      <xdr:txBody>
        <a:bodyPr vertOverflow="clip" wrap="square" lIns="27432" tIns="22860" rIns="0" bIns="0" anchor="t"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150pF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575841</xdr:colOff>
      <xdr:row>11</xdr:row>
      <xdr:rowOff>100433</xdr:rowOff>
    </xdr:from>
    <xdr:to>
      <xdr:col>2</xdr:col>
      <xdr:colOff>89991</xdr:colOff>
      <xdr:row>12</xdr:row>
      <xdr:rowOff>159789</xdr:rowOff>
    </xdr:to>
    <xdr:sp macro="" textlink="'Variable Management'!B253">
      <xdr:nvSpPr>
        <xdr:cNvPr id="169" name="Text Box 263">
          <a:extLst>
            <a:ext uri="{FF2B5EF4-FFF2-40B4-BE49-F238E27FC236}">
              <a16:creationId xmlns:a16="http://schemas.microsoft.com/office/drawing/2014/main" id="{00000000-0008-0000-0100-0000A9000000}"/>
            </a:ext>
          </a:extLst>
        </xdr:cNvPr>
        <xdr:cNvSpPr txBox="1">
          <a:spLocks noChangeArrowheads="1" noTextEdit="1"/>
        </xdr:cNvSpPr>
      </xdr:nvSpPr>
      <xdr:spPr bwMode="auto">
        <a:xfrm>
          <a:off x="1167512" y="1974057"/>
          <a:ext cx="536126" cy="229685"/>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5.6kΩ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392898</xdr:colOff>
      <xdr:row>17</xdr:row>
      <xdr:rowOff>144714</xdr:rowOff>
    </xdr:from>
    <xdr:to>
      <xdr:col>1</xdr:col>
      <xdr:colOff>417506</xdr:colOff>
      <xdr:row>19</xdr:row>
      <xdr:rowOff>35894</xdr:rowOff>
    </xdr:to>
    <xdr:sp macro="" textlink="'Variable Management'!B259">
      <xdr:nvSpPr>
        <xdr:cNvPr id="170" name="Text Box 264">
          <a:extLst>
            <a:ext uri="{FF2B5EF4-FFF2-40B4-BE49-F238E27FC236}">
              <a16:creationId xmlns:a16="http://schemas.microsoft.com/office/drawing/2014/main" id="{00000000-0008-0000-0100-0000AA000000}"/>
            </a:ext>
          </a:extLst>
        </xdr:cNvPr>
        <xdr:cNvSpPr txBox="1">
          <a:spLocks noChangeArrowheads="1" noTextEdit="1"/>
        </xdr:cNvSpPr>
      </xdr:nvSpPr>
      <xdr:spPr bwMode="auto">
        <a:xfrm>
          <a:off x="392898" y="3040314"/>
          <a:ext cx="616279" cy="231839"/>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3.32kΩ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274709</xdr:colOff>
      <xdr:row>8</xdr:row>
      <xdr:rowOff>107849</xdr:rowOff>
    </xdr:from>
    <xdr:to>
      <xdr:col>1</xdr:col>
      <xdr:colOff>97133</xdr:colOff>
      <xdr:row>10</xdr:row>
      <xdr:rowOff>35664</xdr:rowOff>
    </xdr:to>
    <xdr:sp macro="" textlink="'Variable Management'!B256">
      <xdr:nvSpPr>
        <xdr:cNvPr id="171" name="Text Box 265">
          <a:extLst>
            <a:ext uri="{FF2B5EF4-FFF2-40B4-BE49-F238E27FC236}">
              <a16:creationId xmlns:a16="http://schemas.microsoft.com/office/drawing/2014/main" id="{00000000-0008-0000-0100-0000AB000000}"/>
            </a:ext>
          </a:extLst>
        </xdr:cNvPr>
        <xdr:cNvSpPr txBox="1">
          <a:spLocks noChangeArrowheads="1" noTextEdit="1"/>
        </xdr:cNvSpPr>
      </xdr:nvSpPr>
      <xdr:spPr bwMode="auto">
        <a:xfrm>
          <a:off x="274709" y="1470484"/>
          <a:ext cx="414095" cy="268474"/>
        </a:xfrm>
        <a:prstGeom prst="rect">
          <a:avLst/>
        </a:prstGeom>
        <a:noFill/>
        <a:ln w="9525">
          <a:noFill/>
          <a:miter lim="800000"/>
          <a:headEnd/>
          <a:tailEnd/>
        </a:ln>
      </xdr:spPr>
      <xdr:txBody>
        <a:bodyPr vertOverflow="clip" wrap="square" lIns="27432" tIns="22860" rIns="0" bIns="0" anchor="t" upright="1"/>
        <a:lstStyle/>
        <a:p>
          <a:pPr algn="r" rtl="0">
            <a:defRPr sz="1000"/>
          </a:pPr>
          <a:fld id="{8A5847E3-10F5-4FFF-8A55-57AE8AD8F48A}" type="TxLink">
            <a:rPr lang="el-GR" sz="1000" b="0" i="0" u="none" strike="noStrike" baseline="0">
              <a:solidFill>
                <a:srgbClr val="000000"/>
              </a:solidFill>
              <a:latin typeface="Arial" pitchFamily="34" charset="0"/>
              <a:cs typeface="Arial" pitchFamily="34" charset="0"/>
            </a:rPr>
            <a:pPr algn="r" rtl="0">
              <a:defRPr sz="1000"/>
            </a:pPr>
            <a:t>600Ω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234622</xdr:colOff>
      <xdr:row>11</xdr:row>
      <xdr:rowOff>111172</xdr:rowOff>
    </xdr:from>
    <xdr:to>
      <xdr:col>1</xdr:col>
      <xdr:colOff>146137</xdr:colOff>
      <xdr:row>12</xdr:row>
      <xdr:rowOff>133988</xdr:rowOff>
    </xdr:to>
    <xdr:sp macro="" textlink="'Variable Management'!B257">
      <xdr:nvSpPr>
        <xdr:cNvPr id="172" name="Text Box 266">
          <a:extLst>
            <a:ext uri="{FF2B5EF4-FFF2-40B4-BE49-F238E27FC236}">
              <a16:creationId xmlns:a16="http://schemas.microsoft.com/office/drawing/2014/main" id="{00000000-0008-0000-0100-0000AC000000}"/>
            </a:ext>
          </a:extLst>
        </xdr:cNvPr>
        <xdr:cNvSpPr txBox="1">
          <a:spLocks noChangeArrowheads="1" noTextEdit="1"/>
        </xdr:cNvSpPr>
      </xdr:nvSpPr>
      <xdr:spPr bwMode="auto">
        <a:xfrm>
          <a:off x="234622" y="1984796"/>
          <a:ext cx="503186" cy="193145"/>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2200pF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1016421</xdr:colOff>
      <xdr:row>19</xdr:row>
      <xdr:rowOff>1318</xdr:rowOff>
    </xdr:from>
    <xdr:to>
      <xdr:col>8</xdr:col>
      <xdr:colOff>601075</xdr:colOff>
      <xdr:row>20</xdr:row>
      <xdr:rowOff>71660</xdr:rowOff>
    </xdr:to>
    <xdr:sp macro="" textlink="'Variable Management'!E243">
      <xdr:nvSpPr>
        <xdr:cNvPr id="173" name="Text Box 267">
          <a:extLst>
            <a:ext uri="{FF2B5EF4-FFF2-40B4-BE49-F238E27FC236}">
              <a16:creationId xmlns:a16="http://schemas.microsoft.com/office/drawing/2014/main" id="{00000000-0008-0000-0100-0000AD000000}"/>
            </a:ext>
          </a:extLst>
        </xdr:cNvPr>
        <xdr:cNvSpPr txBox="1">
          <a:spLocks noChangeArrowheads="1" noTextEdit="1"/>
        </xdr:cNvSpPr>
      </xdr:nvSpPr>
      <xdr:spPr bwMode="auto">
        <a:xfrm>
          <a:off x="8376445" y="3237577"/>
          <a:ext cx="687312" cy="240671"/>
        </a:xfrm>
        <a:prstGeom prst="rect">
          <a:avLst/>
        </a:prstGeom>
        <a:noFill/>
        <a:ln w="9525">
          <a:noFill/>
          <a:miter lim="800000"/>
          <a:headEnd/>
          <a:tailEnd/>
        </a:ln>
      </xdr:spPr>
      <xdr:txBody>
        <a:bodyPr vertOverflow="clip" wrap="square" lIns="27432" tIns="22860" rIns="0" bIns="0" anchor="ctr" upright="1"/>
        <a:lstStyle/>
        <a:p>
          <a:pPr algn="l" rtl="0">
            <a:defRPr sz="1000"/>
          </a:pPr>
          <a:fld id="{B1C96643-9062-44BD-9D18-137667D0E8FF}" type="TxLink">
            <a:rPr lang="en-US" sz="1000" b="0" i="0" u="none" strike="noStrike" baseline="0">
              <a:solidFill>
                <a:srgbClr val="000000"/>
              </a:solidFill>
              <a:latin typeface="Arial"/>
              <a:cs typeface="Arial"/>
            </a:rPr>
            <a:pPr algn="l" rtl="0">
              <a:defRPr sz="1000"/>
            </a:pPr>
            <a:t>3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639727</xdr:colOff>
      <xdr:row>8</xdr:row>
      <xdr:rowOff>101380</xdr:rowOff>
    </xdr:from>
    <xdr:to>
      <xdr:col>2</xdr:col>
      <xdr:colOff>167759</xdr:colOff>
      <xdr:row>10</xdr:row>
      <xdr:rowOff>66231</xdr:rowOff>
    </xdr:to>
    <xdr:sp macro="" textlink="'Variable Management'!B258">
      <xdr:nvSpPr>
        <xdr:cNvPr id="174" name="Text Box 268">
          <a:extLst>
            <a:ext uri="{FF2B5EF4-FFF2-40B4-BE49-F238E27FC236}">
              <a16:creationId xmlns:a16="http://schemas.microsoft.com/office/drawing/2014/main" id="{00000000-0008-0000-0100-0000AE000000}"/>
            </a:ext>
          </a:extLst>
        </xdr:cNvPr>
        <xdr:cNvSpPr txBox="1">
          <a:spLocks noChangeArrowheads="1" noTextEdit="1"/>
        </xdr:cNvSpPr>
      </xdr:nvSpPr>
      <xdr:spPr bwMode="auto">
        <a:xfrm>
          <a:off x="1231398" y="1464015"/>
          <a:ext cx="550008" cy="305510"/>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18kΩ</a:t>
          </a:fld>
          <a:endParaRPr lang="el-GR" sz="1000" b="0" i="0" strike="noStrike">
            <a:solidFill>
              <a:srgbClr val="000000"/>
            </a:solidFill>
            <a:latin typeface="Arial" pitchFamily="34" charset="0"/>
            <a:cs typeface="Arial" pitchFamily="34" charset="0"/>
          </a:endParaRPr>
        </a:p>
      </xdr:txBody>
    </xdr:sp>
    <xdr:clientData/>
  </xdr:twoCellAnchor>
  <xdr:twoCellAnchor>
    <xdr:from>
      <xdr:col>4</xdr:col>
      <xdr:colOff>1066971</xdr:colOff>
      <xdr:row>29</xdr:row>
      <xdr:rowOff>9413</xdr:rowOff>
    </xdr:from>
    <xdr:to>
      <xdr:col>5</xdr:col>
      <xdr:colOff>463264</xdr:colOff>
      <xdr:row>30</xdr:row>
      <xdr:rowOff>64549</xdr:rowOff>
    </xdr:to>
    <xdr:sp macro="" textlink="'Variable Management'!B268">
      <xdr:nvSpPr>
        <xdr:cNvPr id="175" name="Text Box 270">
          <a:extLst>
            <a:ext uri="{FF2B5EF4-FFF2-40B4-BE49-F238E27FC236}">
              <a16:creationId xmlns:a16="http://schemas.microsoft.com/office/drawing/2014/main" id="{00000000-0008-0000-0100-0000AF000000}"/>
            </a:ext>
          </a:extLst>
        </xdr:cNvPr>
        <xdr:cNvSpPr txBox="1">
          <a:spLocks noChangeArrowheads="1" noTextEdit="1"/>
        </xdr:cNvSpPr>
      </xdr:nvSpPr>
      <xdr:spPr bwMode="auto">
        <a:xfrm>
          <a:off x="5163842" y="4948966"/>
          <a:ext cx="588598" cy="225465"/>
        </a:xfrm>
        <a:prstGeom prst="rect">
          <a:avLst/>
        </a:prstGeom>
        <a:noFill/>
        <a:ln w="9525">
          <a:noFill/>
          <a:miter lim="800000"/>
          <a:headEnd/>
          <a:tailEnd/>
        </a:ln>
      </xdr:spPr>
      <xdr:txBody>
        <a:bodyPr vertOverflow="clip" wrap="square" lIns="27432" tIns="22860" rIns="0" bIns="0" anchor="t" upright="1"/>
        <a:lstStyle/>
        <a:p>
          <a:pPr algn="l" rtl="0">
            <a:defRPr sz="1000"/>
          </a:pPr>
          <a:fld id="{07E99D9F-90DD-4315-B69B-BBFCCDB8D767}" type="TxLink">
            <a:rPr lang="en-US" sz="1000" b="0" i="0" u="none" strike="noStrike" baseline="0">
              <a:solidFill>
                <a:srgbClr val="000000"/>
              </a:solidFill>
              <a:latin typeface="Arial"/>
              <a:cs typeface="Arial"/>
            </a:rPr>
            <a:pPr algn="l" rtl="0">
              <a:defRPr sz="1000"/>
            </a:pPr>
            <a:t>174Ω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205276</xdr:colOff>
      <xdr:row>14</xdr:row>
      <xdr:rowOff>146366</xdr:rowOff>
    </xdr:from>
    <xdr:to>
      <xdr:col>7</xdr:col>
      <xdr:colOff>656746</xdr:colOff>
      <xdr:row>16</xdr:row>
      <xdr:rowOff>86118</xdr:rowOff>
    </xdr:to>
    <xdr:sp macro="" textlink="'Variable Management'!B238">
      <xdr:nvSpPr>
        <xdr:cNvPr id="176" name="Text Box 275">
          <a:extLst>
            <a:ext uri="{FF2B5EF4-FFF2-40B4-BE49-F238E27FC236}">
              <a16:creationId xmlns:a16="http://schemas.microsoft.com/office/drawing/2014/main" id="{00000000-0008-0000-0100-0000B0000000}"/>
            </a:ext>
          </a:extLst>
        </xdr:cNvPr>
        <xdr:cNvSpPr txBox="1">
          <a:spLocks noChangeArrowheads="1" noTextEdit="1"/>
        </xdr:cNvSpPr>
      </xdr:nvSpPr>
      <xdr:spPr bwMode="auto">
        <a:xfrm>
          <a:off x="7565300" y="2530978"/>
          <a:ext cx="451470" cy="280411"/>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10µH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5323</xdr:colOff>
      <xdr:row>18</xdr:row>
      <xdr:rowOff>165080</xdr:rowOff>
    </xdr:from>
    <xdr:to>
      <xdr:col>7</xdr:col>
      <xdr:colOff>640659</xdr:colOff>
      <xdr:row>20</xdr:row>
      <xdr:rowOff>56338</xdr:rowOff>
    </xdr:to>
    <xdr:sp macro="" textlink="'Variable Management'!E250">
      <xdr:nvSpPr>
        <xdr:cNvPr id="177" name="Text Box 276">
          <a:extLst>
            <a:ext uri="{FF2B5EF4-FFF2-40B4-BE49-F238E27FC236}">
              <a16:creationId xmlns:a16="http://schemas.microsoft.com/office/drawing/2014/main" id="{00000000-0008-0000-0100-0000B1000000}"/>
            </a:ext>
          </a:extLst>
        </xdr:cNvPr>
        <xdr:cNvSpPr txBox="1">
          <a:spLocks noChangeArrowheads="1" noTextEdit="1"/>
        </xdr:cNvSpPr>
      </xdr:nvSpPr>
      <xdr:spPr bwMode="auto">
        <a:xfrm>
          <a:off x="7365347" y="3231009"/>
          <a:ext cx="635336" cy="231917"/>
        </a:xfrm>
        <a:prstGeom prst="rect">
          <a:avLst/>
        </a:prstGeom>
        <a:noFill/>
        <a:ln w="9525">
          <a:noFill/>
          <a:miter lim="800000"/>
          <a:headEnd/>
          <a:tailEnd/>
        </a:ln>
      </xdr:spPr>
      <xdr:txBody>
        <a:bodyPr vertOverflow="clip" wrap="square" lIns="27432" tIns="22860" rIns="0" bIns="0" anchor="ctr" upright="1"/>
        <a:lstStyle/>
        <a:p>
          <a:pPr algn="l" rtl="0">
            <a:defRPr sz="1000"/>
          </a:pPr>
          <a:fld id="{1B4FF237-4FCE-4391-A30E-D8A66113D8BC}" type="TxLink">
            <a:rPr lang="en-US" sz="1000" b="0" i="0" u="none" strike="noStrike" baseline="0">
              <a:solidFill>
                <a:srgbClr val="000000"/>
              </a:solidFill>
              <a:latin typeface="Arial"/>
              <a:cs typeface="Arial"/>
            </a:rPr>
            <a:pPr algn="l" rtl="0">
              <a:defRPr sz="1000"/>
            </a:pPr>
            <a:t>24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5</xdr:col>
      <xdr:colOff>934193</xdr:colOff>
      <xdr:row>7</xdr:row>
      <xdr:rowOff>23587</xdr:rowOff>
    </xdr:from>
    <xdr:to>
      <xdr:col>5</xdr:col>
      <xdr:colOff>1320288</xdr:colOff>
      <xdr:row>8</xdr:row>
      <xdr:rowOff>88269</xdr:rowOff>
    </xdr:to>
    <xdr:sp macro="" textlink="">
      <xdr:nvSpPr>
        <xdr:cNvPr id="178" name="Text Box 279">
          <a:extLst>
            <a:ext uri="{FF2B5EF4-FFF2-40B4-BE49-F238E27FC236}">
              <a16:creationId xmlns:a16="http://schemas.microsoft.com/office/drawing/2014/main" id="{00000000-0008-0000-0100-0000B2000000}"/>
            </a:ext>
          </a:extLst>
        </xdr:cNvPr>
        <xdr:cNvSpPr txBox="1">
          <a:spLocks noChangeArrowheads="1"/>
        </xdr:cNvSpPr>
      </xdr:nvSpPr>
      <xdr:spPr bwMode="auto">
        <a:xfrm>
          <a:off x="6223369" y="1215893"/>
          <a:ext cx="386095" cy="235011"/>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2</xdr:col>
      <xdr:colOff>645109</xdr:colOff>
      <xdr:row>11</xdr:row>
      <xdr:rowOff>119603</xdr:rowOff>
    </xdr:from>
    <xdr:to>
      <xdr:col>2</xdr:col>
      <xdr:colOff>998733</xdr:colOff>
      <xdr:row>13</xdr:row>
      <xdr:rowOff>11526</xdr:rowOff>
    </xdr:to>
    <xdr:sp macro="" textlink="'Variable Management'!B276">
      <xdr:nvSpPr>
        <xdr:cNvPr id="179" name="Text Box 281">
          <a:extLst>
            <a:ext uri="{FF2B5EF4-FFF2-40B4-BE49-F238E27FC236}">
              <a16:creationId xmlns:a16="http://schemas.microsoft.com/office/drawing/2014/main" id="{00000000-0008-0000-0100-0000B3000000}"/>
            </a:ext>
          </a:extLst>
        </xdr:cNvPr>
        <xdr:cNvSpPr txBox="1">
          <a:spLocks noChangeArrowheads="1" noTextEdit="1"/>
        </xdr:cNvSpPr>
      </xdr:nvSpPr>
      <xdr:spPr bwMode="auto">
        <a:xfrm>
          <a:off x="2258756" y="1993227"/>
          <a:ext cx="353624" cy="232581"/>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xdr:from>
      <xdr:col>7</xdr:col>
      <xdr:colOff>46043</xdr:colOff>
      <xdr:row>5</xdr:row>
      <xdr:rowOff>167155</xdr:rowOff>
    </xdr:from>
    <xdr:to>
      <xdr:col>7</xdr:col>
      <xdr:colOff>414383</xdr:colOff>
      <xdr:row>7</xdr:row>
      <xdr:rowOff>79129</xdr:rowOff>
    </xdr:to>
    <xdr:sp macro="" textlink="'Variable Management'!B280">
      <xdr:nvSpPr>
        <xdr:cNvPr id="180" name="Text Box 283">
          <a:extLst>
            <a:ext uri="{FF2B5EF4-FFF2-40B4-BE49-F238E27FC236}">
              <a16:creationId xmlns:a16="http://schemas.microsoft.com/office/drawing/2014/main" id="{00000000-0008-0000-0100-0000B4000000}"/>
            </a:ext>
          </a:extLst>
        </xdr:cNvPr>
        <xdr:cNvSpPr txBox="1">
          <a:spLocks noChangeArrowheads="1" noTextEdit="1"/>
        </xdr:cNvSpPr>
      </xdr:nvSpPr>
      <xdr:spPr bwMode="auto">
        <a:xfrm>
          <a:off x="7406067" y="1018802"/>
          <a:ext cx="368340" cy="252633"/>
        </a:xfrm>
        <a:prstGeom prst="rect">
          <a:avLst/>
        </a:prstGeom>
        <a:noFill/>
        <a:ln w="9525">
          <a:noFill/>
          <a:miter lim="800000"/>
          <a:headEnd/>
          <a:tailEnd/>
        </a:ln>
      </xdr:spPr>
      <xdr:txBody>
        <a:bodyPr vertOverflow="clip" wrap="square" lIns="27432" tIns="22860" rIns="0" bIns="0" anchor="t" upright="1"/>
        <a:lstStyle/>
        <a:p>
          <a:pPr algn="l" rtl="0">
            <a:defRPr sz="1000"/>
          </a:pPr>
          <a:fld id="{211B0151-B00E-493E-8C8F-6E492416D93B}" type="TxLink">
            <a:rPr lang="en-US" sz="1200" b="1" i="0" u="none" strike="noStrike">
              <a:solidFill>
                <a:srgbClr val="FF0000"/>
              </a:solidFill>
              <a:latin typeface="Arial" pitchFamily="34" charset="0"/>
              <a:cs typeface="Arial" pitchFamily="34" charset="0"/>
            </a:rPr>
            <a:pPr algn="l" rtl="0">
              <a:defRPr sz="1000"/>
            </a:pPr>
            <a:t>24V</a:t>
          </a:fld>
          <a:endParaRPr lang="en-US" sz="1200" b="1" i="0" strike="noStrike">
            <a:solidFill>
              <a:srgbClr val="FF0000"/>
            </a:solidFill>
            <a:latin typeface="Arial" pitchFamily="34" charset="0"/>
            <a:cs typeface="Arial" pitchFamily="34" charset="0"/>
          </a:endParaRPr>
        </a:p>
      </xdr:txBody>
    </xdr:sp>
    <xdr:clientData/>
  </xdr:twoCellAnchor>
  <xdr:twoCellAnchor>
    <xdr:from>
      <xdr:col>8</xdr:col>
      <xdr:colOff>157103</xdr:colOff>
      <xdr:row>15</xdr:row>
      <xdr:rowOff>106959</xdr:rowOff>
    </xdr:from>
    <xdr:to>
      <xdr:col>8</xdr:col>
      <xdr:colOff>1186074</xdr:colOff>
      <xdr:row>16</xdr:row>
      <xdr:rowOff>168433</xdr:rowOff>
    </xdr:to>
    <xdr:sp macro="" textlink="'Variable Management'!B241">
      <xdr:nvSpPr>
        <xdr:cNvPr id="181" name="Text Box 285">
          <a:extLst>
            <a:ext uri="{FF2B5EF4-FFF2-40B4-BE49-F238E27FC236}">
              <a16:creationId xmlns:a16="http://schemas.microsoft.com/office/drawing/2014/main" id="{00000000-0008-0000-0100-0000B5000000}"/>
            </a:ext>
          </a:extLst>
        </xdr:cNvPr>
        <xdr:cNvSpPr txBox="1">
          <a:spLocks noChangeArrowheads="1" noTextEdit="1"/>
        </xdr:cNvSpPr>
      </xdr:nvSpPr>
      <xdr:spPr bwMode="auto">
        <a:xfrm>
          <a:off x="8619785" y="2661900"/>
          <a:ext cx="1028971" cy="231804"/>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5.1V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8</xdr:col>
      <xdr:colOff>157103</xdr:colOff>
      <xdr:row>16</xdr:row>
      <xdr:rowOff>143517</xdr:rowOff>
    </xdr:from>
    <xdr:to>
      <xdr:col>8</xdr:col>
      <xdr:colOff>1197738</xdr:colOff>
      <xdr:row>18</xdr:row>
      <xdr:rowOff>40858</xdr:rowOff>
    </xdr:to>
    <xdr:sp macro="" textlink="'Variable Management'!B279">
      <xdr:nvSpPr>
        <xdr:cNvPr id="182" name="Text Box 286">
          <a:extLst>
            <a:ext uri="{FF2B5EF4-FFF2-40B4-BE49-F238E27FC236}">
              <a16:creationId xmlns:a16="http://schemas.microsoft.com/office/drawing/2014/main" id="{00000000-0008-0000-0100-0000B6000000}"/>
            </a:ext>
          </a:extLst>
        </xdr:cNvPr>
        <xdr:cNvSpPr txBox="1">
          <a:spLocks noChangeArrowheads="1" noTextEdit="1"/>
        </xdr:cNvSpPr>
      </xdr:nvSpPr>
      <xdr:spPr bwMode="auto">
        <a:xfrm>
          <a:off x="8619785" y="2868788"/>
          <a:ext cx="1040635" cy="237999"/>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200" b="1" i="0" u="none" strike="noStrike">
              <a:solidFill>
                <a:srgbClr val="FF0000"/>
              </a:solidFill>
              <a:latin typeface="Arial" pitchFamily="34" charset="0"/>
              <a:cs typeface="Arial" pitchFamily="34" charset="0"/>
            </a:rPr>
            <a:pPr algn="l" rtl="0">
              <a:defRPr sz="1000"/>
            </a:pPr>
            <a:t>6A</a:t>
          </a:fld>
          <a:endParaRPr lang="en-US" sz="1200" b="1" i="0" strike="noStrike">
            <a:solidFill>
              <a:srgbClr val="FF0000"/>
            </a:solidFill>
            <a:latin typeface="Arial" pitchFamily="34" charset="0"/>
            <a:cs typeface="Arial" pitchFamily="34" charset="0"/>
          </a:endParaRPr>
        </a:p>
      </xdr:txBody>
    </xdr:sp>
    <xdr:clientData/>
  </xdr:twoCellAnchor>
  <xdr:twoCellAnchor>
    <xdr:from>
      <xdr:col>3</xdr:col>
      <xdr:colOff>272376</xdr:colOff>
      <xdr:row>24</xdr:row>
      <xdr:rowOff>76728</xdr:rowOff>
    </xdr:from>
    <xdr:to>
      <xdr:col>3</xdr:col>
      <xdr:colOff>491451</xdr:colOff>
      <xdr:row>24</xdr:row>
      <xdr:rowOff>76728</xdr:rowOff>
    </xdr:to>
    <xdr:sp macro="" textlink="'Variable Management'!B292">
      <xdr:nvSpPr>
        <xdr:cNvPr id="183" name="Text Box 299">
          <a:extLst>
            <a:ext uri="{FF2B5EF4-FFF2-40B4-BE49-F238E27FC236}">
              <a16:creationId xmlns:a16="http://schemas.microsoft.com/office/drawing/2014/main" id="{00000000-0008-0000-0100-0000B7000000}"/>
            </a:ext>
          </a:extLst>
        </xdr:cNvPr>
        <xdr:cNvSpPr txBox="1">
          <a:spLocks noChangeArrowheads="1" noTextEdit="1"/>
        </xdr:cNvSpPr>
      </xdr:nvSpPr>
      <xdr:spPr bwMode="auto">
        <a:xfrm>
          <a:off x="2988682" y="4164634"/>
          <a:ext cx="219075" cy="0"/>
        </a:xfrm>
        <a:prstGeom prst="rect">
          <a:avLst/>
        </a:prstGeom>
        <a:noFill/>
        <a:ln w="9525">
          <a:noFill/>
          <a:miter lim="800000"/>
          <a:headEnd/>
          <a:tailEnd/>
        </a:ln>
      </xdr:spPr>
      <xdr:txBody>
        <a:bodyPr vertOverflow="clip" wrap="square" lIns="27432" tIns="22860" rIns="0" bIns="0" anchor="t" upright="1"/>
        <a:lstStyle/>
        <a:p>
          <a:pPr algn="l" rtl="0">
            <a:defRPr sz="1000"/>
          </a:pPr>
          <a:fld id="{497BFBE6-0671-4D0F-A59C-D9187795E36B}" type="TxLink">
            <a:rPr lang="en-US" sz="1000" b="0" i="0" u="none" strike="noStrike">
              <a:solidFill>
                <a:srgbClr val="000000"/>
              </a:solidFill>
              <a:latin typeface="Calibri"/>
              <a:cs typeface="Arial"/>
            </a:rPr>
            <a:pPr algn="l" rtl="0">
              <a:defRPr sz="1000"/>
            </a:pPr>
            <a:t>13</a:t>
          </a:fld>
          <a:endParaRPr lang="en-US" sz="1000" b="0" i="0" strike="noStrike">
            <a:solidFill>
              <a:srgbClr val="000000"/>
            </a:solidFill>
            <a:latin typeface="Calibri"/>
          </a:endParaRPr>
        </a:p>
      </xdr:txBody>
    </xdr:sp>
    <xdr:clientData/>
  </xdr:twoCellAnchor>
  <xdr:twoCellAnchor>
    <xdr:from>
      <xdr:col>2</xdr:col>
      <xdr:colOff>851741</xdr:colOff>
      <xdr:row>6</xdr:row>
      <xdr:rowOff>95904</xdr:rowOff>
    </xdr:from>
    <xdr:to>
      <xdr:col>3</xdr:col>
      <xdr:colOff>130409</xdr:colOff>
      <xdr:row>8</xdr:row>
      <xdr:rowOff>15777</xdr:rowOff>
    </xdr:to>
    <xdr:sp macro="" textlink="">
      <xdr:nvSpPr>
        <xdr:cNvPr id="184" name="Text Box 251">
          <a:extLst>
            <a:ext uri="{FF2B5EF4-FFF2-40B4-BE49-F238E27FC236}">
              <a16:creationId xmlns:a16="http://schemas.microsoft.com/office/drawing/2014/main" id="{00000000-0008-0000-0100-0000B8000000}"/>
            </a:ext>
          </a:extLst>
        </xdr:cNvPr>
        <xdr:cNvSpPr txBox="1">
          <a:spLocks noChangeArrowheads="1"/>
        </xdr:cNvSpPr>
      </xdr:nvSpPr>
      <xdr:spPr bwMode="auto">
        <a:xfrm>
          <a:off x="2465388" y="1117880"/>
          <a:ext cx="381327" cy="26053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xdr:from>
      <xdr:col>2</xdr:col>
      <xdr:colOff>717022</xdr:colOff>
      <xdr:row>7</xdr:row>
      <xdr:rowOff>149973</xdr:rowOff>
    </xdr:from>
    <xdr:to>
      <xdr:col>3</xdr:col>
      <xdr:colOff>145036</xdr:colOff>
      <xdr:row>9</xdr:row>
      <xdr:rowOff>47551</xdr:rowOff>
    </xdr:to>
    <xdr:sp macro="" textlink="'Variable Management'!B275">
      <xdr:nvSpPr>
        <xdr:cNvPr id="185" name="Text Box 281">
          <a:extLst>
            <a:ext uri="{FF2B5EF4-FFF2-40B4-BE49-F238E27FC236}">
              <a16:creationId xmlns:a16="http://schemas.microsoft.com/office/drawing/2014/main" id="{00000000-0008-0000-0100-0000B9000000}"/>
            </a:ext>
          </a:extLst>
        </xdr:cNvPr>
        <xdr:cNvSpPr txBox="1">
          <a:spLocks noChangeArrowheads="1" noTextEdit="1"/>
        </xdr:cNvSpPr>
      </xdr:nvSpPr>
      <xdr:spPr bwMode="auto">
        <a:xfrm>
          <a:off x="2330669" y="1342279"/>
          <a:ext cx="530673" cy="238237"/>
        </a:xfrm>
        <a:prstGeom prst="rect">
          <a:avLst/>
        </a:prstGeom>
        <a:noFill/>
        <a:ln w="9525">
          <a:noFill/>
          <a:miter lim="800000"/>
          <a:headEnd/>
          <a:tailEnd/>
        </a:ln>
      </xdr:spPr>
      <xdr:txBody>
        <a:bodyPr vertOverflow="clip" wrap="square" lIns="27432" tIns="22860" rIns="0" bIns="0" anchor="t" upright="1"/>
        <a:lstStyle/>
        <a:p>
          <a:pPr algn="ctr" rtl="0">
            <a:defRPr sz="1000"/>
          </a:pPr>
          <a:fld id="{84EB9262-B954-486D-9975-AAB24967BDAC}" type="TxLink">
            <a:rPr lang="en-US" sz="1000" b="0" i="0" u="none" strike="noStrike">
              <a:solidFill>
                <a:srgbClr val="000000"/>
              </a:solidFill>
              <a:latin typeface="Arial" pitchFamily="34" charset="0"/>
              <a:cs typeface="Arial" pitchFamily="34" charset="0"/>
            </a:rPr>
            <a:pPr algn="ctr" rtl="0">
              <a:defRPr sz="1000"/>
            </a:pPr>
            <a:t>33.2kΩ</a:t>
          </a:fld>
          <a:endParaRPr lang="en-US" sz="1000" b="0" i="0" strike="noStrike">
            <a:solidFill>
              <a:srgbClr val="000000"/>
            </a:solidFill>
            <a:latin typeface="Arial" pitchFamily="34" charset="0"/>
            <a:cs typeface="Arial" pitchFamily="34" charset="0"/>
          </a:endParaRPr>
        </a:p>
      </xdr:txBody>
    </xdr:sp>
    <xdr:clientData/>
  </xdr:twoCellAnchor>
  <xdr:twoCellAnchor>
    <xdr:from>
      <xdr:col>5</xdr:col>
      <xdr:colOff>908994</xdr:colOff>
      <xdr:row>6</xdr:row>
      <xdr:rowOff>4471</xdr:rowOff>
    </xdr:from>
    <xdr:to>
      <xdr:col>5</xdr:col>
      <xdr:colOff>1315627</xdr:colOff>
      <xdr:row>7</xdr:row>
      <xdr:rowOff>63063</xdr:rowOff>
    </xdr:to>
    <xdr:sp macro="" textlink="">
      <xdr:nvSpPr>
        <xdr:cNvPr id="186" name="Text Box 247">
          <a:extLst>
            <a:ext uri="{FF2B5EF4-FFF2-40B4-BE49-F238E27FC236}">
              <a16:creationId xmlns:a16="http://schemas.microsoft.com/office/drawing/2014/main" id="{00000000-0008-0000-0100-0000BA000000}"/>
            </a:ext>
          </a:extLst>
        </xdr:cNvPr>
        <xdr:cNvSpPr txBox="1">
          <a:spLocks noChangeArrowheads="1"/>
        </xdr:cNvSpPr>
      </xdr:nvSpPr>
      <xdr:spPr bwMode="auto">
        <a:xfrm>
          <a:off x="6198170" y="1026447"/>
          <a:ext cx="406633" cy="2289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a:t>
          </a:r>
        </a:p>
      </xdr:txBody>
    </xdr:sp>
    <xdr:clientData/>
  </xdr:twoCellAnchor>
  <xdr:twoCellAnchor>
    <xdr:from>
      <xdr:col>6</xdr:col>
      <xdr:colOff>182535</xdr:colOff>
      <xdr:row>15</xdr:row>
      <xdr:rowOff>47879</xdr:rowOff>
    </xdr:from>
    <xdr:to>
      <xdr:col>6</xdr:col>
      <xdr:colOff>502242</xdr:colOff>
      <xdr:row>16</xdr:row>
      <xdr:rowOff>168628</xdr:rowOff>
    </xdr:to>
    <xdr:sp macro="" textlink="">
      <xdr:nvSpPr>
        <xdr:cNvPr id="187" name="Text Box 244">
          <a:extLst>
            <a:ext uri="{FF2B5EF4-FFF2-40B4-BE49-F238E27FC236}">
              <a16:creationId xmlns:a16="http://schemas.microsoft.com/office/drawing/2014/main" id="{00000000-0008-0000-0100-0000BB000000}"/>
            </a:ext>
          </a:extLst>
        </xdr:cNvPr>
        <xdr:cNvSpPr txBox="1">
          <a:spLocks noChangeArrowheads="1"/>
        </xdr:cNvSpPr>
      </xdr:nvSpPr>
      <xdr:spPr bwMode="auto">
        <a:xfrm>
          <a:off x="6879170" y="2602820"/>
          <a:ext cx="319707" cy="29107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6</xdr:col>
      <xdr:colOff>172660</xdr:colOff>
      <xdr:row>9</xdr:row>
      <xdr:rowOff>114672</xdr:rowOff>
    </xdr:from>
    <xdr:to>
      <xdr:col>6</xdr:col>
      <xdr:colOff>492367</xdr:colOff>
      <xdr:row>11</xdr:row>
      <xdr:rowOff>45118</xdr:rowOff>
    </xdr:to>
    <xdr:sp macro="" textlink="">
      <xdr:nvSpPr>
        <xdr:cNvPr id="188" name="Text Box 244">
          <a:extLst>
            <a:ext uri="{FF2B5EF4-FFF2-40B4-BE49-F238E27FC236}">
              <a16:creationId xmlns:a16="http://schemas.microsoft.com/office/drawing/2014/main" id="{00000000-0008-0000-0100-0000BC000000}"/>
            </a:ext>
          </a:extLst>
        </xdr:cNvPr>
        <xdr:cNvSpPr txBox="1">
          <a:spLocks noChangeArrowheads="1"/>
        </xdr:cNvSpPr>
      </xdr:nvSpPr>
      <xdr:spPr bwMode="auto">
        <a:xfrm>
          <a:off x="6869295" y="1647637"/>
          <a:ext cx="319707" cy="27110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3</xdr:col>
      <xdr:colOff>563008</xdr:colOff>
      <xdr:row>2</xdr:row>
      <xdr:rowOff>66100</xdr:rowOff>
    </xdr:from>
    <xdr:to>
      <xdr:col>3</xdr:col>
      <xdr:colOff>1136548</xdr:colOff>
      <xdr:row>3</xdr:row>
      <xdr:rowOff>119474</xdr:rowOff>
    </xdr:to>
    <xdr:sp macro="" textlink="'Variable Management'!G98">
      <xdr:nvSpPr>
        <xdr:cNvPr id="189" name="Text Box 264">
          <a:extLst>
            <a:ext uri="{FF2B5EF4-FFF2-40B4-BE49-F238E27FC236}">
              <a16:creationId xmlns:a16="http://schemas.microsoft.com/office/drawing/2014/main" id="{00000000-0008-0000-0100-0000BD000000}"/>
            </a:ext>
          </a:extLst>
        </xdr:cNvPr>
        <xdr:cNvSpPr txBox="1">
          <a:spLocks noChangeArrowheads="1" noTextEdit="1"/>
        </xdr:cNvSpPr>
      </xdr:nvSpPr>
      <xdr:spPr bwMode="auto">
        <a:xfrm>
          <a:off x="3279314" y="406759"/>
          <a:ext cx="573540" cy="223703"/>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12.7kΩ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3</xdr:col>
      <xdr:colOff>740067</xdr:colOff>
      <xdr:row>1</xdr:row>
      <xdr:rowOff>26121</xdr:rowOff>
    </xdr:from>
    <xdr:to>
      <xdr:col>3</xdr:col>
      <xdr:colOff>1161136</xdr:colOff>
      <xdr:row>2</xdr:row>
      <xdr:rowOff>65483</xdr:rowOff>
    </xdr:to>
    <xdr:sp macro="" textlink="">
      <xdr:nvSpPr>
        <xdr:cNvPr id="190" name="Text Box 255">
          <a:extLst>
            <a:ext uri="{FF2B5EF4-FFF2-40B4-BE49-F238E27FC236}">
              <a16:creationId xmlns:a16="http://schemas.microsoft.com/office/drawing/2014/main" id="{00000000-0008-0000-0100-0000BE000000}"/>
            </a:ext>
          </a:extLst>
        </xdr:cNvPr>
        <xdr:cNvSpPr txBox="1">
          <a:spLocks noChangeArrowheads="1"/>
        </xdr:cNvSpPr>
      </xdr:nvSpPr>
      <xdr:spPr bwMode="auto">
        <a:xfrm>
          <a:off x="3456373" y="196450"/>
          <a:ext cx="421069" cy="20969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3</xdr:col>
      <xdr:colOff>1317116</xdr:colOff>
      <xdr:row>2</xdr:row>
      <xdr:rowOff>55847</xdr:rowOff>
    </xdr:from>
    <xdr:to>
      <xdr:col>4</xdr:col>
      <xdr:colOff>517431</xdr:colOff>
      <xdr:row>3</xdr:row>
      <xdr:rowOff>101509</xdr:rowOff>
    </xdr:to>
    <xdr:sp macro="" textlink="'Variable Management'!G97">
      <xdr:nvSpPr>
        <xdr:cNvPr id="191" name="Text Box 264">
          <a:extLst>
            <a:ext uri="{FF2B5EF4-FFF2-40B4-BE49-F238E27FC236}">
              <a16:creationId xmlns:a16="http://schemas.microsoft.com/office/drawing/2014/main" id="{00000000-0008-0000-0100-0000BF000000}"/>
            </a:ext>
          </a:extLst>
        </xdr:cNvPr>
        <xdr:cNvSpPr txBox="1">
          <a:spLocks noChangeArrowheads="1" noTextEdit="1"/>
        </xdr:cNvSpPr>
      </xdr:nvSpPr>
      <xdr:spPr bwMode="auto">
        <a:xfrm>
          <a:off x="4033422" y="396506"/>
          <a:ext cx="580880" cy="215991"/>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75kΩ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67703</xdr:colOff>
      <xdr:row>1</xdr:row>
      <xdr:rowOff>8965</xdr:rowOff>
    </xdr:from>
    <xdr:to>
      <xdr:col>4</xdr:col>
      <xdr:colOff>497097</xdr:colOff>
      <xdr:row>2</xdr:row>
      <xdr:rowOff>55717</xdr:rowOff>
    </xdr:to>
    <xdr:sp macro="" textlink="">
      <xdr:nvSpPr>
        <xdr:cNvPr id="192" name="Text Box 255">
          <a:extLst>
            <a:ext uri="{FF2B5EF4-FFF2-40B4-BE49-F238E27FC236}">
              <a16:creationId xmlns:a16="http://schemas.microsoft.com/office/drawing/2014/main" id="{00000000-0008-0000-0100-0000C0000000}"/>
            </a:ext>
          </a:extLst>
        </xdr:cNvPr>
        <xdr:cNvSpPr txBox="1">
          <a:spLocks noChangeArrowheads="1"/>
        </xdr:cNvSpPr>
      </xdr:nvSpPr>
      <xdr:spPr bwMode="auto">
        <a:xfrm>
          <a:off x="4164574" y="179294"/>
          <a:ext cx="429394" cy="21708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7</xdr:col>
      <xdr:colOff>177511</xdr:colOff>
      <xdr:row>16</xdr:row>
      <xdr:rowOff>19224</xdr:rowOff>
    </xdr:from>
    <xdr:to>
      <xdr:col>7</xdr:col>
      <xdr:colOff>690934</xdr:colOff>
      <xdr:row>17</xdr:row>
      <xdr:rowOff>111882</xdr:rowOff>
    </xdr:to>
    <xdr:sp macro="" textlink="'Variable Management'!B239">
      <xdr:nvSpPr>
        <xdr:cNvPr id="193" name="Text Box 275">
          <a:extLst>
            <a:ext uri="{FF2B5EF4-FFF2-40B4-BE49-F238E27FC236}">
              <a16:creationId xmlns:a16="http://schemas.microsoft.com/office/drawing/2014/main" id="{00000000-0008-0000-0100-0000C1000000}"/>
            </a:ext>
          </a:extLst>
        </xdr:cNvPr>
        <xdr:cNvSpPr txBox="1">
          <a:spLocks noChangeArrowheads="1" noTextEdit="1"/>
        </xdr:cNvSpPr>
      </xdr:nvSpPr>
      <xdr:spPr bwMode="auto">
        <a:xfrm>
          <a:off x="7537535" y="2744495"/>
          <a:ext cx="513423" cy="262987"/>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5mΩ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71054</xdr:colOff>
      <xdr:row>26</xdr:row>
      <xdr:rowOff>101970</xdr:rowOff>
    </xdr:from>
    <xdr:to>
      <xdr:col>4</xdr:col>
      <xdr:colOff>577093</xdr:colOff>
      <xdr:row>27</xdr:row>
      <xdr:rowOff>168112</xdr:rowOff>
    </xdr:to>
    <xdr:sp macro="" textlink="">
      <xdr:nvSpPr>
        <xdr:cNvPr id="194" name="Text Box 245">
          <a:extLst>
            <a:ext uri="{FF2B5EF4-FFF2-40B4-BE49-F238E27FC236}">
              <a16:creationId xmlns:a16="http://schemas.microsoft.com/office/drawing/2014/main" id="{00000000-0008-0000-0100-0000C2000000}"/>
            </a:ext>
          </a:extLst>
        </xdr:cNvPr>
        <xdr:cNvSpPr txBox="1">
          <a:spLocks noChangeArrowheads="1"/>
        </xdr:cNvSpPr>
      </xdr:nvSpPr>
      <xdr:spPr bwMode="auto">
        <a:xfrm>
          <a:off x="4167925" y="4530535"/>
          <a:ext cx="506039" cy="2364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4</xdr:col>
      <xdr:colOff>88402</xdr:colOff>
      <xdr:row>27</xdr:row>
      <xdr:rowOff>119498</xdr:rowOff>
    </xdr:from>
    <xdr:to>
      <xdr:col>4</xdr:col>
      <xdr:colOff>715194</xdr:colOff>
      <xdr:row>29</xdr:row>
      <xdr:rowOff>28235</xdr:rowOff>
    </xdr:to>
    <xdr:sp macro="" textlink="'Variable Management'!B274">
      <xdr:nvSpPr>
        <xdr:cNvPr id="195" name="Text Box 281">
          <a:extLst>
            <a:ext uri="{FF2B5EF4-FFF2-40B4-BE49-F238E27FC236}">
              <a16:creationId xmlns:a16="http://schemas.microsoft.com/office/drawing/2014/main" id="{00000000-0008-0000-0100-0000C3000000}"/>
            </a:ext>
          </a:extLst>
        </xdr:cNvPr>
        <xdr:cNvSpPr txBox="1">
          <a:spLocks noChangeArrowheads="1" noTextEdit="1"/>
        </xdr:cNvSpPr>
      </xdr:nvSpPr>
      <xdr:spPr bwMode="auto">
        <a:xfrm>
          <a:off x="4185273" y="4718392"/>
          <a:ext cx="626792" cy="249396"/>
        </a:xfrm>
        <a:prstGeom prst="rect">
          <a:avLst/>
        </a:prstGeom>
        <a:noFill/>
        <a:ln w="9525">
          <a:noFill/>
          <a:miter lim="800000"/>
          <a:headEnd/>
          <a:tailEnd/>
        </a:ln>
      </xdr:spPr>
      <xdr:txBody>
        <a:bodyPr vertOverflow="clip" wrap="square" lIns="27432" tIns="22860" rIns="0" bIns="0" anchor="ctr" upright="1"/>
        <a:lstStyle/>
        <a:p>
          <a:pPr algn="l" rtl="0">
            <a:defRPr sz="1000"/>
          </a:pPr>
          <a:fld id="{89760BEF-9E88-4172-89E5-A2E0AD0D10FF}"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xdr:twoCellAnchor>
    <xdr:from>
      <xdr:col>6</xdr:col>
      <xdr:colOff>394329</xdr:colOff>
      <xdr:row>21</xdr:row>
      <xdr:rowOff>15885</xdr:rowOff>
    </xdr:from>
    <xdr:to>
      <xdr:col>7</xdr:col>
      <xdr:colOff>301938</xdr:colOff>
      <xdr:row>22</xdr:row>
      <xdr:rowOff>154585</xdr:rowOff>
    </xdr:to>
    <xdr:sp macro="" textlink="'Variable Management'!B269">
      <xdr:nvSpPr>
        <xdr:cNvPr id="196" name="Text Box 270">
          <a:extLst>
            <a:ext uri="{FF2B5EF4-FFF2-40B4-BE49-F238E27FC236}">
              <a16:creationId xmlns:a16="http://schemas.microsoft.com/office/drawing/2014/main" id="{00000000-0008-0000-0100-0000C4000000}"/>
            </a:ext>
          </a:extLst>
        </xdr:cNvPr>
        <xdr:cNvSpPr txBox="1">
          <a:spLocks noChangeArrowheads="1" noTextEdit="1"/>
        </xdr:cNvSpPr>
      </xdr:nvSpPr>
      <xdr:spPr bwMode="auto">
        <a:xfrm>
          <a:off x="7090964" y="3592803"/>
          <a:ext cx="570998" cy="309029"/>
        </a:xfrm>
        <a:prstGeom prst="rect">
          <a:avLst/>
        </a:prstGeom>
        <a:noFill/>
        <a:ln w="9525">
          <a:noFill/>
          <a:miter lim="800000"/>
          <a:headEnd/>
          <a:tailEnd/>
        </a:ln>
      </xdr:spPr>
      <xdr:txBody>
        <a:bodyPr vertOverflow="clip" wrap="square" lIns="27432" tIns="22860" rIns="0" bIns="0" anchor="t" upright="1"/>
        <a:lstStyle/>
        <a:p>
          <a:pPr algn="l" rtl="0">
            <a:defRPr sz="1000"/>
          </a:pPr>
          <a:fld id="{B99E8AFA-CC9D-495E-8F5C-E82A30AF7894}"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461004</xdr:colOff>
      <xdr:row>19</xdr:row>
      <xdr:rowOff>139149</xdr:rowOff>
    </xdr:from>
    <xdr:to>
      <xdr:col>7</xdr:col>
      <xdr:colOff>368613</xdr:colOff>
      <xdr:row>21</xdr:row>
      <xdr:rowOff>22765</xdr:rowOff>
    </xdr:to>
    <xdr:sp macro="" textlink="'Variable Management'!A269">
      <xdr:nvSpPr>
        <xdr:cNvPr id="197" name="Text Box 270">
          <a:extLst>
            <a:ext uri="{FF2B5EF4-FFF2-40B4-BE49-F238E27FC236}">
              <a16:creationId xmlns:a16="http://schemas.microsoft.com/office/drawing/2014/main" id="{00000000-0008-0000-0100-0000C5000000}"/>
            </a:ext>
          </a:extLst>
        </xdr:cNvPr>
        <xdr:cNvSpPr txBox="1">
          <a:spLocks noChangeArrowheads="1" noTextEdit="1"/>
        </xdr:cNvSpPr>
      </xdr:nvSpPr>
      <xdr:spPr bwMode="auto">
        <a:xfrm>
          <a:off x="7157639" y="3375408"/>
          <a:ext cx="570998" cy="224275"/>
        </a:xfrm>
        <a:prstGeom prst="rect">
          <a:avLst/>
        </a:prstGeom>
        <a:noFill/>
        <a:ln w="9525">
          <a:noFill/>
          <a:miter lim="800000"/>
          <a:headEnd/>
          <a:tailEnd/>
        </a:ln>
      </xdr:spPr>
      <xdr:txBody>
        <a:bodyPr vertOverflow="clip" wrap="square" lIns="27432" tIns="22860" rIns="0" bIns="0" anchor="t" upright="1"/>
        <a:lstStyle/>
        <a:p>
          <a:pPr algn="l" rtl="0">
            <a:defRPr sz="1000"/>
          </a:pPr>
          <a:fld id="{70DB96BF-E1DF-48E4-A6D6-40F1646A7E3C}"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301193</xdr:colOff>
      <xdr:row>28</xdr:row>
      <xdr:rowOff>133859</xdr:rowOff>
    </xdr:from>
    <xdr:to>
      <xdr:col>4</xdr:col>
      <xdr:colOff>781482</xdr:colOff>
      <xdr:row>30</xdr:row>
      <xdr:rowOff>66204</xdr:rowOff>
    </xdr:to>
    <xdr:sp macro="" textlink="'Variable Management'!A270">
      <xdr:nvSpPr>
        <xdr:cNvPr id="198" name="Text Box 231">
          <a:extLst>
            <a:ext uri="{FF2B5EF4-FFF2-40B4-BE49-F238E27FC236}">
              <a16:creationId xmlns:a16="http://schemas.microsoft.com/office/drawing/2014/main" id="{00000000-0008-0000-0100-0000C6000000}"/>
            </a:ext>
          </a:extLst>
        </xdr:cNvPr>
        <xdr:cNvSpPr txBox="1">
          <a:spLocks noChangeArrowheads="1"/>
        </xdr:cNvSpPr>
      </xdr:nvSpPr>
      <xdr:spPr bwMode="auto">
        <a:xfrm>
          <a:off x="4398064" y="4903083"/>
          <a:ext cx="480289" cy="273003"/>
        </a:xfrm>
        <a:prstGeom prst="rect">
          <a:avLst/>
        </a:prstGeom>
        <a:noFill/>
        <a:ln w="9525">
          <a:noFill/>
          <a:miter lim="800000"/>
          <a:headEnd/>
          <a:tailEnd/>
        </a:ln>
      </xdr:spPr>
      <xdr:txBody>
        <a:bodyPr vertOverflow="clip" wrap="square" lIns="27432" tIns="27432" rIns="0" bIns="0" anchor="t" upright="1"/>
        <a:lstStyle/>
        <a:p>
          <a:pPr algn="l" rtl="0">
            <a:defRPr sz="1000"/>
          </a:pPr>
          <a:fld id="{6DDDD961-FD77-4006-A9BF-86BA94AAC47A}" type="TxLink">
            <a:rPr lang="en-US" sz="1000" b="0" i="0" u="none" strike="noStrike">
              <a:solidFill>
                <a:srgbClr val="000000"/>
              </a:solidFill>
              <a:latin typeface="Arial"/>
              <a:cs typeface="Arial"/>
            </a:rPr>
            <a:pPr algn="l" rtl="0">
              <a:defRPr sz="1000"/>
            </a:pPr>
            <a:t>Cilim</a:t>
          </a:fld>
          <a:endParaRPr lang="en-US" sz="1000" b="0" i="0" strike="noStrike" baseline="-25000">
            <a:solidFill>
              <a:srgbClr val="000000"/>
            </a:solidFill>
            <a:latin typeface="Arial" pitchFamily="34" charset="0"/>
            <a:cs typeface="Arial" pitchFamily="34" charset="0"/>
          </a:endParaRPr>
        </a:p>
      </xdr:txBody>
    </xdr:sp>
    <xdr:clientData/>
  </xdr:twoCellAnchor>
  <xdr:twoCellAnchor>
    <xdr:from>
      <xdr:col>4</xdr:col>
      <xdr:colOff>293386</xdr:colOff>
      <xdr:row>30</xdr:row>
      <xdr:rowOff>8945</xdr:rowOff>
    </xdr:from>
    <xdr:to>
      <xdr:col>4</xdr:col>
      <xdr:colOff>872203</xdr:colOff>
      <xdr:row>31</xdr:row>
      <xdr:rowOff>64079</xdr:rowOff>
    </xdr:to>
    <xdr:sp macro="" textlink="'Variable Management'!B270">
      <xdr:nvSpPr>
        <xdr:cNvPr id="199" name="Text Box 270">
          <a:extLst>
            <a:ext uri="{FF2B5EF4-FFF2-40B4-BE49-F238E27FC236}">
              <a16:creationId xmlns:a16="http://schemas.microsoft.com/office/drawing/2014/main" id="{00000000-0008-0000-0100-0000C7000000}"/>
            </a:ext>
          </a:extLst>
        </xdr:cNvPr>
        <xdr:cNvSpPr txBox="1">
          <a:spLocks noChangeArrowheads="1" noTextEdit="1"/>
        </xdr:cNvSpPr>
      </xdr:nvSpPr>
      <xdr:spPr bwMode="auto">
        <a:xfrm>
          <a:off x="4390257" y="5118827"/>
          <a:ext cx="578817" cy="225464"/>
        </a:xfrm>
        <a:prstGeom prst="rect">
          <a:avLst/>
        </a:prstGeom>
        <a:noFill/>
        <a:ln w="9525">
          <a:noFill/>
          <a:miter lim="800000"/>
          <a:headEnd/>
          <a:tailEnd/>
        </a:ln>
      </xdr:spPr>
      <xdr:txBody>
        <a:bodyPr vertOverflow="clip" wrap="square" lIns="27432" tIns="22860" rIns="0" bIns="0" anchor="t" upright="1"/>
        <a:lstStyle/>
        <a:p>
          <a:pPr algn="l" rtl="0">
            <a:defRPr sz="1000"/>
          </a:pPr>
          <a:fld id="{F1AA52B6-2C20-478B-832B-81CF265F500F}" type="TxLink">
            <a:rPr lang="en-US" sz="1000" b="0" i="0" u="none" strike="noStrike" baseline="0">
              <a:solidFill>
                <a:srgbClr val="000000"/>
              </a:solidFill>
              <a:latin typeface="Arial"/>
              <a:cs typeface="Arial"/>
            </a:rPr>
            <a:pPr algn="l" rtl="0">
              <a:defRPr sz="1000"/>
            </a:pPr>
            <a:t>33pF</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40170</xdr:colOff>
      <xdr:row>7</xdr:row>
      <xdr:rowOff>60644</xdr:rowOff>
    </xdr:from>
    <xdr:to>
      <xdr:col>8</xdr:col>
      <xdr:colOff>80513</xdr:colOff>
      <xdr:row>8</xdr:row>
      <xdr:rowOff>133915</xdr:rowOff>
    </xdr:to>
    <xdr:sp macro="" textlink="'Variable Management'!B281">
      <xdr:nvSpPr>
        <xdr:cNvPr id="200" name="Text Box 283">
          <a:extLst>
            <a:ext uri="{FF2B5EF4-FFF2-40B4-BE49-F238E27FC236}">
              <a16:creationId xmlns:a16="http://schemas.microsoft.com/office/drawing/2014/main" id="{00000000-0008-0000-0100-0000C8000000}"/>
            </a:ext>
          </a:extLst>
        </xdr:cNvPr>
        <xdr:cNvSpPr txBox="1">
          <a:spLocks noChangeArrowheads="1" noTextEdit="1"/>
        </xdr:cNvSpPr>
      </xdr:nvSpPr>
      <xdr:spPr bwMode="auto">
        <a:xfrm>
          <a:off x="7400194" y="1252950"/>
          <a:ext cx="1143001" cy="243600"/>
        </a:xfrm>
        <a:prstGeom prst="rect">
          <a:avLst/>
        </a:prstGeom>
        <a:noFill/>
        <a:ln w="9525">
          <a:noFill/>
          <a:miter lim="800000"/>
          <a:headEnd/>
          <a:tailEnd/>
        </a:ln>
      </xdr:spPr>
      <xdr:txBody>
        <a:bodyPr vertOverflow="clip" wrap="square" lIns="27432" tIns="22860" rIns="0" bIns="0" anchor="t" upright="1"/>
        <a:lstStyle/>
        <a:p>
          <a:pPr algn="l" rtl="0">
            <a:defRPr sz="1000"/>
          </a:pPr>
          <a:fld id="{EF361795-4FFE-464C-BBFA-7CAE15CC7442}" type="TxLink">
            <a:rPr lang="en-US" sz="1200" b="1" i="0" u="none" strike="noStrike">
              <a:solidFill>
                <a:srgbClr val="0000FF"/>
              </a:solidFill>
              <a:latin typeface="Arial"/>
              <a:cs typeface="Arial"/>
            </a:rPr>
            <a:pPr algn="l" rtl="0">
              <a:defRPr sz="1000"/>
            </a:pPr>
            <a:t>18V to 36V</a:t>
          </a:fld>
          <a:endParaRPr lang="en-US" sz="2400" b="1" i="0" strike="noStrike">
            <a:solidFill>
              <a:srgbClr val="0000FF"/>
            </a:solidFill>
            <a:latin typeface="Arial" pitchFamily="34" charset="0"/>
            <a:cs typeface="Arial" pitchFamily="34" charset="0"/>
          </a:endParaRPr>
        </a:p>
      </xdr:txBody>
    </xdr:sp>
    <xdr:clientData/>
  </xdr:twoCellAnchor>
  <xdr:twoCellAnchor>
    <xdr:from>
      <xdr:col>3</xdr:col>
      <xdr:colOff>1163340</xdr:colOff>
      <xdr:row>14</xdr:row>
      <xdr:rowOff>130124</xdr:rowOff>
    </xdr:from>
    <xdr:to>
      <xdr:col>4</xdr:col>
      <xdr:colOff>831538</xdr:colOff>
      <xdr:row>16</xdr:row>
      <xdr:rowOff>145682</xdr:rowOff>
    </xdr:to>
    <xdr:sp macro="" textlink="'Variable Management'!U12">
      <xdr:nvSpPr>
        <xdr:cNvPr id="201" name="Text Box 24">
          <a:extLst>
            <a:ext uri="{FF2B5EF4-FFF2-40B4-BE49-F238E27FC236}">
              <a16:creationId xmlns:a16="http://schemas.microsoft.com/office/drawing/2014/main" id="{00000000-0008-0000-0100-0000C9000000}"/>
            </a:ext>
          </a:extLst>
        </xdr:cNvPr>
        <xdr:cNvSpPr txBox="1">
          <a:spLocks noChangeArrowheads="1" noTextEdit="1"/>
        </xdr:cNvSpPr>
      </xdr:nvSpPr>
      <xdr:spPr bwMode="auto">
        <a:xfrm>
          <a:off x="3879646" y="2514736"/>
          <a:ext cx="1048763" cy="356217"/>
        </a:xfrm>
        <a:prstGeom prst="rect">
          <a:avLst/>
        </a:prstGeom>
        <a:solidFill>
          <a:srgbClr val="7DC4D6"/>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FE4215C9-6CF6-4ED6-BE24-17A843393DAB}" type="TxLink">
            <a:rPr lang="en-US" sz="1400" b="1" i="0" u="none" strike="noStrike" baseline="0">
              <a:solidFill>
                <a:srgbClr val="FF0000"/>
              </a:solidFill>
              <a:latin typeface="Arial"/>
              <a:cs typeface="Arial"/>
            </a:rPr>
            <a:pPr algn="ctr" rtl="0">
              <a:defRPr sz="1000"/>
            </a:pPr>
            <a:t>LM25145</a:t>
          </a:fld>
          <a:endParaRPr lang="en-US" sz="2000" b="1" i="0" u="none" strike="noStrike" baseline="0">
            <a:solidFill>
              <a:srgbClr val="FF0000"/>
            </a:solidFill>
            <a:latin typeface="Arial" pitchFamily="34" charset="0"/>
            <a:cs typeface="Arial"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336176</xdr:colOff>
      <xdr:row>4</xdr:row>
      <xdr:rowOff>123263</xdr:rowOff>
    </xdr:from>
    <xdr:to>
      <xdr:col>12</xdr:col>
      <xdr:colOff>103841</xdr:colOff>
      <xdr:row>38</xdr:row>
      <xdr:rowOff>89647</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863" b="1395"/>
        <a:stretch/>
      </xdr:blipFill>
      <xdr:spPr>
        <a:xfrm>
          <a:off x="336176" y="1400734"/>
          <a:ext cx="7029077" cy="5703795"/>
        </a:xfrm>
        <a:prstGeom prst="rect">
          <a:avLst/>
        </a:prstGeom>
      </xdr:spPr>
    </xdr:pic>
    <xdr:clientData/>
  </xdr:twoCellAnchor>
  <xdr:twoCellAnchor editAs="oneCell">
    <xdr:from>
      <xdr:col>14</xdr:col>
      <xdr:colOff>403411</xdr:colOff>
      <xdr:row>4</xdr:row>
      <xdr:rowOff>11205</xdr:rowOff>
    </xdr:from>
    <xdr:to>
      <xdr:col>27</xdr:col>
      <xdr:colOff>358587</xdr:colOff>
      <xdr:row>39</xdr:row>
      <xdr:rowOff>69528</xdr:rowOff>
    </xdr:to>
    <xdr:pic>
      <xdr:nvPicPr>
        <xdr:cNvPr id="10" name="Picture 9">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65558" y="1288676"/>
          <a:ext cx="8269941" cy="59526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381001</xdr:colOff>
      <xdr:row>48</xdr:row>
      <xdr:rowOff>104404</xdr:rowOff>
    </xdr:from>
    <xdr:to>
      <xdr:col>11</xdr:col>
      <xdr:colOff>280149</xdr:colOff>
      <xdr:row>73</xdr:row>
      <xdr:rowOff>34633</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81001" y="8688110"/>
          <a:ext cx="6555442" cy="4053994"/>
        </a:xfrm>
        <a:prstGeom prst="rect">
          <a:avLst/>
        </a:prstGeom>
      </xdr:spPr>
    </xdr:pic>
    <xdr:clientData/>
  </xdr:twoCellAnchor>
  <xdr:twoCellAnchor editAs="oneCell">
    <xdr:from>
      <xdr:col>0</xdr:col>
      <xdr:colOff>369795</xdr:colOff>
      <xdr:row>76</xdr:row>
      <xdr:rowOff>134469</xdr:rowOff>
    </xdr:from>
    <xdr:to>
      <xdr:col>11</xdr:col>
      <xdr:colOff>246531</xdr:colOff>
      <xdr:row>103</xdr:row>
      <xdr:rowOff>78440</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353" t="8842" r="3320" b="10752"/>
        <a:stretch/>
      </xdr:blipFill>
      <xdr:spPr>
        <a:xfrm>
          <a:off x="369795" y="13211734"/>
          <a:ext cx="6533030" cy="4381500"/>
        </a:xfrm>
        <a:prstGeom prst="rect">
          <a:avLst/>
        </a:prstGeom>
      </xdr:spPr>
    </xdr:pic>
    <xdr:clientData/>
  </xdr:twoCellAnchor>
  <xdr:twoCellAnchor editAs="oneCell">
    <xdr:from>
      <xdr:col>15</xdr:col>
      <xdr:colOff>268945</xdr:colOff>
      <xdr:row>48</xdr:row>
      <xdr:rowOff>123265</xdr:rowOff>
    </xdr:from>
    <xdr:to>
      <xdr:col>26</xdr:col>
      <xdr:colOff>583270</xdr:colOff>
      <xdr:row>72</xdr:row>
      <xdr:rowOff>54909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536210" y="8807824"/>
          <a:ext cx="7418854" cy="38985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268945</xdr:colOff>
      <xdr:row>75</xdr:row>
      <xdr:rowOff>78443</xdr:rowOff>
    </xdr:from>
    <xdr:to>
      <xdr:col>26</xdr:col>
      <xdr:colOff>583270</xdr:colOff>
      <xdr:row>98</xdr:row>
      <xdr:rowOff>119345</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536210" y="13200531"/>
          <a:ext cx="7418854" cy="38509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268945</xdr:colOff>
      <xdr:row>101</xdr:row>
      <xdr:rowOff>42024</xdr:rowOff>
    </xdr:from>
    <xdr:to>
      <xdr:col>26</xdr:col>
      <xdr:colOff>583270</xdr:colOff>
      <xdr:row>125</xdr:row>
      <xdr:rowOff>45945</xdr:rowOff>
    </xdr:to>
    <xdr:pic>
      <xdr:nvPicPr>
        <xdr:cNvPr id="8" name="Picture 7">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536210" y="17444759"/>
          <a:ext cx="7418854" cy="38699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257735</xdr:colOff>
      <xdr:row>128</xdr:row>
      <xdr:rowOff>67235</xdr:rowOff>
    </xdr:from>
    <xdr:to>
      <xdr:col>26</xdr:col>
      <xdr:colOff>560294</xdr:colOff>
      <xdr:row>152</xdr:row>
      <xdr:rowOff>90207</xdr:rowOff>
    </xdr:to>
    <xdr:pic>
      <xdr:nvPicPr>
        <xdr:cNvPr id="9" name="Picture 8">
          <a:extLst>
            <a:ext uri="{FF2B5EF4-FFF2-40B4-BE49-F238E27FC236}">
              <a16:creationId xmlns:a16="http://schemas.microsoft.com/office/drawing/2014/main" id="{00000000-0008-0000-0200-000009000000}"/>
            </a:ext>
          </a:extLst>
        </xdr:cNvPr>
        <xdr:cNvPicPr>
          <a:picLocks noChangeAspect="1" noChangeArrowheads="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1038" r="942"/>
        <a:stretch/>
      </xdr:blipFill>
      <xdr:spPr bwMode="auto">
        <a:xfrm>
          <a:off x="9525000" y="21806647"/>
          <a:ext cx="7407088" cy="38890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220980</xdr:colOff>
          <xdr:row>10</xdr:row>
          <xdr:rowOff>114300</xdr:rowOff>
        </xdr:from>
        <xdr:to>
          <xdr:col>16</xdr:col>
          <xdr:colOff>30480</xdr:colOff>
          <xdr:row>31</xdr:row>
          <xdr:rowOff>121920</xdr:rowOff>
        </xdr:to>
        <xdr:sp macro="" textlink="">
          <xdr:nvSpPr>
            <xdr:cNvPr id="3073" name="Object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36</xdr:col>
      <xdr:colOff>200025</xdr:colOff>
      <xdr:row>8</xdr:row>
      <xdr:rowOff>19050</xdr:rowOff>
    </xdr:from>
    <xdr:to>
      <xdr:col>44</xdr:col>
      <xdr:colOff>742950</xdr:colOff>
      <xdr:row>30</xdr:row>
      <xdr:rowOff>85725</xdr:rowOff>
    </xdr:to>
    <xdr:graphicFrame macro="">
      <xdr:nvGraphicFramePr>
        <xdr:cNvPr id="21446051" name="Chart 11">
          <a:extLst>
            <a:ext uri="{FF2B5EF4-FFF2-40B4-BE49-F238E27FC236}">
              <a16:creationId xmlns:a16="http://schemas.microsoft.com/office/drawing/2014/main" id="{00000000-0008-0000-0500-0000A3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200025</xdr:colOff>
      <xdr:row>8</xdr:row>
      <xdr:rowOff>28575</xdr:rowOff>
    </xdr:from>
    <xdr:to>
      <xdr:col>36</xdr:col>
      <xdr:colOff>180975</xdr:colOff>
      <xdr:row>30</xdr:row>
      <xdr:rowOff>123825</xdr:rowOff>
    </xdr:to>
    <xdr:graphicFrame macro="">
      <xdr:nvGraphicFramePr>
        <xdr:cNvPr id="21446052" name="Chart 15">
          <a:extLst>
            <a:ext uri="{FF2B5EF4-FFF2-40B4-BE49-F238E27FC236}">
              <a16:creationId xmlns:a16="http://schemas.microsoft.com/office/drawing/2014/main" id="{00000000-0008-0000-0500-0000A4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9525</xdr:colOff>
      <xdr:row>30</xdr:row>
      <xdr:rowOff>152400</xdr:rowOff>
    </xdr:from>
    <xdr:to>
      <xdr:col>36</xdr:col>
      <xdr:colOff>209550</xdr:colOff>
      <xdr:row>53</xdr:row>
      <xdr:rowOff>95250</xdr:rowOff>
    </xdr:to>
    <xdr:graphicFrame macro="">
      <xdr:nvGraphicFramePr>
        <xdr:cNvPr id="21446053" name="Chart 16">
          <a:extLst>
            <a:ext uri="{FF2B5EF4-FFF2-40B4-BE49-F238E27FC236}">
              <a16:creationId xmlns:a16="http://schemas.microsoft.com/office/drawing/2014/main" id="{00000000-0008-0000-0500-0000A5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75</xdr:col>
      <xdr:colOff>466725</xdr:colOff>
      <xdr:row>6</xdr:row>
      <xdr:rowOff>76200</xdr:rowOff>
    </xdr:from>
    <xdr:to>
      <xdr:col>84</xdr:col>
      <xdr:colOff>238125</xdr:colOff>
      <xdr:row>29</xdr:row>
      <xdr:rowOff>19050</xdr:rowOff>
    </xdr:to>
    <xdr:graphicFrame macro="">
      <xdr:nvGraphicFramePr>
        <xdr:cNvPr id="21446054" name="Chart 18">
          <a:extLst>
            <a:ext uri="{FF2B5EF4-FFF2-40B4-BE49-F238E27FC236}">
              <a16:creationId xmlns:a16="http://schemas.microsoft.com/office/drawing/2014/main" id="{00000000-0008-0000-0500-0000A6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704849</xdr:colOff>
      <xdr:row>6</xdr:row>
      <xdr:rowOff>438149</xdr:rowOff>
    </xdr:from>
    <xdr:to>
      <xdr:col>1</xdr:col>
      <xdr:colOff>8915399</xdr:colOff>
      <xdr:row>8</xdr:row>
      <xdr:rowOff>1127</xdr:rowOff>
    </xdr:to>
    <xdr:pic>
      <xdr:nvPicPr>
        <xdr:cNvPr id="4" name="Picture 3">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49" y="6362699"/>
          <a:ext cx="8915400" cy="512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704849</xdr:colOff>
      <xdr:row>3</xdr:row>
      <xdr:rowOff>161924</xdr:rowOff>
    </xdr:from>
    <xdr:to>
      <xdr:col>1</xdr:col>
      <xdr:colOff>8915399</xdr:colOff>
      <xdr:row>5</xdr:row>
      <xdr:rowOff>1127</xdr:rowOff>
    </xdr:to>
    <xdr:pic>
      <xdr:nvPicPr>
        <xdr:cNvPr id="6" name="Picture 5">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49" y="647699"/>
          <a:ext cx="8915400" cy="512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236220</xdr:colOff>
      <xdr:row>49</xdr:row>
      <xdr:rowOff>74295</xdr:rowOff>
    </xdr:from>
    <xdr:to>
      <xdr:col>19</xdr:col>
      <xdr:colOff>179070</xdr:colOff>
      <xdr:row>78</xdr:row>
      <xdr:rowOff>93345</xdr:rowOff>
    </xdr:to>
    <xdr:graphicFrame macro="">
      <xdr:nvGraphicFramePr>
        <xdr:cNvPr id="22259766" name="Chart 1">
          <a:extLst>
            <a:ext uri="{FF2B5EF4-FFF2-40B4-BE49-F238E27FC236}">
              <a16:creationId xmlns:a16="http://schemas.microsoft.com/office/drawing/2014/main" id="{00000000-0008-0000-0700-000036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247650</xdr:colOff>
      <xdr:row>11</xdr:row>
      <xdr:rowOff>57150</xdr:rowOff>
    </xdr:from>
    <xdr:to>
      <xdr:col>30</xdr:col>
      <xdr:colOff>533400</xdr:colOff>
      <xdr:row>40</xdr:row>
      <xdr:rowOff>85725</xdr:rowOff>
    </xdr:to>
    <xdr:graphicFrame macro="">
      <xdr:nvGraphicFramePr>
        <xdr:cNvPr id="22259767" name="Chart 2">
          <a:extLst>
            <a:ext uri="{FF2B5EF4-FFF2-40B4-BE49-F238E27FC236}">
              <a16:creationId xmlns:a16="http://schemas.microsoft.com/office/drawing/2014/main" id="{00000000-0008-0000-0700-000037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219075</xdr:colOff>
      <xdr:row>11</xdr:row>
      <xdr:rowOff>64770</xdr:rowOff>
    </xdr:from>
    <xdr:to>
      <xdr:col>19</xdr:col>
      <xdr:colOff>152400</xdr:colOff>
      <xdr:row>40</xdr:row>
      <xdr:rowOff>93345</xdr:rowOff>
    </xdr:to>
    <xdr:graphicFrame macro="">
      <xdr:nvGraphicFramePr>
        <xdr:cNvPr id="22259768" name="Chart 4">
          <a:extLst>
            <a:ext uri="{FF2B5EF4-FFF2-40B4-BE49-F238E27FC236}">
              <a16:creationId xmlns:a16="http://schemas.microsoft.com/office/drawing/2014/main" id="{00000000-0008-0000-0700-000038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drawing" Target="../drawings/drawing1.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omments" Target="../comments1.xml"/><Relationship Id="rId2" Type="http://schemas.openxmlformats.org/officeDocument/2006/relationships/printerSettings" Target="../printerSettings/printerSettings1.bin"/><Relationship Id="rId16" Type="http://schemas.openxmlformats.org/officeDocument/2006/relationships/ctrlProp" Target="../ctrlProps/ctrlProp11.xml"/><Relationship Id="rId1" Type="http://schemas.openxmlformats.org/officeDocument/2006/relationships/hyperlink" Target="http://www.ti.com/pol"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2.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vmlDrawing" Target="../drawings/vmlDrawing1.v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18" Type="http://schemas.openxmlformats.org/officeDocument/2006/relationships/ctrlProp" Target="../ctrlProps/ctrlProp26.xml"/><Relationship Id="rId26" Type="http://schemas.openxmlformats.org/officeDocument/2006/relationships/ctrlProp" Target="../ctrlProps/ctrlProp34.xml"/><Relationship Id="rId3" Type="http://schemas.openxmlformats.org/officeDocument/2006/relationships/vmlDrawing" Target="../drawings/vmlDrawing3.vml"/><Relationship Id="rId21" Type="http://schemas.openxmlformats.org/officeDocument/2006/relationships/ctrlProp" Target="../ctrlProps/ctrlProp29.xml"/><Relationship Id="rId7" Type="http://schemas.openxmlformats.org/officeDocument/2006/relationships/ctrlProp" Target="../ctrlProps/ctrlProp15.xml"/><Relationship Id="rId12" Type="http://schemas.openxmlformats.org/officeDocument/2006/relationships/ctrlProp" Target="../ctrlProps/ctrlProp20.xml"/><Relationship Id="rId17" Type="http://schemas.openxmlformats.org/officeDocument/2006/relationships/ctrlProp" Target="../ctrlProps/ctrlProp25.xml"/><Relationship Id="rId25" Type="http://schemas.openxmlformats.org/officeDocument/2006/relationships/ctrlProp" Target="../ctrlProps/ctrlProp33.xml"/><Relationship Id="rId2" Type="http://schemas.openxmlformats.org/officeDocument/2006/relationships/drawing" Target="../drawings/drawing3.xml"/><Relationship Id="rId16" Type="http://schemas.openxmlformats.org/officeDocument/2006/relationships/ctrlProp" Target="../ctrlProps/ctrlProp24.xml"/><Relationship Id="rId20" Type="http://schemas.openxmlformats.org/officeDocument/2006/relationships/ctrlProp" Target="../ctrlProps/ctrlProp28.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11" Type="http://schemas.openxmlformats.org/officeDocument/2006/relationships/ctrlProp" Target="../ctrlProps/ctrlProp19.xml"/><Relationship Id="rId24" Type="http://schemas.openxmlformats.org/officeDocument/2006/relationships/ctrlProp" Target="../ctrlProps/ctrlProp32.xml"/><Relationship Id="rId5" Type="http://schemas.openxmlformats.org/officeDocument/2006/relationships/ctrlProp" Target="../ctrlProps/ctrlProp13.xml"/><Relationship Id="rId15" Type="http://schemas.openxmlformats.org/officeDocument/2006/relationships/ctrlProp" Target="../ctrlProps/ctrlProp23.xml"/><Relationship Id="rId23" Type="http://schemas.openxmlformats.org/officeDocument/2006/relationships/ctrlProp" Target="../ctrlProps/ctrlProp31.xml"/><Relationship Id="rId28" Type="http://schemas.openxmlformats.org/officeDocument/2006/relationships/ctrlProp" Target="../ctrlProps/ctrlProp36.xml"/><Relationship Id="rId10" Type="http://schemas.openxmlformats.org/officeDocument/2006/relationships/ctrlProp" Target="../ctrlProps/ctrlProp18.xml"/><Relationship Id="rId19" Type="http://schemas.openxmlformats.org/officeDocument/2006/relationships/ctrlProp" Target="../ctrlProps/ctrlProp27.xml"/><Relationship Id="rId4" Type="http://schemas.openxmlformats.org/officeDocument/2006/relationships/ctrlProp" Target="../ctrlProps/ctrlProp12.xml"/><Relationship Id="rId9" Type="http://schemas.openxmlformats.org/officeDocument/2006/relationships/ctrlProp" Target="../ctrlProps/ctrlProp17.xml"/><Relationship Id="rId14" Type="http://schemas.openxmlformats.org/officeDocument/2006/relationships/ctrlProp" Target="../ctrlProps/ctrlProp22.xml"/><Relationship Id="rId22" Type="http://schemas.openxmlformats.org/officeDocument/2006/relationships/ctrlProp" Target="../ctrlProps/ctrlProp30.xml"/><Relationship Id="rId27" Type="http://schemas.openxmlformats.org/officeDocument/2006/relationships/ctrlProp" Target="../ctrlProps/ctrlProp35.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16.emf"/><Relationship Id="rId4" Type="http://schemas.openxmlformats.org/officeDocument/2006/relationships/oleObject" Target="../embeddings/Microsoft_Visio_2003-2010_Drawing.vsd"/></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pageSetUpPr fitToPage="1"/>
  </sheetPr>
  <dimension ref="A1:AI459"/>
  <sheetViews>
    <sheetView tabSelected="1" topLeftCell="A80" zoomScale="88" zoomScaleNormal="115" zoomScaleSheetLayoutView="100" workbookViewId="0">
      <selection activeCell="E106" sqref="E106"/>
    </sheetView>
  </sheetViews>
  <sheetFormatPr defaultColWidth="9.109375" defaultRowHeight="13.8" x14ac:dyDescent="0.3"/>
  <cols>
    <col min="1" max="1" width="8.33203125" style="276" customWidth="1"/>
    <col min="2" max="2" width="8.33203125" style="123" customWidth="1"/>
    <col min="3" max="3" width="14.5546875" style="123" customWidth="1"/>
    <col min="4" max="4" width="8" style="123" customWidth="1"/>
    <col min="5" max="5" width="7" style="123" customWidth="1"/>
    <col min="6" max="6" width="8.33203125" style="123" customWidth="1"/>
    <col min="7" max="7" width="9.109375" style="123" customWidth="1"/>
    <col min="8" max="8" width="11.88671875" style="123" customWidth="1"/>
    <col min="9" max="9" width="9.109375" style="123"/>
    <col min="10" max="10" width="12.44140625" style="123" bestFit="1" customWidth="1"/>
    <col min="11" max="11" width="9.109375" style="123"/>
    <col min="12" max="12" width="12.44140625" style="123" bestFit="1" customWidth="1"/>
    <col min="13" max="15" width="9.109375" style="123"/>
    <col min="16" max="16" width="10.109375" style="123" customWidth="1"/>
    <col min="17" max="17" width="41.88671875" style="123" customWidth="1"/>
    <col min="18" max="18" width="3.109375" style="123" customWidth="1"/>
    <col min="19" max="19" width="10" style="123" bestFit="1" customWidth="1"/>
    <col min="20" max="16384" width="9.109375" style="123"/>
  </cols>
  <sheetData>
    <row r="1" spans="1:18" ht="50.25" customHeight="1" x14ac:dyDescent="0.3">
      <c r="A1" s="516" t="s">
        <v>750</v>
      </c>
      <c r="B1" s="517"/>
      <c r="C1" s="517"/>
      <c r="D1" s="517"/>
      <c r="E1" s="517"/>
      <c r="F1" s="517"/>
      <c r="G1" s="517"/>
      <c r="H1" s="517"/>
      <c r="I1" s="517"/>
      <c r="J1" s="517"/>
      <c r="K1" s="517"/>
      <c r="L1" s="517"/>
      <c r="M1" s="517"/>
      <c r="N1" s="517"/>
      <c r="O1" s="517"/>
      <c r="P1" s="517"/>
      <c r="Q1" s="517"/>
      <c r="R1" s="365"/>
    </row>
    <row r="2" spans="1:18" ht="13.5" customHeight="1" x14ac:dyDescent="0.55000000000000004">
      <c r="A2" s="491"/>
      <c r="B2" s="369"/>
      <c r="C2" s="369"/>
      <c r="D2" s="369"/>
      <c r="E2" s="369"/>
      <c r="F2" s="369"/>
      <c r="G2" s="369"/>
      <c r="H2" s="369"/>
      <c r="I2" s="369"/>
      <c r="J2" s="369"/>
      <c r="K2" s="369"/>
      <c r="L2" s="369"/>
      <c r="M2" s="480"/>
      <c r="N2" s="485"/>
      <c r="O2" s="486"/>
      <c r="P2" s="485"/>
      <c r="Q2" s="485"/>
      <c r="R2" s="365"/>
    </row>
    <row r="3" spans="1:18" ht="14.25" customHeight="1" x14ac:dyDescent="0.55000000000000004">
      <c r="A3" s="379" t="s">
        <v>478</v>
      </c>
      <c r="B3" s="370"/>
      <c r="C3" s="380" t="s">
        <v>479</v>
      </c>
      <c r="D3" s="371"/>
      <c r="E3" s="177"/>
      <c r="F3" s="373" t="s">
        <v>285</v>
      </c>
      <c r="G3" s="372"/>
      <c r="H3" s="369"/>
      <c r="I3" s="369"/>
      <c r="J3" s="372"/>
      <c r="K3" s="374"/>
      <c r="L3" s="375"/>
      <c r="M3" s="481"/>
      <c r="N3" s="489"/>
      <c r="O3" s="515" t="s">
        <v>117</v>
      </c>
      <c r="P3" s="515"/>
      <c r="Q3" s="365" t="s">
        <v>320</v>
      </c>
      <c r="R3" s="365"/>
    </row>
    <row r="4" spans="1:18" ht="13.5" customHeight="1" thickBot="1" x14ac:dyDescent="0.4">
      <c r="A4" s="376"/>
      <c r="B4" s="377"/>
      <c r="C4" s="378"/>
      <c r="D4" s="378"/>
      <c r="E4" s="378"/>
      <c r="F4" s="378"/>
      <c r="G4" s="378"/>
      <c r="H4" s="378"/>
      <c r="I4" s="378"/>
      <c r="J4" s="378"/>
      <c r="K4" s="378"/>
      <c r="L4" s="378"/>
      <c r="M4" s="482"/>
      <c r="N4" s="487"/>
      <c r="O4" s="487"/>
      <c r="P4" s="487"/>
      <c r="Q4" s="488"/>
      <c r="R4" s="365"/>
    </row>
    <row r="5" spans="1:18" ht="20.100000000000001" customHeight="1" thickBot="1" x14ac:dyDescent="0.4">
      <c r="A5" s="214" t="s">
        <v>441</v>
      </c>
      <c r="B5" s="176"/>
      <c r="C5" s="124"/>
      <c r="D5" s="124"/>
      <c r="E5" s="126"/>
      <c r="F5" s="124"/>
      <c r="G5" s="160"/>
      <c r="H5" s="127"/>
      <c r="I5" s="127"/>
      <c r="J5" s="127"/>
      <c r="K5" s="127"/>
      <c r="L5" s="127"/>
      <c r="M5" s="483"/>
      <c r="N5" s="483"/>
      <c r="O5" s="483"/>
      <c r="P5" s="483"/>
      <c r="Q5" s="484"/>
      <c r="R5" s="365"/>
    </row>
    <row r="6" spans="1:18" ht="14.1" customHeight="1" x14ac:dyDescent="0.35">
      <c r="A6" s="271"/>
      <c r="B6" s="224"/>
      <c r="C6" s="225"/>
      <c r="D6" s="226" t="s">
        <v>571</v>
      </c>
      <c r="E6" s="227">
        <v>18</v>
      </c>
      <c r="F6" s="228" t="s">
        <v>0</v>
      </c>
      <c r="G6" s="186"/>
      <c r="H6" s="184"/>
      <c r="I6" s="127"/>
      <c r="J6" s="127"/>
      <c r="K6" s="127"/>
      <c r="L6" s="127"/>
      <c r="M6" s="127"/>
      <c r="N6" s="127"/>
      <c r="O6" s="127"/>
      <c r="P6" s="127"/>
      <c r="Q6" s="159"/>
      <c r="R6" s="365"/>
    </row>
    <row r="7" spans="1:18" ht="14.1" customHeight="1" x14ac:dyDescent="0.35">
      <c r="A7" s="382"/>
      <c r="B7" s="184"/>
      <c r="C7" s="181"/>
      <c r="D7" s="219" t="s">
        <v>572</v>
      </c>
      <c r="E7" s="185">
        <v>24</v>
      </c>
      <c r="F7" s="229" t="s">
        <v>0</v>
      </c>
      <c r="G7" s="186"/>
      <c r="H7" s="184"/>
      <c r="I7" s="127"/>
      <c r="J7" s="127"/>
      <c r="K7" s="127"/>
      <c r="L7" s="127"/>
      <c r="M7" s="127"/>
      <c r="N7" s="127"/>
      <c r="O7" s="127"/>
      <c r="P7" s="127"/>
      <c r="Q7" s="159"/>
      <c r="R7" s="365"/>
    </row>
    <row r="8" spans="1:18" ht="14.1" customHeight="1" x14ac:dyDescent="0.35">
      <c r="A8" s="382"/>
      <c r="B8" s="184"/>
      <c r="C8" s="181"/>
      <c r="D8" s="219" t="s">
        <v>573</v>
      </c>
      <c r="E8" s="185">
        <v>36</v>
      </c>
      <c r="F8" s="229" t="s">
        <v>0</v>
      </c>
      <c r="G8" s="186"/>
      <c r="H8" s="184"/>
      <c r="I8" s="127"/>
      <c r="J8" s="127"/>
      <c r="K8" s="127"/>
      <c r="L8" s="127"/>
      <c r="M8" s="127"/>
      <c r="N8" s="127"/>
      <c r="O8" s="127"/>
      <c r="P8" s="127"/>
      <c r="Q8" s="159"/>
      <c r="R8" s="365"/>
    </row>
    <row r="9" spans="1:18" ht="14.1" customHeight="1" x14ac:dyDescent="0.35">
      <c r="A9" s="183"/>
      <c r="B9" s="184"/>
      <c r="C9" s="181"/>
      <c r="D9" s="219" t="s">
        <v>566</v>
      </c>
      <c r="E9" s="185">
        <v>5.0999999999999996</v>
      </c>
      <c r="F9" s="229" t="s">
        <v>0</v>
      </c>
      <c r="G9" s="186"/>
      <c r="H9" s="184"/>
      <c r="I9" s="127"/>
      <c r="J9" s="127"/>
      <c r="K9" s="127"/>
      <c r="L9" s="127"/>
      <c r="M9" s="127"/>
      <c r="N9" s="127"/>
      <c r="O9" s="127"/>
      <c r="P9" s="127"/>
      <c r="Q9" s="159"/>
      <c r="R9" s="365"/>
    </row>
    <row r="10" spans="1:18" ht="14.1" customHeight="1" x14ac:dyDescent="0.35">
      <c r="A10" s="183"/>
      <c r="B10" s="184"/>
      <c r="C10" s="181"/>
      <c r="D10" s="219" t="s">
        <v>565</v>
      </c>
      <c r="E10" s="185">
        <v>6</v>
      </c>
      <c r="F10" s="229" t="s">
        <v>2</v>
      </c>
      <c r="G10" s="186"/>
      <c r="H10" s="184"/>
      <c r="I10" s="127"/>
      <c r="J10" s="127"/>
      <c r="K10" s="127"/>
      <c r="L10" s="127"/>
      <c r="M10" s="127"/>
      <c r="N10" s="127"/>
      <c r="O10" s="127"/>
      <c r="P10" s="127"/>
      <c r="Q10" s="159"/>
      <c r="R10" s="365"/>
    </row>
    <row r="11" spans="1:18" ht="14.1" customHeight="1" x14ac:dyDescent="0.35">
      <c r="A11" s="183"/>
      <c r="B11" s="184"/>
      <c r="C11" s="181"/>
      <c r="D11" s="219" t="s">
        <v>624</v>
      </c>
      <c r="E11" s="187">
        <v>300</v>
      </c>
      <c r="F11" s="229" t="s">
        <v>3</v>
      </c>
      <c r="G11" s="186"/>
      <c r="H11" s="184"/>
      <c r="I11" s="127"/>
      <c r="J11" s="127"/>
      <c r="K11" s="127"/>
      <c r="L11" s="127"/>
      <c r="M11" s="127"/>
      <c r="N11" s="127"/>
      <c r="O11" s="127"/>
      <c r="P11" s="127"/>
      <c r="Q11" s="159"/>
      <c r="R11" s="365"/>
    </row>
    <row r="12" spans="1:18" ht="14.1" customHeight="1" x14ac:dyDescent="0.35">
      <c r="A12" s="183"/>
      <c r="B12" s="184"/>
      <c r="C12" s="181"/>
      <c r="D12" s="219" t="s">
        <v>625</v>
      </c>
      <c r="E12" s="187">
        <v>300</v>
      </c>
      <c r="F12" s="229" t="s">
        <v>3</v>
      </c>
      <c r="G12" s="188"/>
      <c r="H12" s="184"/>
      <c r="I12" s="127"/>
      <c r="J12" s="127"/>
      <c r="K12" s="127"/>
      <c r="L12" s="127"/>
      <c r="M12" s="127"/>
      <c r="N12" s="127"/>
      <c r="O12" s="127"/>
      <c r="P12" s="127"/>
      <c r="Q12" s="159"/>
      <c r="R12" s="365"/>
    </row>
    <row r="13" spans="1:18" ht="15.9" customHeight="1" thickBot="1" x14ac:dyDescent="0.4">
      <c r="A13" s="230"/>
      <c r="B13" s="231"/>
      <c r="C13" s="182"/>
      <c r="D13" s="182" t="s">
        <v>568</v>
      </c>
      <c r="E13" s="182">
        <f>'Standard Value Calculator'!S4/1000</f>
        <v>33.200000000000003</v>
      </c>
      <c r="F13" s="232" t="s">
        <v>116</v>
      </c>
      <c r="G13" s="186"/>
      <c r="H13" s="184"/>
      <c r="I13" s="127"/>
      <c r="J13" s="127"/>
      <c r="K13" s="127"/>
      <c r="L13" s="127"/>
      <c r="M13" s="127"/>
      <c r="N13" s="127"/>
      <c r="O13" s="127"/>
      <c r="P13" s="127"/>
      <c r="Q13" s="159"/>
      <c r="R13" s="365"/>
    </row>
    <row r="14" spans="1:18" ht="14.1" customHeight="1" x14ac:dyDescent="0.3">
      <c r="A14" s="183"/>
      <c r="B14" s="184"/>
      <c r="C14" s="184"/>
      <c r="D14" s="189"/>
      <c r="E14" s="190"/>
      <c r="F14" s="184"/>
      <c r="G14" s="186"/>
      <c r="H14" s="184"/>
      <c r="I14" s="127"/>
      <c r="J14" s="127"/>
      <c r="K14" s="127"/>
      <c r="L14" s="127"/>
      <c r="M14" s="127"/>
      <c r="N14" s="127"/>
      <c r="O14" s="127"/>
      <c r="P14" s="127"/>
      <c r="Q14" s="159"/>
      <c r="R14" s="365"/>
    </row>
    <row r="15" spans="1:18" ht="20.100000000000001" customHeight="1" thickBot="1" x14ac:dyDescent="0.35">
      <c r="A15" s="214" t="s">
        <v>430</v>
      </c>
      <c r="B15" s="191"/>
      <c r="C15" s="192"/>
      <c r="D15" s="192"/>
      <c r="E15" s="193"/>
      <c r="F15" s="192"/>
      <c r="G15" s="186"/>
      <c r="H15" s="184"/>
      <c r="I15" s="127"/>
      <c r="J15" s="127"/>
      <c r="K15" s="127"/>
      <c r="L15" s="127"/>
      <c r="M15" s="127"/>
      <c r="N15" s="127"/>
      <c r="O15" s="127"/>
      <c r="P15" s="127"/>
      <c r="Q15" s="159"/>
      <c r="R15" s="365"/>
    </row>
    <row r="16" spans="1:18" ht="14.1" customHeight="1" x14ac:dyDescent="0.3">
      <c r="A16" s="271"/>
      <c r="B16" s="224"/>
      <c r="C16" s="225"/>
      <c r="D16" s="225" t="s">
        <v>461</v>
      </c>
      <c r="E16" s="460">
        <f>Lout1*1000000</f>
        <v>6.7004504504504494</v>
      </c>
      <c r="F16" s="233" t="s">
        <v>413</v>
      </c>
      <c r="G16" s="186"/>
      <c r="H16" s="184"/>
      <c r="I16" s="127"/>
      <c r="J16" s="127"/>
      <c r="K16" s="127"/>
      <c r="L16" s="127"/>
      <c r="M16" s="127"/>
      <c r="N16" s="127"/>
      <c r="O16" s="127"/>
      <c r="P16" s="127"/>
      <c r="Q16" s="159"/>
      <c r="R16" s="365"/>
    </row>
    <row r="17" spans="1:19" ht="14.1" customHeight="1" x14ac:dyDescent="0.35">
      <c r="A17" s="183"/>
      <c r="B17" s="184"/>
      <c r="C17" s="181"/>
      <c r="D17" s="219" t="s">
        <v>567</v>
      </c>
      <c r="E17" s="185">
        <v>10</v>
      </c>
      <c r="F17" s="229" t="s">
        <v>413</v>
      </c>
      <c r="G17" s="186"/>
      <c r="H17" s="184"/>
      <c r="I17" s="127"/>
      <c r="J17" s="127"/>
      <c r="K17" s="127"/>
      <c r="L17" s="127"/>
      <c r="M17" s="127"/>
      <c r="N17" s="127"/>
      <c r="O17" s="127"/>
      <c r="P17" s="127"/>
      <c r="Q17" s="159"/>
      <c r="R17" s="365"/>
    </row>
    <row r="18" spans="1:19" ht="14.1" customHeight="1" x14ac:dyDescent="0.3">
      <c r="A18" s="183"/>
      <c r="B18" s="184"/>
      <c r="C18" s="181"/>
      <c r="D18" s="219" t="s">
        <v>462</v>
      </c>
      <c r="E18" s="185">
        <v>5</v>
      </c>
      <c r="F18" s="229" t="s">
        <v>115</v>
      </c>
      <c r="G18" s="186"/>
      <c r="H18" s="184"/>
      <c r="I18" s="127"/>
      <c r="J18" s="127"/>
      <c r="K18" s="127"/>
      <c r="L18" s="127"/>
      <c r="M18" s="127"/>
      <c r="N18" s="127"/>
      <c r="O18" s="127"/>
      <c r="P18" s="127"/>
      <c r="Q18" s="159"/>
      <c r="R18" s="365"/>
    </row>
    <row r="19" spans="1:19" ht="15" customHeight="1" x14ac:dyDescent="0.35">
      <c r="A19" s="183"/>
      <c r="B19" s="184"/>
      <c r="C19" s="181"/>
      <c r="D19" s="381" t="s">
        <v>570</v>
      </c>
      <c r="E19" s="216">
        <f>Iripple1</f>
        <v>1.3560749999999995</v>
      </c>
      <c r="F19" s="234" t="s">
        <v>446</v>
      </c>
      <c r="G19" s="186"/>
      <c r="H19" s="184"/>
      <c r="I19" s="127"/>
      <c r="J19" s="127"/>
      <c r="K19" s="127"/>
      <c r="L19" s="127"/>
      <c r="M19" s="127"/>
      <c r="N19" s="127"/>
      <c r="O19" s="127"/>
      <c r="P19" s="127"/>
      <c r="Q19" s="159"/>
      <c r="R19" s="365"/>
    </row>
    <row r="20" spans="1:19" ht="15" customHeight="1" x14ac:dyDescent="0.35">
      <c r="A20" s="382"/>
      <c r="B20" s="184"/>
      <c r="C20" s="181"/>
      <c r="D20" s="181" t="s">
        <v>548</v>
      </c>
      <c r="E20" s="217">
        <f>Iripple1/Iout*100</f>
        <v>22.601249999999993</v>
      </c>
      <c r="F20" s="234" t="s">
        <v>300</v>
      </c>
      <c r="G20" s="186"/>
      <c r="H20" s="184"/>
      <c r="I20" s="127"/>
      <c r="J20" s="127"/>
      <c r="K20" s="127"/>
      <c r="L20" s="127"/>
      <c r="M20" s="127"/>
      <c r="N20" s="127"/>
      <c r="O20" s="127"/>
      <c r="P20" s="127"/>
      <c r="Q20" s="159"/>
      <c r="R20" s="365"/>
    </row>
    <row r="21" spans="1:19" ht="15" customHeight="1" thickBot="1" x14ac:dyDescent="0.35">
      <c r="A21" s="230"/>
      <c r="B21" s="231"/>
      <c r="C21" s="280"/>
      <c r="D21" s="512" t="s">
        <v>774</v>
      </c>
      <c r="E21" s="349">
        <v>0.2</v>
      </c>
      <c r="F21" s="513" t="s">
        <v>208</v>
      </c>
      <c r="G21" s="186"/>
      <c r="H21" s="184"/>
      <c r="I21" s="127"/>
      <c r="J21" s="127"/>
      <c r="K21" s="127"/>
      <c r="L21" s="127"/>
      <c r="M21" s="127"/>
      <c r="N21" s="127"/>
      <c r="O21" s="127"/>
      <c r="P21" s="127"/>
      <c r="Q21" s="159"/>
      <c r="R21" s="365"/>
    </row>
    <row r="22" spans="1:19" ht="14.1" customHeight="1" x14ac:dyDescent="0.3">
      <c r="A22" s="183"/>
      <c r="B22" s="184"/>
      <c r="C22" s="184"/>
      <c r="D22" s="184"/>
      <c r="E22" s="184"/>
      <c r="F22" s="184"/>
      <c r="G22" s="186"/>
      <c r="H22" s="184"/>
      <c r="I22" s="127"/>
      <c r="J22" s="127"/>
      <c r="K22" s="127"/>
      <c r="L22" s="127"/>
      <c r="M22" s="127"/>
      <c r="N22" s="127"/>
      <c r="O22" s="127"/>
      <c r="P22" s="127"/>
      <c r="Q22" s="159"/>
      <c r="R22" s="365"/>
    </row>
    <row r="23" spans="1:19" ht="20.100000000000001" customHeight="1" thickBot="1" x14ac:dyDescent="0.45">
      <c r="A23" s="214" t="s">
        <v>564</v>
      </c>
      <c r="B23" s="191"/>
      <c r="C23" s="184"/>
      <c r="D23" s="184"/>
      <c r="E23" s="184"/>
      <c r="F23" s="184"/>
      <c r="G23" s="186"/>
      <c r="H23" s="184"/>
      <c r="I23" s="127"/>
      <c r="J23" s="127"/>
      <c r="K23" s="127"/>
      <c r="L23" s="127"/>
      <c r="M23" s="127"/>
      <c r="N23" s="127"/>
      <c r="O23" s="127"/>
      <c r="P23" s="127"/>
      <c r="Q23" s="159"/>
      <c r="R23" s="365"/>
    </row>
    <row r="24" spans="1:19" ht="15" customHeight="1" x14ac:dyDescent="0.35">
      <c r="A24" s="397"/>
      <c r="B24" s="278"/>
      <c r="C24" s="398"/>
      <c r="D24" s="402" t="s">
        <v>604</v>
      </c>
      <c r="E24" s="404">
        <v>6</v>
      </c>
      <c r="F24" s="403" t="s">
        <v>115</v>
      </c>
      <c r="G24" s="186"/>
      <c r="H24" s="184"/>
      <c r="I24" s="127"/>
      <c r="J24" s="127"/>
      <c r="K24" s="127"/>
      <c r="L24" s="127"/>
      <c r="M24" s="127"/>
      <c r="N24" s="127"/>
      <c r="O24" s="127"/>
      <c r="P24" s="127"/>
      <c r="Q24" s="159"/>
      <c r="R24" s="365"/>
      <c r="S24" s="123" t="s">
        <v>384</v>
      </c>
    </row>
    <row r="25" spans="1:19" ht="15" customHeight="1" x14ac:dyDescent="0.3">
      <c r="A25" s="183"/>
      <c r="B25" s="184"/>
      <c r="C25" s="184"/>
      <c r="D25" s="219" t="s">
        <v>463</v>
      </c>
      <c r="E25" s="185">
        <v>6.5</v>
      </c>
      <c r="F25" s="229" t="s">
        <v>2</v>
      </c>
      <c r="G25" s="186"/>
      <c r="H25" s="184"/>
      <c r="I25" s="127"/>
      <c r="J25" s="127"/>
      <c r="K25" s="127"/>
      <c r="L25" s="127"/>
      <c r="M25" s="127"/>
      <c r="N25" s="127"/>
      <c r="O25" s="127"/>
      <c r="P25" s="127"/>
      <c r="Q25" s="159"/>
      <c r="R25" s="365"/>
    </row>
    <row r="26" spans="1:19" ht="15" customHeight="1" x14ac:dyDescent="0.35">
      <c r="A26" s="184"/>
      <c r="B26" s="184"/>
      <c r="C26" s="184"/>
      <c r="D26" s="181" t="s">
        <v>588</v>
      </c>
      <c r="E26" s="217">
        <f>IF(RDSON_sense=1, Rilim_Rdson, Rilim_shunt)</f>
        <v>174</v>
      </c>
      <c r="F26" s="234" t="s">
        <v>274</v>
      </c>
      <c r="G26" s="188"/>
      <c r="H26" s="184"/>
      <c r="I26" s="127"/>
      <c r="J26" s="127"/>
      <c r="K26" s="127"/>
      <c r="L26" s="127"/>
      <c r="M26" s="127"/>
      <c r="N26" s="127"/>
      <c r="O26" s="127"/>
      <c r="P26" s="127"/>
      <c r="Q26" s="159"/>
      <c r="R26" s="365"/>
    </row>
    <row r="27" spans="1:19" ht="14.1" customHeight="1" x14ac:dyDescent="0.35">
      <c r="A27" s="183"/>
      <c r="B27" s="184"/>
      <c r="C27" s="184"/>
      <c r="D27" s="181" t="s">
        <v>569</v>
      </c>
      <c r="E27" s="216">
        <f>'Variable Management'!B51</f>
        <v>8.4</v>
      </c>
      <c r="F27" s="234" t="s">
        <v>2</v>
      </c>
      <c r="G27" s="184"/>
      <c r="H27" s="184"/>
      <c r="I27" s="127"/>
      <c r="J27" s="127"/>
      <c r="K27" s="127"/>
      <c r="L27" s="127"/>
      <c r="M27" s="127"/>
      <c r="N27" s="127"/>
      <c r="O27" s="127"/>
      <c r="P27" s="127"/>
      <c r="Q27" s="159"/>
      <c r="R27" s="365"/>
    </row>
    <row r="28" spans="1:19" ht="14.1" customHeight="1" thickBot="1" x14ac:dyDescent="0.4">
      <c r="A28" s="230"/>
      <c r="B28" s="231"/>
      <c r="C28" s="231"/>
      <c r="D28" s="399" t="s">
        <v>596</v>
      </c>
      <c r="E28" s="400">
        <f>_Rs3</f>
        <v>0.16</v>
      </c>
      <c r="F28" s="257" t="s">
        <v>208</v>
      </c>
      <c r="G28" s="184"/>
      <c r="H28" s="184"/>
      <c r="I28" s="127"/>
      <c r="J28" s="127"/>
      <c r="K28" s="127"/>
      <c r="L28" s="127"/>
      <c r="M28" s="127"/>
      <c r="N28" s="127"/>
      <c r="O28" s="127"/>
      <c r="P28" s="127"/>
      <c r="Q28" s="159"/>
      <c r="R28" s="365"/>
    </row>
    <row r="29" spans="1:19" ht="14.1" customHeight="1" x14ac:dyDescent="0.3">
      <c r="A29" s="277"/>
      <c r="B29" s="170"/>
      <c r="C29" s="170"/>
      <c r="D29" s="170"/>
      <c r="E29" s="170"/>
      <c r="F29" s="170"/>
      <c r="G29" s="184"/>
      <c r="H29" s="184"/>
      <c r="I29" s="127"/>
      <c r="J29" s="127"/>
      <c r="K29" s="127"/>
      <c r="L29" s="127"/>
      <c r="M29" s="127"/>
      <c r="N29" s="127"/>
      <c r="O29" s="127"/>
      <c r="P29" s="127"/>
      <c r="Q29" s="159"/>
      <c r="R29" s="365"/>
    </row>
    <row r="30" spans="1:19" ht="18" thickBot="1" x14ac:dyDescent="0.35">
      <c r="A30" s="214" t="s">
        <v>732</v>
      </c>
      <c r="B30" s="191"/>
      <c r="C30" s="192"/>
      <c r="D30" s="192"/>
      <c r="E30" s="193"/>
      <c r="F30" s="192"/>
      <c r="G30" s="184"/>
      <c r="H30" s="184"/>
      <c r="I30" s="127"/>
      <c r="J30" s="127"/>
      <c r="K30" s="127"/>
      <c r="L30" s="127"/>
      <c r="M30" s="127"/>
      <c r="N30" s="127"/>
      <c r="O30" s="127"/>
      <c r="P30" s="127"/>
      <c r="Q30" s="159"/>
      <c r="R30" s="365"/>
    </row>
    <row r="31" spans="1:19" ht="14.1" customHeight="1" x14ac:dyDescent="0.35">
      <c r="A31" s="250"/>
      <c r="B31" s="236"/>
      <c r="C31" s="225"/>
      <c r="D31" s="237" t="s">
        <v>464</v>
      </c>
      <c r="E31" s="238">
        <v>20</v>
      </c>
      <c r="F31" s="228" t="s">
        <v>447</v>
      </c>
      <c r="G31" s="184"/>
      <c r="H31" s="184"/>
      <c r="I31" s="127"/>
      <c r="J31" s="127"/>
      <c r="K31" s="127"/>
      <c r="L31" s="127"/>
      <c r="M31" s="127"/>
      <c r="N31" s="127"/>
      <c r="O31" s="127"/>
      <c r="P31" s="127"/>
      <c r="Q31" s="159"/>
      <c r="R31" s="365"/>
    </row>
    <row r="32" spans="1:19" ht="14.1" customHeight="1" x14ac:dyDescent="0.3">
      <c r="A32" s="183"/>
      <c r="B32" s="184"/>
      <c r="C32" s="181"/>
      <c r="D32" s="181" t="s">
        <v>465</v>
      </c>
      <c r="E32" s="217">
        <f>Coutmin*1000000</f>
        <v>28.251562499999988</v>
      </c>
      <c r="F32" s="234" t="s">
        <v>414</v>
      </c>
      <c r="G32" s="184"/>
      <c r="H32" s="184"/>
      <c r="I32" s="127"/>
      <c r="J32" s="127"/>
      <c r="K32" s="127"/>
      <c r="L32" s="127"/>
      <c r="M32" s="127"/>
      <c r="N32" s="127"/>
      <c r="O32" s="127"/>
      <c r="P32" s="127"/>
      <c r="Q32" s="159"/>
      <c r="R32" s="365"/>
    </row>
    <row r="33" spans="1:18" ht="14.1" customHeight="1" x14ac:dyDescent="0.35">
      <c r="A33" s="183"/>
      <c r="B33" s="184"/>
      <c r="C33" s="181"/>
      <c r="D33" s="180" t="s">
        <v>738</v>
      </c>
      <c r="E33" s="185">
        <v>132</v>
      </c>
      <c r="F33" s="229" t="s">
        <v>414</v>
      </c>
      <c r="G33" s="186"/>
      <c r="H33" s="184"/>
      <c r="I33" s="127"/>
      <c r="J33" s="127"/>
      <c r="K33" s="127"/>
      <c r="L33" s="127"/>
      <c r="M33" s="127"/>
      <c r="N33" s="127"/>
      <c r="O33" s="127"/>
      <c r="P33" s="127"/>
      <c r="Q33" s="159"/>
      <c r="R33" s="365"/>
    </row>
    <row r="34" spans="1:18" ht="14.1" customHeight="1" x14ac:dyDescent="0.3">
      <c r="A34" s="183"/>
      <c r="B34" s="184"/>
      <c r="C34" s="181"/>
      <c r="D34" s="181" t="s">
        <v>466</v>
      </c>
      <c r="E34" s="218">
        <f>IF(ISERROR(Resrmax*1000),"N/A",Resrmax*1000)</f>
        <v>14.406692069728832</v>
      </c>
      <c r="F34" s="234" t="s">
        <v>115</v>
      </c>
      <c r="G34" s="186"/>
      <c r="H34" s="184"/>
      <c r="I34" s="127"/>
      <c r="J34" s="127"/>
      <c r="K34" s="127"/>
      <c r="L34" s="127"/>
      <c r="M34" s="127"/>
      <c r="N34" s="127"/>
      <c r="O34" s="127"/>
      <c r="P34" s="127"/>
      <c r="Q34" s="159"/>
      <c r="R34" s="365"/>
    </row>
    <row r="35" spans="1:18" ht="14.1" customHeight="1" x14ac:dyDescent="0.3">
      <c r="A35" s="183"/>
      <c r="B35" s="184"/>
      <c r="C35" s="181"/>
      <c r="D35" s="180" t="s">
        <v>467</v>
      </c>
      <c r="E35" s="187">
        <v>10</v>
      </c>
      <c r="F35" s="229" t="s">
        <v>115</v>
      </c>
      <c r="G35" s="186"/>
      <c r="H35" s="184"/>
      <c r="I35" s="127"/>
      <c r="J35" s="127"/>
      <c r="K35" s="127"/>
      <c r="L35" s="127"/>
      <c r="M35" s="127"/>
      <c r="N35" s="127"/>
      <c r="O35" s="127"/>
      <c r="P35" s="127"/>
      <c r="Q35" s="159"/>
      <c r="R35" s="365"/>
    </row>
    <row r="36" spans="1:18" ht="14.1" customHeight="1" x14ac:dyDescent="0.35">
      <c r="A36" s="183"/>
      <c r="B36" s="184"/>
      <c r="C36" s="184"/>
      <c r="D36" s="181" t="s">
        <v>468</v>
      </c>
      <c r="E36" s="217">
        <f>Vripple2*1000</f>
        <v>14.220301027348185</v>
      </c>
      <c r="F36" s="234" t="s">
        <v>457</v>
      </c>
      <c r="G36" s="186"/>
      <c r="H36" s="184"/>
      <c r="I36" s="127"/>
      <c r="J36" s="127"/>
      <c r="K36" s="127"/>
      <c r="L36" s="127"/>
      <c r="M36" s="127"/>
      <c r="N36" s="127"/>
      <c r="O36" s="127"/>
      <c r="P36" s="127"/>
      <c r="Q36" s="159"/>
      <c r="R36" s="365"/>
    </row>
    <row r="37" spans="1:18" ht="14.1" customHeight="1" thickBot="1" x14ac:dyDescent="0.35">
      <c r="A37" s="230"/>
      <c r="B37" s="231"/>
      <c r="C37" s="231"/>
      <c r="D37" s="182" t="s">
        <v>469</v>
      </c>
      <c r="E37" s="235">
        <f>Icoutrms</f>
        <v>0.39146513314566073</v>
      </c>
      <c r="F37" s="232" t="s">
        <v>282</v>
      </c>
      <c r="G37" s="188"/>
      <c r="H37" s="184"/>
      <c r="I37" s="127"/>
      <c r="J37" s="127"/>
      <c r="K37" s="161"/>
      <c r="L37" s="127"/>
      <c r="M37" s="127"/>
      <c r="N37" s="127"/>
      <c r="O37" s="127"/>
      <c r="P37" s="127"/>
      <c r="Q37" s="159"/>
      <c r="R37" s="365"/>
    </row>
    <row r="38" spans="1:18" ht="14.1" customHeight="1" x14ac:dyDescent="0.3">
      <c r="A38" s="272"/>
      <c r="B38" s="194"/>
      <c r="C38" s="194"/>
      <c r="D38" s="194"/>
      <c r="E38" s="194"/>
      <c r="F38" s="194"/>
      <c r="G38" s="184"/>
      <c r="H38" s="184"/>
      <c r="I38" s="127"/>
      <c r="J38" s="127"/>
      <c r="K38" s="127"/>
      <c r="L38" s="127"/>
      <c r="M38" s="127"/>
      <c r="N38" s="127"/>
      <c r="O38" s="127"/>
      <c r="P38" s="127"/>
      <c r="Q38" s="159"/>
      <c r="R38" s="365"/>
    </row>
    <row r="39" spans="1:18" ht="18" thickBot="1" x14ac:dyDescent="0.35">
      <c r="A39" s="214" t="s">
        <v>733</v>
      </c>
      <c r="B39" s="191"/>
      <c r="C39" s="192"/>
      <c r="D39" s="192"/>
      <c r="E39" s="184"/>
      <c r="F39" s="184"/>
      <c r="G39" s="184"/>
      <c r="H39" s="184"/>
      <c r="I39" s="127"/>
      <c r="J39" s="127"/>
      <c r="K39" s="127"/>
      <c r="L39" s="162"/>
      <c r="M39" s="127"/>
      <c r="N39" s="127"/>
      <c r="O39" s="127"/>
      <c r="P39" s="127"/>
      <c r="Q39" s="159"/>
      <c r="R39" s="365"/>
    </row>
    <row r="40" spans="1:18" ht="14.1" customHeight="1" x14ac:dyDescent="0.35">
      <c r="A40" s="250"/>
      <c r="B40" s="236"/>
      <c r="C40" s="224"/>
      <c r="D40" s="226" t="s">
        <v>470</v>
      </c>
      <c r="E40" s="238">
        <v>50</v>
      </c>
      <c r="F40" s="228" t="s">
        <v>447</v>
      </c>
      <c r="G40" s="184"/>
      <c r="H40" s="184"/>
      <c r="I40" s="127"/>
      <c r="J40" s="163"/>
      <c r="K40" s="127"/>
      <c r="L40" s="127"/>
      <c r="M40" s="127"/>
      <c r="N40" s="127"/>
      <c r="O40" s="127"/>
      <c r="P40" s="127"/>
      <c r="Q40" s="159"/>
      <c r="R40" s="365"/>
    </row>
    <row r="41" spans="1:18" ht="14.1" customHeight="1" x14ac:dyDescent="0.3">
      <c r="A41" s="195"/>
      <c r="B41" s="192"/>
      <c r="C41" s="184"/>
      <c r="D41" s="181" t="s">
        <v>471</v>
      </c>
      <c r="E41" s="217">
        <f>'Variable Management'!B80*1000000</f>
        <v>67.566974999999985</v>
      </c>
      <c r="F41" s="234" t="s">
        <v>414</v>
      </c>
      <c r="G41" s="184"/>
      <c r="H41" s="184"/>
      <c r="I41" s="127"/>
      <c r="J41" s="163"/>
      <c r="K41" s="127"/>
      <c r="L41" s="127"/>
      <c r="M41" s="127"/>
      <c r="N41" s="127"/>
      <c r="O41" s="127"/>
      <c r="P41" s="127"/>
      <c r="Q41" s="159"/>
      <c r="R41" s="365"/>
    </row>
    <row r="42" spans="1:18" ht="14.1" customHeight="1" x14ac:dyDescent="0.35">
      <c r="A42" s="183"/>
      <c r="B42" s="184"/>
      <c r="C42" s="192"/>
      <c r="D42" s="219" t="s">
        <v>739</v>
      </c>
      <c r="E42" s="185">
        <v>110</v>
      </c>
      <c r="F42" s="229" t="s">
        <v>414</v>
      </c>
      <c r="G42" s="184"/>
      <c r="H42" s="184"/>
      <c r="I42" s="127"/>
      <c r="J42" s="163"/>
      <c r="K42" s="127"/>
      <c r="L42" s="127"/>
      <c r="M42" s="127"/>
      <c r="N42" s="127"/>
      <c r="O42" s="127"/>
      <c r="P42" s="127"/>
      <c r="Q42" s="159"/>
      <c r="R42" s="365"/>
    </row>
    <row r="43" spans="1:18" ht="14.1" customHeight="1" x14ac:dyDescent="0.3">
      <c r="A43" s="183"/>
      <c r="B43" s="184"/>
      <c r="C43" s="192"/>
      <c r="D43" s="181" t="s">
        <v>466</v>
      </c>
      <c r="E43" s="218">
        <f>IF(CinEsrMax*1000&lt;0,"N/A",CinEsrMax*1000)</f>
        <v>2.8882345503995213</v>
      </c>
      <c r="F43" s="234" t="s">
        <v>115</v>
      </c>
      <c r="G43" s="184"/>
      <c r="H43" s="184"/>
      <c r="I43" s="127"/>
      <c r="J43" s="164"/>
      <c r="K43" s="127"/>
      <c r="L43" s="127"/>
      <c r="M43" s="127"/>
      <c r="N43" s="127"/>
      <c r="O43" s="127"/>
      <c r="P43" s="127"/>
      <c r="Q43" s="159" t="s">
        <v>343</v>
      </c>
      <c r="R43" s="365"/>
    </row>
    <row r="44" spans="1:18" ht="14.1" customHeight="1" x14ac:dyDescent="0.3">
      <c r="A44" s="183"/>
      <c r="B44" s="184"/>
      <c r="C44" s="192"/>
      <c r="D44" s="219" t="s">
        <v>472</v>
      </c>
      <c r="E44" s="185">
        <v>2</v>
      </c>
      <c r="F44" s="229" t="s">
        <v>115</v>
      </c>
      <c r="G44" s="184"/>
      <c r="H44" s="184"/>
      <c r="I44" s="127"/>
      <c r="J44" s="164"/>
      <c r="K44" s="127"/>
      <c r="L44" s="127"/>
      <c r="M44" s="127"/>
      <c r="N44" s="127"/>
      <c r="O44" s="127"/>
      <c r="P44" s="127"/>
      <c r="Q44" s="159"/>
      <c r="R44" s="365"/>
    </row>
    <row r="45" spans="1:18" ht="14.1" customHeight="1" x14ac:dyDescent="0.35">
      <c r="A45" s="183"/>
      <c r="B45" s="184"/>
      <c r="C45" s="192"/>
      <c r="D45" s="181" t="s">
        <v>473</v>
      </c>
      <c r="E45" s="217">
        <f>Vinripple2*1000</f>
        <v>44.068336363636355</v>
      </c>
      <c r="F45" s="234" t="s">
        <v>457</v>
      </c>
      <c r="G45" s="184"/>
      <c r="H45" s="184"/>
      <c r="I45" s="127"/>
      <c r="J45" s="164"/>
      <c r="K45" s="127"/>
      <c r="L45" s="127"/>
      <c r="M45" s="127"/>
      <c r="N45" s="127"/>
      <c r="O45" s="127"/>
      <c r="P45" s="127"/>
      <c r="Q45" s="159"/>
      <c r="R45" s="365"/>
    </row>
    <row r="46" spans="1:18" ht="14.1" customHeight="1" thickBot="1" x14ac:dyDescent="0.35">
      <c r="A46" s="230"/>
      <c r="B46" s="231"/>
      <c r="C46" s="231"/>
      <c r="D46" s="182" t="s">
        <v>474</v>
      </c>
      <c r="E46" s="235">
        <f>Icinrms</f>
        <v>2.4659739962132612</v>
      </c>
      <c r="F46" s="232" t="s">
        <v>282</v>
      </c>
      <c r="G46" s="184"/>
      <c r="H46" s="184"/>
      <c r="I46" s="127"/>
      <c r="J46" s="127"/>
      <c r="K46" s="127"/>
      <c r="L46" s="127"/>
      <c r="M46" s="127"/>
      <c r="N46" s="127"/>
      <c r="O46" s="127"/>
      <c r="P46" s="127"/>
      <c r="Q46" s="159"/>
      <c r="R46" s="365"/>
    </row>
    <row r="47" spans="1:18" ht="14.1" customHeight="1" x14ac:dyDescent="0.3">
      <c r="A47" s="183"/>
      <c r="B47" s="184"/>
      <c r="C47" s="184"/>
      <c r="D47" s="181"/>
      <c r="E47" s="184"/>
      <c r="F47" s="184"/>
      <c r="G47" s="184"/>
      <c r="H47" s="184"/>
      <c r="I47" s="127"/>
      <c r="J47" s="127"/>
      <c r="K47" s="127"/>
      <c r="L47" s="127"/>
      <c r="M47" s="127"/>
      <c r="N47" s="127"/>
      <c r="O47" s="127"/>
      <c r="P47" s="127"/>
      <c r="Q47" s="159"/>
      <c r="R47" s="365"/>
    </row>
    <row r="48" spans="1:18" ht="18" thickBot="1" x14ac:dyDescent="0.35">
      <c r="A48" s="214" t="s">
        <v>613</v>
      </c>
      <c r="B48" s="191"/>
      <c r="C48" s="184"/>
      <c r="D48" s="181"/>
      <c r="E48" s="184"/>
      <c r="F48" s="184"/>
      <c r="G48" s="184"/>
      <c r="H48" s="196"/>
      <c r="I48" s="170"/>
      <c r="J48" s="170"/>
      <c r="K48" s="170"/>
      <c r="L48" s="170"/>
      <c r="M48" s="170"/>
      <c r="N48" s="127"/>
      <c r="O48" s="127"/>
      <c r="P48" s="127"/>
      <c r="Q48" s="159"/>
      <c r="R48" s="365"/>
    </row>
    <row r="49" spans="1:35" ht="14.1" customHeight="1" x14ac:dyDescent="0.35">
      <c r="A49" s="271"/>
      <c r="B49" s="224"/>
      <c r="C49" s="224"/>
      <c r="D49" s="239" t="s">
        <v>616</v>
      </c>
      <c r="E49" s="227">
        <v>8</v>
      </c>
      <c r="F49" s="228" t="s">
        <v>291</v>
      </c>
      <c r="G49" s="184"/>
      <c r="H49" s="194"/>
      <c r="I49" s="170"/>
      <c r="J49" s="170"/>
      <c r="K49" s="170"/>
      <c r="L49" s="170"/>
      <c r="M49" s="170"/>
      <c r="N49" s="127"/>
      <c r="O49" s="127"/>
      <c r="P49" s="127"/>
      <c r="Q49" s="159"/>
      <c r="R49" s="365"/>
    </row>
    <row r="50" spans="1:35" ht="14.1" customHeight="1" x14ac:dyDescent="0.35">
      <c r="A50" s="183"/>
      <c r="B50" s="184"/>
      <c r="C50" s="184"/>
      <c r="D50" s="181" t="s">
        <v>617</v>
      </c>
      <c r="E50" s="218">
        <f>Css_u*1000000000</f>
        <v>100</v>
      </c>
      <c r="F50" s="234" t="s">
        <v>278</v>
      </c>
      <c r="G50" s="184"/>
      <c r="H50" s="194"/>
      <c r="I50" s="170"/>
      <c r="J50" s="170"/>
      <c r="K50" s="170"/>
      <c r="L50" s="170"/>
      <c r="M50" s="170"/>
      <c r="N50" s="127"/>
      <c r="O50" s="127"/>
      <c r="P50" s="127"/>
      <c r="Q50" s="159"/>
      <c r="R50" s="365"/>
    </row>
    <row r="51" spans="1:35" ht="14.1" customHeight="1" x14ac:dyDescent="0.3">
      <c r="A51" s="183"/>
      <c r="B51" s="184"/>
      <c r="C51" s="192"/>
      <c r="D51" s="180" t="s">
        <v>614</v>
      </c>
      <c r="E51" s="308">
        <v>8.33</v>
      </c>
      <c r="F51" s="229" t="s">
        <v>0</v>
      </c>
      <c r="G51" s="184"/>
      <c r="H51" s="184"/>
      <c r="I51" s="127"/>
      <c r="J51" s="125"/>
      <c r="K51" s="179"/>
      <c r="L51" s="127"/>
      <c r="M51" s="170"/>
      <c r="N51" s="127"/>
      <c r="O51" s="127"/>
      <c r="P51" s="127"/>
      <c r="Q51" s="159"/>
      <c r="R51" s="365"/>
    </row>
    <row r="52" spans="1:35" ht="14.1" customHeight="1" x14ac:dyDescent="0.3">
      <c r="A52" s="183"/>
      <c r="B52" s="184"/>
      <c r="C52" s="192"/>
      <c r="D52" s="180" t="s">
        <v>615</v>
      </c>
      <c r="E52" s="308">
        <v>7.58</v>
      </c>
      <c r="F52" s="229" t="s">
        <v>0</v>
      </c>
      <c r="G52" s="184"/>
      <c r="H52" s="184"/>
      <c r="I52" s="127"/>
      <c r="J52" s="125"/>
      <c r="K52" s="179"/>
      <c r="L52" s="127"/>
      <c r="M52" s="170"/>
      <c r="N52" s="127"/>
      <c r="O52" s="127"/>
      <c r="P52" s="127"/>
      <c r="Q52" s="159"/>
      <c r="R52" s="365"/>
    </row>
    <row r="53" spans="1:35" ht="14.1" customHeight="1" x14ac:dyDescent="0.35">
      <c r="A53" s="183"/>
      <c r="B53" s="184"/>
      <c r="C53" s="184"/>
      <c r="D53" s="181" t="s">
        <v>597</v>
      </c>
      <c r="E53" s="181">
        <f>'Variable Management'!F97</f>
        <v>75</v>
      </c>
      <c r="F53" s="234" t="s">
        <v>116</v>
      </c>
      <c r="G53" s="184"/>
      <c r="H53" s="184"/>
      <c r="I53" s="127"/>
      <c r="J53" s="125"/>
      <c r="K53" s="179"/>
      <c r="L53" s="127"/>
      <c r="M53" s="170"/>
      <c r="N53" s="127"/>
      <c r="O53" s="127"/>
      <c r="P53" s="127"/>
      <c r="Q53" s="159"/>
      <c r="R53" s="365"/>
    </row>
    <row r="54" spans="1:35" ht="14.1" customHeight="1" thickBot="1" x14ac:dyDescent="0.4">
      <c r="A54" s="230"/>
      <c r="B54" s="231"/>
      <c r="C54" s="231"/>
      <c r="D54" s="182" t="s">
        <v>598</v>
      </c>
      <c r="E54" s="182">
        <f>'Variable Management'!F98</f>
        <v>12.700000000000001</v>
      </c>
      <c r="F54" s="232" t="s">
        <v>116</v>
      </c>
      <c r="G54" s="184"/>
      <c r="H54" s="184"/>
      <c r="I54" s="127"/>
      <c r="J54" s="125"/>
      <c r="K54" s="179"/>
      <c r="L54" s="127"/>
      <c r="M54" s="170"/>
      <c r="N54" s="127"/>
      <c r="O54" s="127"/>
      <c r="P54" s="127"/>
      <c r="Q54" s="159"/>
      <c r="R54" s="365"/>
    </row>
    <row r="55" spans="1:35" ht="14.1" customHeight="1" x14ac:dyDescent="0.3">
      <c r="A55" s="183" t="s">
        <v>734</v>
      </c>
      <c r="B55" s="184"/>
      <c r="C55" s="184"/>
      <c r="D55" s="181"/>
      <c r="E55" s="197"/>
      <c r="F55" s="184"/>
      <c r="G55" s="184"/>
      <c r="H55" s="184"/>
      <c r="I55" s="127"/>
      <c r="J55" s="125"/>
      <c r="K55" s="179"/>
      <c r="L55" s="127"/>
      <c r="M55" s="170"/>
      <c r="N55" s="127"/>
      <c r="O55" s="127"/>
      <c r="P55" s="127"/>
      <c r="Q55" s="159"/>
      <c r="R55" s="365"/>
    </row>
    <row r="56" spans="1:35" ht="14.1" customHeight="1" x14ac:dyDescent="0.3">
      <c r="A56" s="272" t="s">
        <v>735</v>
      </c>
      <c r="B56" s="170"/>
      <c r="C56" s="170"/>
      <c r="D56" s="170"/>
      <c r="E56" s="170"/>
      <c r="F56" s="170"/>
      <c r="G56" s="184"/>
      <c r="H56" s="184"/>
      <c r="I56" s="127"/>
      <c r="J56" s="125"/>
      <c r="K56" s="179"/>
      <c r="L56" s="127"/>
      <c r="M56" s="170"/>
      <c r="N56" s="127"/>
      <c r="O56" s="127"/>
      <c r="P56" s="127"/>
      <c r="Q56" s="159"/>
      <c r="R56" s="365"/>
    </row>
    <row r="57" spans="1:35" ht="14.1" customHeight="1" x14ac:dyDescent="0.3">
      <c r="A57" s="277"/>
      <c r="B57" s="184"/>
      <c r="C57" s="184"/>
      <c r="D57" s="181"/>
      <c r="E57" s="197"/>
      <c r="F57" s="184"/>
      <c r="G57" s="184"/>
      <c r="H57" s="184"/>
      <c r="I57" s="127"/>
      <c r="J57" s="125"/>
      <c r="K57" s="179"/>
      <c r="L57" s="127"/>
      <c r="M57" s="170"/>
      <c r="N57" s="127"/>
      <c r="O57" s="127"/>
      <c r="P57" s="127"/>
      <c r="Q57" s="159"/>
      <c r="R57" s="365"/>
    </row>
    <row r="58" spans="1:35" ht="24.9" customHeight="1" thickBot="1" x14ac:dyDescent="0.35">
      <c r="A58" s="270" t="s">
        <v>459</v>
      </c>
      <c r="B58" s="199"/>
      <c r="C58" s="192"/>
      <c r="D58" s="192"/>
      <c r="E58" s="193"/>
      <c r="F58" s="192"/>
      <c r="G58" s="184"/>
      <c r="H58" s="184"/>
      <c r="I58" s="127"/>
      <c r="J58" s="127"/>
      <c r="K58" s="127"/>
      <c r="L58" s="127"/>
      <c r="M58" s="127"/>
      <c r="N58" s="127"/>
      <c r="O58" s="127"/>
      <c r="P58" s="127"/>
      <c r="Q58" s="159"/>
      <c r="R58" s="366"/>
      <c r="S58" s="85"/>
      <c r="T58" s="85"/>
      <c r="W58" s="85"/>
      <c r="X58" s="85"/>
      <c r="Y58" s="85"/>
      <c r="AB58" s="85"/>
      <c r="AC58" s="85"/>
      <c r="AD58" s="85"/>
      <c r="AG58" s="85"/>
      <c r="AH58" s="85"/>
      <c r="AI58" s="85"/>
    </row>
    <row r="59" spans="1:35" ht="14.1" customHeight="1" x14ac:dyDescent="0.3">
      <c r="A59" s="271"/>
      <c r="B59" s="224"/>
      <c r="C59" s="225"/>
      <c r="D59" s="225" t="s">
        <v>475</v>
      </c>
      <c r="E59" s="241">
        <f>Fo/1000</f>
        <v>4.3678422842539053</v>
      </c>
      <c r="F59" s="233" t="s">
        <v>3</v>
      </c>
      <c r="G59" s="184"/>
      <c r="H59" s="184"/>
      <c r="I59" s="127"/>
      <c r="J59" s="127"/>
      <c r="K59" s="127"/>
      <c r="L59" s="127"/>
      <c r="M59" s="127"/>
      <c r="N59" s="127"/>
      <c r="O59" s="127"/>
      <c r="P59" s="127"/>
      <c r="Q59" s="159"/>
      <c r="R59" s="366"/>
      <c r="S59" s="85"/>
      <c r="T59" s="85"/>
      <c r="W59" s="85"/>
      <c r="X59" s="85"/>
      <c r="Y59" s="85"/>
      <c r="AB59" s="85"/>
      <c r="AC59" s="85"/>
      <c r="AD59" s="85"/>
      <c r="AG59" s="85"/>
      <c r="AH59" s="85"/>
      <c r="AI59" s="85"/>
    </row>
    <row r="60" spans="1:35" ht="14.1" customHeight="1" x14ac:dyDescent="0.3">
      <c r="A60" s="183"/>
      <c r="B60" s="184"/>
      <c r="C60" s="181"/>
      <c r="D60" s="181" t="s">
        <v>476</v>
      </c>
      <c r="E60" s="217">
        <f>Fesr/1000</f>
        <v>120.5719267225427</v>
      </c>
      <c r="F60" s="234" t="s">
        <v>3</v>
      </c>
      <c r="G60" s="184"/>
      <c r="H60" s="184"/>
      <c r="I60" s="127"/>
      <c r="J60" s="127"/>
      <c r="K60" s="127"/>
      <c r="L60" s="127"/>
      <c r="M60" s="127"/>
      <c r="N60" s="127"/>
      <c r="O60" s="127"/>
      <c r="P60" s="127"/>
      <c r="Q60" s="159"/>
      <c r="R60" s="366"/>
      <c r="S60" s="85"/>
      <c r="T60" s="85"/>
      <c r="W60" s="85"/>
      <c r="X60" s="85"/>
      <c r="Y60" s="85"/>
      <c r="AB60" s="85"/>
      <c r="AC60" s="85"/>
      <c r="AD60" s="85"/>
      <c r="AG60" s="85"/>
      <c r="AH60" s="85"/>
      <c r="AI60" s="85"/>
    </row>
    <row r="61" spans="1:35" ht="14.1" customHeight="1" x14ac:dyDescent="0.3">
      <c r="A61" s="183"/>
      <c r="B61" s="184"/>
      <c r="C61" s="181"/>
      <c r="D61" s="180" t="s">
        <v>485</v>
      </c>
      <c r="E61" s="220">
        <v>30</v>
      </c>
      <c r="F61" s="405" t="s">
        <v>612</v>
      </c>
      <c r="G61" s="184"/>
      <c r="H61" s="184"/>
      <c r="I61" s="127"/>
      <c r="J61" s="127"/>
      <c r="K61" s="127"/>
      <c r="L61" s="127"/>
      <c r="M61" s="127"/>
      <c r="N61" s="127"/>
      <c r="O61" s="127"/>
      <c r="P61" s="127"/>
      <c r="Q61" s="159"/>
      <c r="R61" s="366"/>
      <c r="S61" s="85"/>
      <c r="T61" s="85"/>
      <c r="W61" s="85"/>
      <c r="X61" s="85"/>
      <c r="Y61" s="85"/>
      <c r="AB61" s="85"/>
      <c r="AC61" s="85"/>
      <c r="AD61" s="85"/>
      <c r="AG61" s="85"/>
      <c r="AH61" s="85"/>
      <c r="AI61" s="85"/>
    </row>
    <row r="62" spans="1:35" ht="14.1" customHeight="1" x14ac:dyDescent="0.3">
      <c r="A62" s="183"/>
      <c r="B62" s="184"/>
      <c r="C62" s="181"/>
      <c r="D62" s="181" t="s">
        <v>477</v>
      </c>
      <c r="E62" s="215">
        <f>Kmidband</f>
        <v>0.45789199102037415</v>
      </c>
      <c r="F62" s="234" t="s">
        <v>49</v>
      </c>
      <c r="G62" s="184"/>
      <c r="H62" s="184"/>
      <c r="I62" s="127"/>
      <c r="J62" s="127"/>
      <c r="K62" s="127"/>
      <c r="L62" s="127"/>
      <c r="M62" s="127"/>
      <c r="N62" s="127"/>
      <c r="O62" s="127"/>
      <c r="P62" s="127"/>
      <c r="Q62" s="159"/>
      <c r="R62" s="366"/>
      <c r="S62" s="85"/>
      <c r="T62" s="85"/>
      <c r="W62" s="85"/>
      <c r="X62" s="85"/>
      <c r="Y62" s="85"/>
      <c r="AB62" s="85"/>
      <c r="AC62" s="85"/>
      <c r="AD62" s="85"/>
      <c r="AG62" s="85"/>
      <c r="AH62" s="85"/>
      <c r="AI62" s="85"/>
    </row>
    <row r="63" spans="1:35" ht="15.9" customHeight="1" x14ac:dyDescent="0.35">
      <c r="A63" s="183"/>
      <c r="B63" s="184"/>
      <c r="C63" s="181"/>
      <c r="D63" s="180" t="s">
        <v>599</v>
      </c>
      <c r="E63" s="221">
        <v>18</v>
      </c>
      <c r="F63" s="229" t="s">
        <v>116</v>
      </c>
      <c r="G63" s="184"/>
      <c r="H63" s="184"/>
      <c r="I63" s="127"/>
      <c r="J63" s="127"/>
      <c r="K63" s="127"/>
      <c r="L63" s="127"/>
      <c r="M63" s="127"/>
      <c r="N63" s="127"/>
      <c r="O63" s="127"/>
      <c r="P63" s="127"/>
      <c r="Q63" s="159"/>
      <c r="R63" s="366"/>
      <c r="S63" s="85"/>
      <c r="T63" s="85"/>
      <c r="W63" s="85"/>
      <c r="X63" s="85"/>
      <c r="Y63" s="85"/>
      <c r="AB63" s="85"/>
      <c r="AC63" s="85"/>
      <c r="AD63" s="85"/>
      <c r="AG63" s="85"/>
      <c r="AH63" s="85"/>
      <c r="AI63" s="85"/>
    </row>
    <row r="64" spans="1:35" ht="15.9" customHeight="1" x14ac:dyDescent="0.35">
      <c r="A64" s="382"/>
      <c r="B64" s="184"/>
      <c r="C64" s="181"/>
      <c r="D64" s="181" t="s">
        <v>600</v>
      </c>
      <c r="E64" s="181">
        <f>IF(Vout=Vref,"OPEN",Rfb2_u/1000)</f>
        <v>3.32</v>
      </c>
      <c r="F64" s="234" t="str">
        <f>IF(Vout=Vref,"","kΩ")</f>
        <v>kΩ</v>
      </c>
      <c r="G64" s="184"/>
      <c r="H64" s="184"/>
      <c r="I64" s="127"/>
      <c r="J64" s="127"/>
      <c r="K64" s="127"/>
      <c r="L64" s="127"/>
      <c r="M64" s="127"/>
      <c r="N64" s="127"/>
      <c r="O64" s="127"/>
      <c r="P64" s="127"/>
      <c r="Q64" s="159"/>
      <c r="R64" s="366"/>
      <c r="S64" s="85"/>
      <c r="T64" s="85"/>
      <c r="W64" s="85"/>
      <c r="X64" s="85"/>
      <c r="Y64" s="85"/>
      <c r="AB64" s="85"/>
      <c r="AC64" s="85"/>
      <c r="AD64" s="85"/>
      <c r="AG64" s="85"/>
      <c r="AH64" s="85"/>
      <c r="AI64" s="85"/>
    </row>
    <row r="65" spans="1:35" ht="15.9" customHeight="1" thickBot="1" x14ac:dyDescent="0.4">
      <c r="A65" s="230"/>
      <c r="B65" s="280"/>
      <c r="C65" s="280"/>
      <c r="D65" s="399" t="s">
        <v>707</v>
      </c>
      <c r="E65" s="490">
        <f>'Variable Management'!B129</f>
        <v>5.1373493975903619</v>
      </c>
      <c r="F65" s="257" t="s">
        <v>0</v>
      </c>
      <c r="G65" s="184"/>
      <c r="H65" s="184"/>
      <c r="I65" s="127"/>
      <c r="J65" s="127"/>
      <c r="K65" s="127"/>
      <c r="L65" s="127"/>
      <c r="M65" s="127"/>
      <c r="N65" s="127"/>
      <c r="O65" s="127"/>
      <c r="P65" s="127"/>
      <c r="Q65" s="159"/>
      <c r="R65" s="366"/>
      <c r="S65" s="85"/>
      <c r="T65" s="85"/>
      <c r="W65" s="85"/>
      <c r="X65" s="85"/>
      <c r="Y65" s="85"/>
      <c r="AB65" s="85"/>
      <c r="AC65" s="85"/>
      <c r="AD65" s="85"/>
      <c r="AG65" s="85"/>
      <c r="AH65" s="85"/>
      <c r="AI65" s="85"/>
    </row>
    <row r="66" spans="1:35" ht="14.4" thickBot="1" x14ac:dyDescent="0.35">
      <c r="A66" s="183"/>
      <c r="B66" s="184"/>
      <c r="C66" s="181"/>
      <c r="D66" s="200"/>
      <c r="E66" s="201"/>
      <c r="F66" s="202"/>
      <c r="G66" s="184"/>
      <c r="H66" s="184"/>
      <c r="I66" s="127"/>
      <c r="J66" s="127"/>
      <c r="K66" s="127"/>
      <c r="L66" s="127"/>
      <c r="M66" s="127"/>
      <c r="N66" s="127"/>
      <c r="O66" s="127"/>
      <c r="P66" s="127"/>
      <c r="Q66" s="159"/>
      <c r="R66" s="366"/>
      <c r="S66" s="85"/>
      <c r="T66" s="85"/>
      <c r="W66" s="85"/>
      <c r="X66" s="85"/>
      <c r="Y66" s="85"/>
      <c r="AB66" s="85"/>
      <c r="AC66" s="85"/>
      <c r="AD66" s="85"/>
      <c r="AG66" s="85"/>
      <c r="AH66" s="85"/>
      <c r="AI66" s="85"/>
    </row>
    <row r="67" spans="1:35" ht="15.9" customHeight="1" x14ac:dyDescent="0.3">
      <c r="A67" s="348" t="s">
        <v>736</v>
      </c>
      <c r="B67" s="278"/>
      <c r="C67" s="278"/>
      <c r="D67" s="281" t="s">
        <v>537</v>
      </c>
      <c r="E67" s="282">
        <v>9</v>
      </c>
      <c r="F67" s="284" t="str">
        <f>"      kHz  "</f>
        <v xml:space="preserve">      kHz  </v>
      </c>
      <c r="G67" s="204"/>
      <c r="H67" s="205"/>
      <c r="I67" s="127"/>
      <c r="J67" s="127"/>
      <c r="K67" s="127"/>
      <c r="L67" s="127"/>
      <c r="M67" s="127"/>
      <c r="N67" s="127"/>
      <c r="O67" s="127"/>
      <c r="P67" s="127"/>
      <c r="Q67" s="159"/>
      <c r="R67" s="366"/>
      <c r="S67" s="85"/>
      <c r="T67" s="85"/>
      <c r="W67" s="85"/>
      <c r="X67" s="85"/>
      <c r="Y67" s="85"/>
      <c r="AB67" s="85"/>
      <c r="AC67" s="85"/>
      <c r="AD67" s="85"/>
      <c r="AG67" s="85"/>
      <c r="AH67" s="85"/>
      <c r="AI67" s="85"/>
    </row>
    <row r="68" spans="1:35" ht="15.9" customHeight="1" x14ac:dyDescent="0.3">
      <c r="A68" s="355" t="str">
        <f>" Baseline P/Z Frequencies:"</f>
        <v xml:space="preserve"> Baseline P/Z Frequencies:</v>
      </c>
      <c r="B68" s="170"/>
      <c r="C68" s="170"/>
      <c r="D68" s="203" t="s">
        <v>538</v>
      </c>
      <c r="E68" s="222">
        <f>Fo/1000*0.9</f>
        <v>3.9310580558285149</v>
      </c>
      <c r="F68" s="240" t="str">
        <f>"      kHz"</f>
        <v xml:space="preserve">      kHz</v>
      </c>
      <c r="G68" s="204"/>
      <c r="H68" s="205"/>
      <c r="I68" s="127"/>
      <c r="J68" s="127"/>
      <c r="K68" s="127"/>
      <c r="L68" s="127"/>
      <c r="M68" s="127"/>
      <c r="N68" s="127"/>
      <c r="O68" s="127"/>
      <c r="P68" s="127"/>
      <c r="Q68" s="159"/>
      <c r="R68" s="366"/>
      <c r="S68" s="85"/>
      <c r="T68" s="85"/>
      <c r="W68" s="85"/>
      <c r="X68" s="85"/>
      <c r="Y68" s="85"/>
      <c r="AB68" s="85"/>
      <c r="AC68" s="85"/>
      <c r="AD68" s="85"/>
      <c r="AG68" s="85"/>
      <c r="AH68" s="85"/>
      <c r="AI68" s="85"/>
    </row>
    <row r="69" spans="1:35" ht="15.9" customHeight="1" x14ac:dyDescent="0.3">
      <c r="A69" s="277"/>
      <c r="B69" s="170"/>
      <c r="C69" s="170"/>
      <c r="D69" s="206" t="s">
        <v>535</v>
      </c>
      <c r="E69" s="223">
        <f>Fesr/1000</f>
        <v>120.5719267225427</v>
      </c>
      <c r="F69" s="240" t="str">
        <f>"      kHz"</f>
        <v xml:space="preserve">      kHz</v>
      </c>
      <c r="G69" s="207"/>
      <c r="H69" s="205"/>
      <c r="I69" s="127"/>
      <c r="J69" s="127"/>
      <c r="K69" s="127"/>
      <c r="L69" s="127"/>
      <c r="M69" s="127"/>
      <c r="N69" s="127"/>
      <c r="O69" s="127"/>
      <c r="P69" s="127"/>
      <c r="Q69" s="159"/>
      <c r="R69" s="366"/>
      <c r="S69" s="85"/>
      <c r="T69" s="85"/>
      <c r="W69" s="85"/>
      <c r="X69" s="85"/>
      <c r="Y69" s="85"/>
      <c r="AB69" s="85"/>
      <c r="AC69" s="85"/>
      <c r="AD69" s="85"/>
      <c r="AG69" s="85"/>
      <c r="AH69" s="85"/>
      <c r="AI69" s="85"/>
    </row>
    <row r="70" spans="1:35" ht="15.9" customHeight="1" thickBot="1" x14ac:dyDescent="0.35">
      <c r="A70" s="279"/>
      <c r="B70" s="280"/>
      <c r="C70" s="280"/>
      <c r="D70" s="267" t="s">
        <v>536</v>
      </c>
      <c r="E70" s="268">
        <f>Fsw/2000</f>
        <v>150</v>
      </c>
      <c r="F70" s="269" t="str">
        <f>"      kHz"</f>
        <v xml:space="preserve">      kHz</v>
      </c>
      <c r="G70" s="207"/>
      <c r="H70" s="205"/>
      <c r="I70" s="127"/>
      <c r="J70" s="127"/>
      <c r="K70" s="127"/>
      <c r="L70" s="127"/>
      <c r="M70" s="127"/>
      <c r="N70" s="127"/>
      <c r="O70" s="127"/>
      <c r="P70" s="127"/>
      <c r="Q70" s="159"/>
      <c r="R70" s="366"/>
      <c r="S70" s="85"/>
      <c r="T70" s="85"/>
      <c r="W70" s="85"/>
      <c r="X70" s="85"/>
      <c r="Y70" s="85"/>
      <c r="AB70" s="85"/>
      <c r="AC70" s="85"/>
      <c r="AD70" s="85"/>
      <c r="AG70" s="85"/>
      <c r="AH70" s="85"/>
      <c r="AI70" s="85"/>
    </row>
    <row r="71" spans="1:35" ht="15.75" customHeight="1" x14ac:dyDescent="0.3">
      <c r="A71" s="273"/>
      <c r="B71" s="208"/>
      <c r="C71" s="209"/>
      <c r="D71" s="194"/>
      <c r="E71" s="194"/>
      <c r="F71" s="194"/>
      <c r="G71" s="207"/>
      <c r="H71" s="205"/>
      <c r="I71" s="127"/>
      <c r="J71" s="127"/>
      <c r="K71" s="127"/>
      <c r="L71" s="127"/>
      <c r="M71" s="127"/>
      <c r="N71" s="127"/>
      <c r="O71" s="127"/>
      <c r="P71" s="127"/>
      <c r="Q71" s="159"/>
      <c r="R71" s="366"/>
      <c r="S71" s="85"/>
      <c r="T71" s="85"/>
      <c r="W71" s="85"/>
      <c r="X71" s="85"/>
      <c r="Y71" s="85"/>
      <c r="AB71" s="85"/>
      <c r="AC71" s="85"/>
      <c r="AD71" s="85"/>
      <c r="AG71" s="85"/>
      <c r="AH71" s="85"/>
      <c r="AI71" s="85"/>
    </row>
    <row r="72" spans="1:35" ht="18" customHeight="1" x14ac:dyDescent="0.3">
      <c r="A72" s="195" t="s">
        <v>444</v>
      </c>
      <c r="B72" s="210"/>
      <c r="C72" s="181"/>
      <c r="D72" s="200"/>
      <c r="E72" s="201"/>
      <c r="F72" s="202"/>
      <c r="G72" s="211"/>
      <c r="H72" s="184"/>
      <c r="I72" s="127"/>
      <c r="J72" s="127"/>
      <c r="K72" s="127"/>
      <c r="L72" s="127"/>
      <c r="M72" s="127"/>
      <c r="N72" s="127"/>
      <c r="O72" s="127"/>
      <c r="P72" s="127"/>
      <c r="Q72" s="159"/>
      <c r="R72" s="366"/>
      <c r="S72" s="285"/>
      <c r="T72" s="285"/>
      <c r="U72" s="286"/>
      <c r="V72" s="286"/>
      <c r="W72" s="285"/>
      <c r="X72" s="285"/>
      <c r="Y72" s="285"/>
      <c r="Z72" s="286"/>
      <c r="AA72" s="286"/>
      <c r="AB72" s="285"/>
      <c r="AC72" s="285"/>
      <c r="AD72" s="285"/>
      <c r="AE72" s="286"/>
      <c r="AF72" s="286"/>
      <c r="AG72" s="85"/>
      <c r="AH72" s="85"/>
      <c r="AI72" s="85"/>
    </row>
    <row r="73" spans="1:35" s="298" customFormat="1" ht="13.5" customHeight="1" thickBot="1" x14ac:dyDescent="0.35">
      <c r="A73" s="300"/>
      <c r="B73" s="301" t="s">
        <v>460</v>
      </c>
      <c r="C73" s="304" t="s">
        <v>443</v>
      </c>
      <c r="D73" s="302" t="str">
        <f>"    Selected"</f>
        <v xml:space="preserve">    Selected</v>
      </c>
      <c r="E73" s="303"/>
      <c r="F73" s="514" t="s">
        <v>445</v>
      </c>
      <c r="G73" s="514"/>
      <c r="H73" s="514"/>
      <c r="I73" s="293"/>
      <c r="J73" s="293"/>
      <c r="K73" s="293"/>
      <c r="L73" s="293"/>
      <c r="M73" s="293"/>
      <c r="N73" s="293"/>
      <c r="O73" s="293"/>
      <c r="P73" s="293"/>
      <c r="Q73" s="294"/>
      <c r="R73" s="367"/>
      <c r="S73" s="295"/>
      <c r="T73" s="295"/>
      <c r="U73" s="296"/>
      <c r="V73" s="296"/>
      <c r="W73" s="295"/>
      <c r="X73" s="295"/>
      <c r="Y73" s="295"/>
      <c r="Z73" s="296"/>
      <c r="AA73" s="296"/>
      <c r="AB73" s="295"/>
      <c r="AC73" s="295"/>
      <c r="AD73" s="295"/>
      <c r="AE73" s="296"/>
      <c r="AF73" s="296"/>
      <c r="AG73" s="297"/>
      <c r="AH73" s="297"/>
      <c r="AI73" s="297"/>
    </row>
    <row r="74" spans="1:35" ht="15.6" x14ac:dyDescent="0.35">
      <c r="A74" s="248" t="s">
        <v>448</v>
      </c>
      <c r="B74" s="264">
        <f>Rcea1/1000</f>
        <v>8.2420558383667348</v>
      </c>
      <c r="C74" s="242">
        <f>'Standard Value Calculator'!S27</f>
        <v>8.25</v>
      </c>
      <c r="D74" s="243">
        <v>5.6</v>
      </c>
      <c r="E74" s="244" t="s">
        <v>116</v>
      </c>
      <c r="F74" s="246">
        <f>Fz1_u/1000</f>
        <v>6.0469203371487987</v>
      </c>
      <c r="G74" s="263" t="s">
        <v>449</v>
      </c>
      <c r="H74" s="194"/>
      <c r="I74" s="127"/>
      <c r="J74" s="127"/>
      <c r="K74" s="127"/>
      <c r="L74" s="127"/>
      <c r="M74" s="127"/>
      <c r="N74" s="127"/>
      <c r="O74" s="127"/>
      <c r="P74" s="127"/>
      <c r="Q74" s="159"/>
      <c r="R74" s="366"/>
      <c r="S74" s="285"/>
      <c r="T74" s="285"/>
      <c r="U74" s="286"/>
      <c r="V74" s="286"/>
      <c r="W74" s="285"/>
      <c r="X74" s="285"/>
      <c r="Y74" s="285"/>
      <c r="Z74" s="286"/>
      <c r="AA74" s="286"/>
      <c r="AB74" s="285"/>
      <c r="AC74" s="285"/>
      <c r="AD74" s="285"/>
      <c r="AE74" s="286"/>
      <c r="AF74" s="286"/>
      <c r="AG74" s="85"/>
      <c r="AH74" s="85"/>
      <c r="AI74" s="85"/>
    </row>
    <row r="75" spans="1:35" ht="15.6" x14ac:dyDescent="0.35">
      <c r="A75" s="249" t="s">
        <v>450</v>
      </c>
      <c r="B75" s="265">
        <f>Cc1ea*1000000000000</f>
        <v>2145.5669474664965</v>
      </c>
      <c r="C75" s="205">
        <f>'Standard Value Calculator'!S28</f>
        <v>2200</v>
      </c>
      <c r="D75" s="212">
        <v>4700</v>
      </c>
      <c r="E75" s="245" t="s">
        <v>53</v>
      </c>
      <c r="F75" s="247">
        <f>Fz2_u/1000</f>
        <v>3.8894169910497651</v>
      </c>
      <c r="G75" s="240" t="s">
        <v>451</v>
      </c>
      <c r="H75" s="194"/>
      <c r="I75" s="127"/>
      <c r="J75" s="127"/>
      <c r="K75" s="127"/>
      <c r="L75" s="127"/>
      <c r="M75" s="127"/>
      <c r="N75" s="127"/>
      <c r="O75" s="127"/>
      <c r="P75" s="127"/>
      <c r="Q75" s="159"/>
      <c r="R75" s="366"/>
      <c r="S75" s="285"/>
      <c r="T75" s="285"/>
      <c r="U75" s="286"/>
      <c r="V75" s="286"/>
      <c r="W75" s="285"/>
      <c r="X75" s="285"/>
      <c r="Y75" s="285"/>
      <c r="Z75" s="286"/>
      <c r="AA75" s="286"/>
      <c r="AB75" s="285"/>
      <c r="AC75" s="285"/>
      <c r="AD75" s="285"/>
      <c r="AE75" s="286"/>
      <c r="AF75" s="286"/>
      <c r="AG75" s="85"/>
      <c r="AH75" s="85"/>
      <c r="AI75" s="85"/>
    </row>
    <row r="76" spans="1:35" ht="15.6" x14ac:dyDescent="0.35">
      <c r="A76" s="249" t="s">
        <v>452</v>
      </c>
      <c r="B76" s="265">
        <f>Cc2ea*1000000000000</f>
        <v>136.95108175318066</v>
      </c>
      <c r="C76" s="205">
        <f>'Standard Value Calculator'!S29</f>
        <v>150</v>
      </c>
      <c r="D76" s="212">
        <v>150</v>
      </c>
      <c r="E76" s="245" t="s">
        <v>53</v>
      </c>
      <c r="F76" s="423">
        <f>Fp1_u/1000</f>
        <v>120.57192672254273</v>
      </c>
      <c r="G76" s="240" t="s">
        <v>453</v>
      </c>
      <c r="H76" s="194"/>
      <c r="I76" s="127"/>
      <c r="J76" s="127"/>
      <c r="K76" s="127"/>
      <c r="L76" s="127"/>
      <c r="M76" s="127"/>
      <c r="N76" s="127"/>
      <c r="O76" s="127"/>
      <c r="P76" s="127"/>
      <c r="Q76" s="159"/>
      <c r="R76" s="366"/>
      <c r="S76" s="285"/>
      <c r="T76" s="285"/>
      <c r="U76" s="286"/>
      <c r="V76" s="286"/>
      <c r="W76" s="285"/>
      <c r="X76" s="285"/>
      <c r="Y76" s="285"/>
      <c r="Z76" s="286"/>
      <c r="AA76" s="286"/>
      <c r="AB76" s="285"/>
      <c r="AC76" s="285"/>
      <c r="AD76" s="285"/>
      <c r="AE76" s="286"/>
      <c r="AF76" s="286"/>
      <c r="AG76" s="85"/>
      <c r="AH76" s="85"/>
      <c r="AI76" s="85"/>
    </row>
    <row r="77" spans="1:35" ht="16.2" customHeight="1" x14ac:dyDescent="0.35">
      <c r="A77" s="249" t="s">
        <v>454</v>
      </c>
      <c r="B77" s="265">
        <f>Rcea2</f>
        <v>606.64024379909131</v>
      </c>
      <c r="C77" s="205">
        <f>'Standard Value Calculator'!S30</f>
        <v>604</v>
      </c>
      <c r="D77" s="212">
        <v>600</v>
      </c>
      <c r="E77" s="245" t="s">
        <v>274</v>
      </c>
      <c r="F77" s="423">
        <f>Fp2_u/1000</f>
        <v>195.51709090114446</v>
      </c>
      <c r="G77" s="240" t="s">
        <v>455</v>
      </c>
      <c r="H77" s="194"/>
      <c r="I77" s="127"/>
      <c r="J77" s="127"/>
      <c r="K77" s="127"/>
      <c r="L77" s="127"/>
      <c r="M77" s="127"/>
      <c r="N77" s="127"/>
      <c r="O77" s="127"/>
      <c r="P77" s="127"/>
      <c r="Q77" s="159"/>
      <c r="R77" s="366"/>
      <c r="S77" s="285"/>
      <c r="T77" s="285"/>
      <c r="U77" s="286"/>
      <c r="V77" s="286"/>
      <c r="W77" s="285"/>
      <c r="X77" s="285"/>
      <c r="Y77" s="285"/>
      <c r="Z77" s="286"/>
      <c r="AA77" s="286"/>
      <c r="AB77" s="285"/>
      <c r="AC77" s="285"/>
      <c r="AD77" s="285"/>
      <c r="AE77" s="286"/>
      <c r="AF77" s="286"/>
      <c r="AG77" s="85"/>
      <c r="AH77" s="85"/>
      <c r="AI77" s="85"/>
    </row>
    <row r="78" spans="1:35" ht="15" customHeight="1" thickBot="1" x14ac:dyDescent="0.4">
      <c r="A78" s="274" t="s">
        <v>456</v>
      </c>
      <c r="B78" s="266">
        <f>Cc3ea*1000000000000</f>
        <v>2175.9189461837964</v>
      </c>
      <c r="C78" s="258">
        <f>'Standard Value Calculator'!S31</f>
        <v>2200</v>
      </c>
      <c r="D78" s="259">
        <v>2200</v>
      </c>
      <c r="E78" s="260" t="s">
        <v>53</v>
      </c>
      <c r="F78" s="261"/>
      <c r="G78" s="262"/>
      <c r="H78" s="194"/>
      <c r="I78" s="127"/>
      <c r="J78" s="127"/>
      <c r="K78" s="127"/>
      <c r="L78" s="180" t="s">
        <v>745</v>
      </c>
      <c r="M78" s="185">
        <v>0.4</v>
      </c>
      <c r="N78" s="192" t="s">
        <v>208</v>
      </c>
      <c r="O78" s="127"/>
      <c r="P78" s="127"/>
      <c r="Q78" s="159"/>
      <c r="R78" s="366"/>
      <c r="S78" s="285"/>
      <c r="T78" s="285"/>
      <c r="U78" s="286"/>
      <c r="V78" s="286"/>
      <c r="W78" s="285"/>
      <c r="X78" s="285"/>
      <c r="Y78" s="285"/>
      <c r="Z78" s="286"/>
      <c r="AA78" s="286"/>
      <c r="AB78" s="285"/>
      <c r="AC78" s="285"/>
      <c r="AD78" s="285"/>
      <c r="AE78" s="286"/>
      <c r="AF78" s="286"/>
      <c r="AG78" s="85"/>
      <c r="AH78" s="85"/>
      <c r="AI78" s="85"/>
    </row>
    <row r="79" spans="1:35" ht="14.4" thickBot="1" x14ac:dyDescent="0.35">
      <c r="A79" s="183"/>
      <c r="B79" s="181"/>
      <c r="C79" s="181"/>
      <c r="D79" s="184"/>
      <c r="E79" s="184"/>
      <c r="F79" s="184"/>
      <c r="G79" s="184"/>
      <c r="H79" s="184"/>
      <c r="I79" s="127"/>
      <c r="J79" s="127"/>
      <c r="K79" s="127"/>
      <c r="L79" s="127"/>
      <c r="M79" s="127"/>
      <c r="N79" s="127"/>
      <c r="O79" s="127"/>
      <c r="P79" s="127"/>
      <c r="Q79" s="159"/>
      <c r="R79" s="366"/>
      <c r="S79" s="285"/>
      <c r="T79" s="285"/>
      <c r="U79" s="286"/>
      <c r="V79" s="286"/>
      <c r="W79" s="285"/>
      <c r="X79" s="285"/>
      <c r="Y79" s="285"/>
      <c r="Z79" s="286"/>
      <c r="AA79" s="286"/>
      <c r="AB79" s="285"/>
      <c r="AC79" s="285"/>
      <c r="AD79" s="285"/>
      <c r="AE79" s="286"/>
      <c r="AF79" s="286"/>
      <c r="AG79" s="85"/>
      <c r="AH79" s="85"/>
      <c r="AI79" s="85"/>
    </row>
    <row r="80" spans="1:35" s="130" customFormat="1" ht="18" thickBot="1" x14ac:dyDescent="0.35">
      <c r="A80" s="275" t="s">
        <v>458</v>
      </c>
      <c r="B80" s="198"/>
      <c r="C80" s="213"/>
      <c r="D80" s="213"/>
      <c r="E80" s="213"/>
      <c r="F80" s="213"/>
      <c r="G80" s="213"/>
      <c r="H80" s="213"/>
      <c r="I80" s="128"/>
      <c r="J80" s="128"/>
      <c r="K80" s="128"/>
      <c r="L80" s="128"/>
      <c r="M80" s="128"/>
      <c r="N80" s="128"/>
      <c r="O80" s="128"/>
      <c r="P80" s="128"/>
      <c r="Q80" s="129"/>
      <c r="R80" s="368"/>
      <c r="S80" s="287"/>
      <c r="T80" s="287"/>
      <c r="U80" s="288"/>
      <c r="V80" s="288"/>
      <c r="W80" s="287"/>
      <c r="X80" s="287"/>
      <c r="Y80" s="287"/>
      <c r="Z80" s="288"/>
      <c r="AA80" s="288"/>
      <c r="AB80" s="287"/>
      <c r="AC80" s="287"/>
      <c r="AD80" s="287"/>
      <c r="AE80" s="288"/>
      <c r="AF80" s="288"/>
      <c r="AG80" s="86"/>
      <c r="AH80" s="86"/>
      <c r="AI80" s="86"/>
    </row>
    <row r="81" spans="1:35" x14ac:dyDescent="0.3">
      <c r="A81" s="272"/>
      <c r="B81" s="194"/>
      <c r="C81" s="184"/>
      <c r="D81" s="184"/>
      <c r="E81" s="184"/>
      <c r="F81" s="184"/>
      <c r="G81" s="184"/>
      <c r="H81" s="184"/>
      <c r="I81" s="127"/>
      <c r="J81" s="127"/>
      <c r="K81" s="127"/>
      <c r="L81" s="127"/>
      <c r="M81" s="127"/>
      <c r="N81" s="127"/>
      <c r="O81" s="127"/>
      <c r="P81" s="127"/>
      <c r="Q81" s="159"/>
      <c r="R81" s="366"/>
      <c r="S81" s="285"/>
      <c r="T81" s="285"/>
      <c r="U81" s="286"/>
      <c r="V81" s="286"/>
      <c r="W81" s="285"/>
      <c r="X81" s="285"/>
      <c r="Y81" s="285"/>
      <c r="Z81" s="286"/>
      <c r="AA81" s="286"/>
      <c r="AB81" s="285"/>
      <c r="AC81" s="285"/>
      <c r="AD81" s="285"/>
      <c r="AE81" s="286"/>
      <c r="AF81" s="286"/>
      <c r="AG81" s="85"/>
      <c r="AH81" s="85"/>
      <c r="AI81" s="85"/>
    </row>
    <row r="82" spans="1:35" ht="17.399999999999999" x14ac:dyDescent="0.3">
      <c r="A82" s="214" t="s">
        <v>362</v>
      </c>
      <c r="B82" s="191"/>
      <c r="C82" s="184"/>
      <c r="D82" s="184"/>
      <c r="E82" s="184"/>
      <c r="F82" s="184"/>
      <c r="G82" s="184"/>
      <c r="H82" s="184"/>
      <c r="I82" s="127"/>
      <c r="J82" s="127"/>
      <c r="K82" s="127"/>
      <c r="L82" s="127"/>
      <c r="M82" s="127"/>
      <c r="N82" s="127"/>
      <c r="O82" s="127"/>
      <c r="P82" s="127"/>
      <c r="Q82" s="159"/>
      <c r="R82" s="366"/>
      <c r="S82" s="285"/>
      <c r="T82" s="285"/>
      <c r="U82" s="286"/>
      <c r="V82" s="286"/>
      <c r="W82" s="285"/>
      <c r="X82" s="285"/>
      <c r="Y82" s="285"/>
      <c r="Z82" s="286"/>
      <c r="AA82" s="286"/>
      <c r="AB82" s="285"/>
      <c r="AC82" s="285"/>
      <c r="AD82" s="285"/>
      <c r="AE82" s="286"/>
      <c r="AF82" s="286"/>
      <c r="AG82" s="85"/>
      <c r="AH82" s="85"/>
      <c r="AI82" s="85"/>
    </row>
    <row r="83" spans="1:35" ht="13.5" customHeight="1" thickBot="1" x14ac:dyDescent="0.35">
      <c r="A83" s="183"/>
      <c r="B83" s="184"/>
      <c r="C83" s="184"/>
      <c r="D83" s="184"/>
      <c r="E83" s="184"/>
      <c r="F83" s="184"/>
      <c r="G83" s="184"/>
      <c r="H83" s="184"/>
      <c r="I83" s="127"/>
      <c r="J83" s="127"/>
      <c r="K83" s="127"/>
      <c r="L83" s="127"/>
      <c r="M83" s="127"/>
      <c r="N83" s="127"/>
      <c r="O83" s="127"/>
      <c r="P83" s="127"/>
      <c r="Q83" s="159"/>
      <c r="R83" s="366"/>
      <c r="S83" s="285"/>
      <c r="T83" s="178"/>
      <c r="U83" s="178"/>
      <c r="V83" s="286"/>
      <c r="W83" s="285"/>
      <c r="X83" s="285"/>
      <c r="Y83" s="285"/>
      <c r="Z83" s="286"/>
      <c r="AA83" s="286"/>
      <c r="AB83" s="285"/>
      <c r="AC83" s="285"/>
      <c r="AD83" s="285"/>
      <c r="AE83" s="286"/>
      <c r="AF83" s="286"/>
      <c r="AG83" s="85"/>
      <c r="AH83" s="85"/>
      <c r="AI83" s="85"/>
    </row>
    <row r="84" spans="1:35" ht="18" customHeight="1" x14ac:dyDescent="0.35">
      <c r="A84" s="250"/>
      <c r="B84" s="251"/>
      <c r="C84" s="252"/>
      <c r="D84" s="299" t="s">
        <v>533</v>
      </c>
      <c r="E84" s="353" t="s">
        <v>773</v>
      </c>
      <c r="F84" s="253"/>
      <c r="G84" s="184"/>
      <c r="H84" s="184"/>
      <c r="I84" s="127"/>
      <c r="J84" s="127"/>
      <c r="K84" s="127"/>
      <c r="L84" s="127"/>
      <c r="M84" s="127"/>
      <c r="N84" s="127"/>
      <c r="O84" s="127"/>
      <c r="P84" s="127"/>
      <c r="Q84" s="159"/>
      <c r="R84" s="366"/>
      <c r="S84" s="285"/>
      <c r="T84" s="178"/>
      <c r="U84" s="178"/>
      <c r="V84" s="286"/>
      <c r="W84" s="285"/>
      <c r="X84" s="285"/>
      <c r="Y84" s="285"/>
      <c r="Z84" s="286"/>
      <c r="AA84" s="286"/>
      <c r="AB84" s="285"/>
      <c r="AC84" s="285"/>
      <c r="AD84" s="285"/>
      <c r="AE84" s="286"/>
      <c r="AF84" s="286"/>
      <c r="AG84" s="85"/>
      <c r="AH84" s="85"/>
      <c r="AI84" s="85"/>
    </row>
    <row r="85" spans="1:35" ht="14.4" customHeight="1" x14ac:dyDescent="0.35">
      <c r="A85" s="183"/>
      <c r="B85" s="184"/>
      <c r="C85" s="192"/>
      <c r="D85" s="180" t="s">
        <v>549</v>
      </c>
      <c r="E85" s="185">
        <v>6</v>
      </c>
      <c r="F85" s="234" t="s">
        <v>115</v>
      </c>
      <c r="G85" s="184"/>
      <c r="H85" s="184"/>
      <c r="I85" s="127"/>
      <c r="J85" s="127"/>
      <c r="K85" s="127"/>
      <c r="L85" s="127"/>
      <c r="M85" s="127"/>
      <c r="N85" s="127"/>
      <c r="O85" s="127"/>
      <c r="P85" s="127"/>
      <c r="Q85" s="159"/>
      <c r="R85" s="366"/>
      <c r="S85" s="285"/>
      <c r="T85" s="178"/>
      <c r="U85" s="178"/>
      <c r="V85" s="286"/>
      <c r="W85" s="285"/>
      <c r="X85" s="285"/>
      <c r="Y85" s="285"/>
      <c r="Z85" s="286"/>
      <c r="AA85" s="286"/>
      <c r="AB85" s="285"/>
      <c r="AC85" s="285"/>
      <c r="AD85" s="285"/>
      <c r="AE85" s="286"/>
      <c r="AF85" s="286"/>
      <c r="AG85" s="85"/>
      <c r="AH85" s="85"/>
      <c r="AI85" s="85"/>
    </row>
    <row r="86" spans="1:35" ht="14.4" customHeight="1" x14ac:dyDescent="0.35">
      <c r="A86" s="183"/>
      <c r="B86" s="184"/>
      <c r="C86" s="192"/>
      <c r="D86" s="180" t="s">
        <v>550</v>
      </c>
      <c r="E86" s="185">
        <v>27</v>
      </c>
      <c r="F86" s="234" t="s">
        <v>136</v>
      </c>
      <c r="G86" s="184"/>
      <c r="H86" s="184"/>
      <c r="I86" s="127"/>
      <c r="J86" s="127"/>
      <c r="K86" s="127"/>
      <c r="L86" s="127"/>
      <c r="M86" s="127"/>
      <c r="N86" s="127"/>
      <c r="O86" s="127"/>
      <c r="P86" s="127"/>
      <c r="Q86" s="159"/>
      <c r="R86" s="366"/>
      <c r="S86" s="285"/>
      <c r="T86" s="178"/>
      <c r="U86" s="178"/>
      <c r="V86" s="286"/>
      <c r="W86" s="285"/>
      <c r="X86" s="285"/>
      <c r="Y86" s="285"/>
      <c r="Z86" s="286"/>
      <c r="AA86" s="286"/>
      <c r="AB86" s="285"/>
      <c r="AC86" s="285"/>
      <c r="AD86" s="285"/>
      <c r="AE86" s="286"/>
      <c r="AF86" s="286"/>
      <c r="AG86" s="85"/>
      <c r="AH86" s="85"/>
      <c r="AI86" s="85"/>
    </row>
    <row r="87" spans="1:35" ht="14.4" customHeight="1" x14ac:dyDescent="0.35">
      <c r="A87" s="183"/>
      <c r="B87" s="184"/>
      <c r="C87" s="192"/>
      <c r="D87" s="180" t="s">
        <v>551</v>
      </c>
      <c r="E87" s="185">
        <v>9</v>
      </c>
      <c r="F87" s="234" t="s">
        <v>136</v>
      </c>
      <c r="G87" s="184"/>
      <c r="H87" s="184"/>
      <c r="I87" s="127"/>
      <c r="J87" s="127"/>
      <c r="K87" s="127"/>
      <c r="L87" s="127"/>
      <c r="M87" s="127"/>
      <c r="N87" s="127"/>
      <c r="O87" s="127"/>
      <c r="P87" s="127"/>
      <c r="Q87" s="159"/>
      <c r="R87" s="366"/>
      <c r="S87" s="285"/>
      <c r="T87" s="178"/>
      <c r="U87" s="178"/>
      <c r="V87" s="286"/>
      <c r="W87" s="285"/>
      <c r="X87" s="285"/>
      <c r="Y87" s="285"/>
      <c r="Z87" s="286"/>
      <c r="AA87" s="286"/>
      <c r="AB87" s="285"/>
      <c r="AC87" s="285"/>
      <c r="AD87" s="285"/>
      <c r="AE87" s="286"/>
      <c r="AF87" s="286"/>
      <c r="AG87" s="85"/>
      <c r="AH87" s="85"/>
      <c r="AI87" s="85"/>
    </row>
    <row r="88" spans="1:35" ht="14.4" customHeight="1" x14ac:dyDescent="0.35">
      <c r="A88" s="183"/>
      <c r="B88" s="184"/>
      <c r="C88" s="192"/>
      <c r="D88" s="180" t="s">
        <v>552</v>
      </c>
      <c r="E88" s="185">
        <v>8</v>
      </c>
      <c r="F88" s="234" t="s">
        <v>136</v>
      </c>
      <c r="G88" s="184"/>
      <c r="H88" s="184"/>
      <c r="I88" s="127"/>
      <c r="J88" s="127"/>
      <c r="K88" s="127"/>
      <c r="L88" s="127"/>
      <c r="M88" s="127"/>
      <c r="N88" s="127"/>
      <c r="O88" s="127"/>
      <c r="P88" s="127"/>
      <c r="Q88" s="159"/>
      <c r="R88" s="366"/>
      <c r="S88" s="285"/>
      <c r="T88" s="178"/>
      <c r="U88" s="178"/>
      <c r="V88" s="286"/>
      <c r="W88" s="285"/>
      <c r="X88" s="285"/>
      <c r="Y88" s="285"/>
      <c r="Z88" s="286"/>
      <c r="AA88" s="286"/>
      <c r="AB88" s="285"/>
      <c r="AC88" s="285"/>
      <c r="AD88" s="285"/>
      <c r="AE88" s="286"/>
      <c r="AF88" s="286"/>
      <c r="AG88" s="85"/>
      <c r="AH88" s="85"/>
      <c r="AI88" s="85"/>
    </row>
    <row r="89" spans="1:35" ht="14.4" customHeight="1" x14ac:dyDescent="0.35">
      <c r="A89" s="183"/>
      <c r="B89" s="184"/>
      <c r="C89" s="192"/>
      <c r="D89" s="180" t="s">
        <v>725</v>
      </c>
      <c r="E89" s="185">
        <v>338</v>
      </c>
      <c r="F89" s="234" t="s">
        <v>53</v>
      </c>
      <c r="G89" s="184"/>
      <c r="H89" s="184"/>
      <c r="I89" s="127"/>
      <c r="J89" s="127"/>
      <c r="K89" s="127"/>
      <c r="L89" s="127"/>
      <c r="M89" s="127"/>
      <c r="N89" s="127"/>
      <c r="O89" s="127"/>
      <c r="P89" s="127"/>
      <c r="Q89" s="159"/>
      <c r="R89" s="366"/>
      <c r="S89" s="285"/>
      <c r="T89" s="178"/>
      <c r="U89" s="178"/>
      <c r="V89" s="286"/>
      <c r="W89" s="285"/>
      <c r="X89" s="285"/>
      <c r="Y89" s="285"/>
      <c r="Z89" s="286"/>
      <c r="AA89" s="286"/>
      <c r="AB89" s="285"/>
      <c r="AC89" s="285"/>
      <c r="AD89" s="285"/>
      <c r="AE89" s="286"/>
      <c r="AF89" s="286"/>
      <c r="AG89" s="85"/>
      <c r="AH89" s="85"/>
      <c r="AI89" s="85"/>
    </row>
    <row r="90" spans="1:35" ht="14.4" customHeight="1" x14ac:dyDescent="0.35">
      <c r="A90" s="183"/>
      <c r="B90" s="184"/>
      <c r="C90" s="192"/>
      <c r="D90" s="180" t="s">
        <v>553</v>
      </c>
      <c r="E90" s="185">
        <v>2</v>
      </c>
      <c r="F90" s="234" t="s">
        <v>274</v>
      </c>
      <c r="G90" s="184"/>
      <c r="H90" s="184"/>
      <c r="I90" s="127"/>
      <c r="J90" s="127"/>
      <c r="K90" s="127"/>
      <c r="L90" s="127"/>
      <c r="M90" s="127"/>
      <c r="N90" s="127"/>
      <c r="O90" s="127"/>
      <c r="P90" s="127"/>
      <c r="Q90" s="159"/>
      <c r="R90" s="366"/>
      <c r="S90" s="285"/>
      <c r="T90" s="178"/>
      <c r="U90" s="178"/>
      <c r="V90" s="286"/>
      <c r="W90" s="285"/>
      <c r="X90" s="285"/>
      <c r="Y90" s="285"/>
      <c r="Z90" s="286"/>
      <c r="AA90" s="286"/>
      <c r="AB90" s="285"/>
      <c r="AC90" s="285"/>
      <c r="AD90" s="285"/>
      <c r="AE90" s="286"/>
      <c r="AF90" s="286"/>
      <c r="AG90" s="85"/>
      <c r="AH90" s="85"/>
      <c r="AI90" s="85"/>
    </row>
    <row r="91" spans="1:35" ht="14.4" customHeight="1" x14ac:dyDescent="0.35">
      <c r="A91" s="183"/>
      <c r="B91" s="184"/>
      <c r="C91" s="192"/>
      <c r="D91" s="180" t="s">
        <v>554</v>
      </c>
      <c r="E91" s="185">
        <v>100</v>
      </c>
      <c r="F91" s="234" t="s">
        <v>137</v>
      </c>
      <c r="G91" s="184"/>
      <c r="H91" s="184"/>
      <c r="I91" s="127"/>
      <c r="J91" s="127"/>
      <c r="K91" s="127"/>
      <c r="L91" s="127"/>
      <c r="M91" s="127"/>
      <c r="N91" s="127"/>
      <c r="O91" s="127"/>
      <c r="P91" s="127"/>
      <c r="Q91" s="159"/>
      <c r="R91" s="366"/>
      <c r="S91" s="285"/>
      <c r="T91" s="178"/>
      <c r="U91" s="178"/>
      <c r="V91" s="286"/>
      <c r="W91" s="285"/>
      <c r="X91" s="285"/>
      <c r="Y91" s="285"/>
      <c r="Z91" s="286"/>
      <c r="AA91" s="286"/>
      <c r="AB91" s="285"/>
      <c r="AC91" s="285"/>
      <c r="AD91" s="285"/>
      <c r="AE91" s="286"/>
      <c r="AF91" s="286"/>
      <c r="AG91" s="85"/>
      <c r="AH91" s="85"/>
      <c r="AI91" s="85"/>
    </row>
    <row r="92" spans="1:35" ht="14.4" customHeight="1" x14ac:dyDescent="0.35">
      <c r="A92" s="183"/>
      <c r="B92" s="184"/>
      <c r="C92" s="192"/>
      <c r="D92" s="180" t="s">
        <v>772</v>
      </c>
      <c r="E92" s="185">
        <v>3.8</v>
      </c>
      <c r="F92" s="234" t="s">
        <v>0</v>
      </c>
      <c r="G92" s="184"/>
      <c r="H92" s="184"/>
      <c r="I92" s="127"/>
      <c r="J92" s="127"/>
      <c r="K92" s="127"/>
      <c r="L92" s="127"/>
      <c r="M92" s="127"/>
      <c r="N92" s="127"/>
      <c r="O92" s="127"/>
      <c r="P92" s="127"/>
      <c r="Q92" s="159"/>
      <c r="R92" s="366"/>
      <c r="S92" s="285"/>
      <c r="T92" s="178"/>
      <c r="U92" s="178"/>
      <c r="V92" s="286"/>
      <c r="W92" s="285"/>
      <c r="X92" s="285"/>
      <c r="Y92" s="285"/>
      <c r="Z92" s="286"/>
      <c r="AA92" s="286"/>
      <c r="AB92" s="285"/>
      <c r="AC92" s="285"/>
      <c r="AD92" s="285"/>
      <c r="AE92" s="286"/>
      <c r="AF92" s="286"/>
      <c r="AG92" s="85"/>
      <c r="AH92" s="85"/>
      <c r="AI92" s="85"/>
    </row>
    <row r="93" spans="1:35" ht="14.4" customHeight="1" x14ac:dyDescent="0.35">
      <c r="A93" s="183"/>
      <c r="B93" s="184"/>
      <c r="C93" s="192"/>
      <c r="D93" s="180" t="s">
        <v>560</v>
      </c>
      <c r="E93" s="185">
        <v>0.8</v>
      </c>
      <c r="F93" s="234" t="s">
        <v>0</v>
      </c>
      <c r="G93" s="184"/>
      <c r="H93" s="184"/>
      <c r="I93" s="127"/>
      <c r="J93" s="127"/>
      <c r="K93" s="127"/>
      <c r="L93" s="127"/>
      <c r="M93" s="127"/>
      <c r="N93" s="127"/>
      <c r="O93" s="127"/>
      <c r="P93" s="127"/>
      <c r="Q93" s="159"/>
      <c r="R93" s="366"/>
      <c r="S93" s="285"/>
      <c r="T93" s="178"/>
      <c r="U93" s="178"/>
      <c r="V93" s="286"/>
      <c r="W93" s="285"/>
      <c r="X93" s="285"/>
      <c r="Y93" s="285"/>
      <c r="Z93" s="286"/>
      <c r="AA93" s="286"/>
      <c r="AB93" s="285"/>
      <c r="AC93" s="285"/>
      <c r="AD93" s="285"/>
      <c r="AE93" s="286"/>
      <c r="AF93" s="286"/>
      <c r="AG93" s="85"/>
      <c r="AH93" s="85"/>
      <c r="AI93" s="85"/>
    </row>
    <row r="94" spans="1:35" ht="14.4" customHeight="1" thickBot="1" x14ac:dyDescent="0.4">
      <c r="A94" s="289"/>
      <c r="B94" s="255"/>
      <c r="C94" s="290"/>
      <c r="D94" s="256" t="s">
        <v>555</v>
      </c>
      <c r="E94" s="349">
        <v>50</v>
      </c>
      <c r="F94" s="257" t="s">
        <v>381</v>
      </c>
      <c r="G94" s="184"/>
      <c r="H94" s="184"/>
      <c r="I94" s="127"/>
      <c r="J94" s="127"/>
      <c r="K94" s="127"/>
      <c r="L94" s="127"/>
      <c r="M94" s="127"/>
      <c r="N94" s="127"/>
      <c r="O94" s="127"/>
      <c r="P94" s="127"/>
      <c r="Q94" s="159"/>
      <c r="R94" s="366"/>
      <c r="S94" s="285"/>
      <c r="T94" s="178"/>
      <c r="U94" s="178"/>
      <c r="V94" s="286"/>
      <c r="W94" s="285"/>
      <c r="X94" s="285"/>
      <c r="Y94" s="285"/>
      <c r="Z94" s="286"/>
      <c r="AA94" s="286"/>
      <c r="AB94" s="285"/>
      <c r="AC94" s="285"/>
      <c r="AD94" s="285"/>
      <c r="AE94" s="286"/>
      <c r="AF94" s="286"/>
      <c r="AG94" s="85"/>
      <c r="AH94" s="85"/>
      <c r="AI94" s="85"/>
    </row>
    <row r="95" spans="1:35" ht="18" customHeight="1" thickBot="1" x14ac:dyDescent="0.35">
      <c r="A95" s="183"/>
      <c r="B95" s="184"/>
      <c r="C95" s="192"/>
      <c r="D95" s="180"/>
      <c r="E95" s="194"/>
      <c r="F95" s="291"/>
      <c r="G95" s="184"/>
      <c r="H95" s="184"/>
      <c r="I95" s="127"/>
      <c r="J95" s="127"/>
      <c r="K95" s="127"/>
      <c r="L95" s="127"/>
      <c r="M95" s="127"/>
      <c r="N95" s="127"/>
      <c r="O95" s="127"/>
      <c r="P95" s="127"/>
      <c r="Q95" s="159"/>
      <c r="R95" s="366"/>
      <c r="S95" s="285"/>
      <c r="T95" s="178"/>
      <c r="U95" s="178"/>
      <c r="V95" s="286"/>
      <c r="W95" s="285"/>
      <c r="X95" s="285"/>
      <c r="Y95" s="285"/>
      <c r="Z95" s="286"/>
      <c r="AA95" s="286"/>
      <c r="AB95" s="285"/>
      <c r="AC95" s="285"/>
      <c r="AD95" s="285"/>
      <c r="AE95" s="286"/>
      <c r="AF95" s="286"/>
      <c r="AG95" s="85"/>
      <c r="AH95" s="85"/>
      <c r="AI95" s="85"/>
    </row>
    <row r="96" spans="1:35" ht="18" customHeight="1" x14ac:dyDescent="0.35">
      <c r="A96" s="250"/>
      <c r="B96" s="251"/>
      <c r="C96" s="254"/>
      <c r="D96" s="299" t="s">
        <v>534</v>
      </c>
      <c r="E96" s="353" t="s">
        <v>773</v>
      </c>
      <c r="F96" s="253"/>
      <c r="G96" s="184"/>
      <c r="H96" s="184"/>
      <c r="I96" s="127"/>
      <c r="J96" s="127"/>
      <c r="K96" s="127"/>
      <c r="L96" s="127"/>
      <c r="M96" s="127"/>
      <c r="N96" s="127"/>
      <c r="O96" s="127"/>
      <c r="P96" s="127"/>
      <c r="Q96" s="159"/>
      <c r="R96" s="366"/>
      <c r="S96" s="285"/>
      <c r="T96" s="178"/>
      <c r="U96" s="178"/>
      <c r="V96" s="286"/>
      <c r="W96" s="285"/>
      <c r="X96" s="285"/>
      <c r="Y96" s="285"/>
      <c r="Z96" s="286"/>
      <c r="AA96" s="286"/>
      <c r="AB96" s="285"/>
      <c r="AC96" s="285"/>
      <c r="AD96" s="285"/>
      <c r="AE96" s="286"/>
      <c r="AF96" s="286"/>
      <c r="AG96" s="85"/>
      <c r="AH96" s="85"/>
      <c r="AI96" s="85"/>
    </row>
    <row r="97" spans="1:35" ht="14.4" customHeight="1" x14ac:dyDescent="0.35">
      <c r="A97" s="183"/>
      <c r="B97" s="184"/>
      <c r="C97" s="184"/>
      <c r="D97" s="180" t="s">
        <v>549</v>
      </c>
      <c r="E97" s="185">
        <v>6</v>
      </c>
      <c r="F97" s="234" t="s">
        <v>115</v>
      </c>
      <c r="G97" s="184"/>
      <c r="H97" s="184"/>
      <c r="I97" s="127"/>
      <c r="J97" s="127"/>
      <c r="K97" s="127"/>
      <c r="L97" s="127"/>
      <c r="M97" s="127"/>
      <c r="N97" s="127"/>
      <c r="O97" s="127"/>
      <c r="P97" s="127"/>
      <c r="Q97" s="159"/>
      <c r="R97" s="366"/>
      <c r="S97" s="285"/>
      <c r="T97" s="178"/>
      <c r="U97" s="178"/>
      <c r="V97" s="286"/>
      <c r="W97" s="285"/>
      <c r="X97" s="285"/>
      <c r="Y97" s="285"/>
      <c r="Z97" s="286"/>
      <c r="AA97" s="286"/>
      <c r="AB97" s="285"/>
      <c r="AC97" s="285"/>
      <c r="AD97" s="285"/>
      <c r="AE97" s="286"/>
      <c r="AF97" s="286"/>
      <c r="AG97" s="85"/>
      <c r="AH97" s="85"/>
      <c r="AI97" s="85"/>
    </row>
    <row r="98" spans="1:35" ht="14.4" customHeight="1" x14ac:dyDescent="0.35">
      <c r="A98" s="183"/>
      <c r="B98" s="184"/>
      <c r="C98" s="184"/>
      <c r="D98" s="180" t="s">
        <v>550</v>
      </c>
      <c r="E98" s="185">
        <v>27</v>
      </c>
      <c r="F98" s="234" t="s">
        <v>136</v>
      </c>
      <c r="G98" s="184"/>
      <c r="H98" s="184"/>
      <c r="I98" s="127"/>
      <c r="J98" s="127"/>
      <c r="K98" s="127"/>
      <c r="L98" s="127"/>
      <c r="M98" s="127"/>
      <c r="N98" s="127"/>
      <c r="O98" s="127"/>
      <c r="P98" s="127"/>
      <c r="Q98" s="159"/>
      <c r="R98" s="366"/>
      <c r="S98" s="85"/>
      <c r="T98" s="6"/>
      <c r="U98" s="6"/>
      <c r="W98" s="85"/>
      <c r="X98" s="85"/>
      <c r="Y98" s="85"/>
      <c r="AB98" s="85"/>
      <c r="AC98" s="85"/>
      <c r="AD98" s="85"/>
      <c r="AG98" s="85"/>
      <c r="AH98" s="85"/>
      <c r="AI98" s="85"/>
    </row>
    <row r="99" spans="1:35" ht="14.4" customHeight="1" x14ac:dyDescent="0.35">
      <c r="A99" s="183"/>
      <c r="B99" s="184"/>
      <c r="C99" s="184"/>
      <c r="D99" s="180" t="s">
        <v>718</v>
      </c>
      <c r="E99" s="185">
        <v>20</v>
      </c>
      <c r="F99" s="234" t="s">
        <v>136</v>
      </c>
      <c r="G99" s="184"/>
      <c r="H99" s="184"/>
      <c r="I99" s="127"/>
      <c r="J99" s="127"/>
      <c r="K99" s="127"/>
      <c r="L99" s="127"/>
      <c r="M99" s="127"/>
      <c r="N99" s="127"/>
      <c r="O99" s="127"/>
      <c r="P99" s="127"/>
      <c r="Q99" s="159"/>
      <c r="R99" s="366"/>
      <c r="S99" s="85"/>
      <c r="T99" s="85"/>
      <c r="W99" s="85"/>
      <c r="X99" s="85"/>
      <c r="Y99" s="85"/>
      <c r="AB99" s="85"/>
      <c r="AC99" s="85"/>
      <c r="AD99" s="85"/>
      <c r="AG99" s="85"/>
      <c r="AH99" s="85"/>
      <c r="AI99" s="85"/>
    </row>
    <row r="100" spans="1:35" ht="14.4" customHeight="1" x14ac:dyDescent="0.35">
      <c r="A100" s="183"/>
      <c r="B100" s="184"/>
      <c r="C100" s="184"/>
      <c r="D100" s="180" t="s">
        <v>725</v>
      </c>
      <c r="E100" s="185">
        <v>338</v>
      </c>
      <c r="F100" s="234" t="s">
        <v>53</v>
      </c>
      <c r="G100" s="184"/>
      <c r="H100" s="184"/>
      <c r="I100" s="127"/>
      <c r="J100" s="127"/>
      <c r="K100" s="127"/>
      <c r="L100" s="127"/>
      <c r="M100" s="127"/>
      <c r="N100" s="127"/>
      <c r="O100" s="127"/>
      <c r="P100" s="127"/>
      <c r="Q100" s="159"/>
      <c r="R100" s="366"/>
      <c r="S100" s="85"/>
      <c r="T100" s="85"/>
      <c r="W100" s="85"/>
      <c r="X100" s="85"/>
      <c r="Y100" s="85"/>
      <c r="AB100" s="85"/>
      <c r="AC100" s="85"/>
      <c r="AD100" s="85"/>
      <c r="AG100" s="85"/>
      <c r="AH100" s="85"/>
      <c r="AI100" s="85"/>
    </row>
    <row r="101" spans="1:35" ht="14.25" customHeight="1" x14ac:dyDescent="0.35">
      <c r="A101" s="183"/>
      <c r="B101" s="184"/>
      <c r="C101" s="184"/>
      <c r="D101" s="180" t="s">
        <v>558</v>
      </c>
      <c r="E101" s="185">
        <v>0.8</v>
      </c>
      <c r="F101" s="234" t="s">
        <v>0</v>
      </c>
      <c r="G101" s="184"/>
      <c r="H101" s="184"/>
      <c r="I101" s="127"/>
      <c r="J101" s="127"/>
      <c r="K101" s="127"/>
      <c r="L101" s="127"/>
      <c r="M101" s="127"/>
      <c r="N101" s="127"/>
      <c r="O101" s="127"/>
      <c r="P101" s="127"/>
      <c r="Q101" s="159"/>
      <c r="R101" s="366"/>
      <c r="S101" s="85"/>
      <c r="T101" s="85"/>
      <c r="W101" s="85"/>
      <c r="X101" s="85"/>
      <c r="Y101" s="85"/>
      <c r="AB101" s="85"/>
      <c r="AC101" s="85"/>
      <c r="AD101" s="85"/>
      <c r="AG101" s="85"/>
      <c r="AH101" s="85"/>
      <c r="AI101" s="85"/>
    </row>
    <row r="102" spans="1:35" ht="14.4" customHeight="1" x14ac:dyDescent="0.35">
      <c r="A102" s="183"/>
      <c r="B102" s="184"/>
      <c r="C102" s="184"/>
      <c r="D102" s="180" t="s">
        <v>556</v>
      </c>
      <c r="E102" s="185">
        <v>19</v>
      </c>
      <c r="F102" s="234" t="s">
        <v>136</v>
      </c>
      <c r="G102" s="184"/>
      <c r="H102" s="184"/>
      <c r="I102" s="131"/>
      <c r="J102" s="132"/>
      <c r="K102" s="127"/>
      <c r="L102" s="127"/>
      <c r="M102" s="127"/>
      <c r="N102" s="127"/>
      <c r="O102" s="127"/>
      <c r="P102" s="127"/>
      <c r="Q102" s="159"/>
      <c r="R102" s="366"/>
      <c r="S102" s="85"/>
      <c r="T102" s="85"/>
      <c r="W102" s="85"/>
      <c r="X102" s="85"/>
      <c r="Y102" s="85"/>
      <c r="AB102" s="85"/>
      <c r="AC102" s="85"/>
      <c r="AD102" s="85"/>
      <c r="AG102" s="85"/>
      <c r="AH102" s="85"/>
      <c r="AI102" s="85"/>
    </row>
    <row r="103" spans="1:35" ht="14.4" customHeight="1" x14ac:dyDescent="0.35">
      <c r="A103" s="183"/>
      <c r="B103" s="184"/>
      <c r="C103" s="184"/>
      <c r="D103" s="180" t="s">
        <v>555</v>
      </c>
      <c r="E103" s="185">
        <v>50</v>
      </c>
      <c r="F103" s="234" t="s">
        <v>381</v>
      </c>
      <c r="G103" s="184"/>
      <c r="H103" s="184"/>
      <c r="I103" s="127"/>
      <c r="J103" s="127"/>
      <c r="K103" s="127"/>
      <c r="L103" s="127"/>
      <c r="M103" s="127"/>
      <c r="N103" s="127"/>
      <c r="O103" s="127"/>
      <c r="P103" s="127"/>
      <c r="Q103" s="159"/>
      <c r="R103" s="366"/>
      <c r="S103" s="85"/>
      <c r="T103" s="85"/>
      <c r="W103" s="85"/>
      <c r="X103" s="85"/>
      <c r="Y103" s="85"/>
      <c r="AB103" s="85"/>
      <c r="AC103" s="85"/>
      <c r="AD103" s="85"/>
      <c r="AG103" s="85"/>
      <c r="AH103" s="85"/>
      <c r="AI103" s="85"/>
    </row>
    <row r="104" spans="1:35" ht="18" customHeight="1" x14ac:dyDescent="0.3">
      <c r="A104" s="195"/>
      <c r="B104" s="192"/>
      <c r="C104" s="184"/>
      <c r="D104" s="292" t="s">
        <v>737</v>
      </c>
      <c r="E104" s="210"/>
      <c r="F104" s="234"/>
      <c r="G104" s="184"/>
      <c r="H104" s="184"/>
      <c r="I104" s="127"/>
      <c r="J104" s="127"/>
      <c r="K104" s="127"/>
      <c r="L104" s="127"/>
      <c r="M104" s="127"/>
      <c r="N104" s="127"/>
      <c r="O104" s="127"/>
      <c r="P104" s="127"/>
      <c r="Q104" s="159"/>
      <c r="R104" s="366"/>
      <c r="S104" s="85"/>
      <c r="T104" s="85"/>
      <c r="W104" s="85"/>
      <c r="X104" s="85"/>
      <c r="Y104" s="85"/>
      <c r="AB104" s="85"/>
      <c r="AC104" s="85"/>
      <c r="AD104" s="85"/>
      <c r="AG104" s="85"/>
      <c r="AH104" s="85"/>
      <c r="AI104" s="85"/>
    </row>
    <row r="105" spans="1:35" ht="14.4" customHeight="1" x14ac:dyDescent="0.35">
      <c r="A105" s="183"/>
      <c r="B105" s="184"/>
      <c r="C105" s="184"/>
      <c r="D105" s="180" t="s">
        <v>559</v>
      </c>
      <c r="E105" s="308">
        <v>0</v>
      </c>
      <c r="F105" s="234" t="s">
        <v>0</v>
      </c>
      <c r="G105" s="184"/>
      <c r="H105" s="184"/>
      <c r="I105" s="127"/>
      <c r="J105" s="127"/>
      <c r="K105" s="127"/>
      <c r="L105" s="127"/>
      <c r="M105" s="127"/>
      <c r="N105" s="127"/>
      <c r="O105" s="127"/>
      <c r="P105" s="127"/>
      <c r="Q105" s="159"/>
      <c r="R105" s="366"/>
      <c r="S105" s="85"/>
      <c r="T105" s="85"/>
      <c r="W105" s="85"/>
      <c r="X105" s="85"/>
      <c r="Y105" s="85"/>
      <c r="AB105" s="85"/>
      <c r="AC105" s="85"/>
      <c r="AD105" s="85"/>
      <c r="AG105" s="85"/>
      <c r="AH105" s="85"/>
      <c r="AI105" s="85"/>
    </row>
    <row r="106" spans="1:35" ht="14.4" customHeight="1" thickBot="1" x14ac:dyDescent="0.4">
      <c r="A106" s="230"/>
      <c r="B106" s="255"/>
      <c r="C106" s="255"/>
      <c r="D106" s="256" t="s">
        <v>557</v>
      </c>
      <c r="E106" s="350">
        <v>0</v>
      </c>
      <c r="F106" s="257" t="s">
        <v>136</v>
      </c>
      <c r="G106" s="184"/>
      <c r="H106" s="184"/>
      <c r="I106" s="127"/>
      <c r="J106" s="127"/>
      <c r="K106" s="127"/>
      <c r="L106" s="127"/>
      <c r="M106" s="127"/>
      <c r="N106" s="127"/>
      <c r="O106" s="127"/>
      <c r="P106" s="127"/>
      <c r="Q106" s="159"/>
      <c r="R106" s="366"/>
      <c r="S106" s="85"/>
      <c r="T106" s="85"/>
      <c r="W106" s="85"/>
      <c r="X106" s="85"/>
      <c r="Y106" s="85"/>
      <c r="AB106" s="85"/>
      <c r="AC106" s="85"/>
      <c r="AD106" s="85"/>
      <c r="AG106" s="85"/>
      <c r="AH106" s="85"/>
      <c r="AI106" s="85"/>
    </row>
    <row r="107" spans="1:35" ht="14.4" customHeight="1" x14ac:dyDescent="0.3">
      <c r="A107" s="382"/>
      <c r="B107" s="184"/>
      <c r="C107" s="184"/>
      <c r="D107" s="180"/>
      <c r="E107" s="503"/>
      <c r="F107" s="184"/>
      <c r="G107" s="184"/>
      <c r="H107" s="184"/>
      <c r="I107" s="127"/>
      <c r="J107" s="127"/>
      <c r="K107" s="127"/>
      <c r="L107" s="127"/>
      <c r="M107" s="127"/>
      <c r="N107" s="127"/>
      <c r="O107" s="127"/>
      <c r="P107" s="127"/>
      <c r="Q107" s="159"/>
      <c r="R107" s="366"/>
      <c r="S107" s="85"/>
      <c r="T107" s="85"/>
      <c r="W107" s="85"/>
      <c r="X107" s="85"/>
      <c r="Y107" s="85"/>
      <c r="AB107" s="85"/>
      <c r="AC107" s="85"/>
      <c r="AD107" s="85"/>
      <c r="AG107" s="85"/>
      <c r="AH107" s="85"/>
      <c r="AI107" s="85"/>
    </row>
    <row r="108" spans="1:35" ht="19.5" customHeight="1" thickBot="1" x14ac:dyDescent="0.35">
      <c r="A108" s="504" t="s">
        <v>768</v>
      </c>
      <c r="B108" s="194"/>
      <c r="C108" s="505"/>
      <c r="D108" s="506"/>
      <c r="E108" s="170"/>
      <c r="F108" s="170"/>
      <c r="G108" s="170"/>
      <c r="H108" s="184"/>
      <c r="I108" s="127"/>
      <c r="J108" s="127"/>
      <c r="K108" s="127"/>
      <c r="L108" s="127"/>
      <c r="M108" s="127"/>
      <c r="N108" s="127"/>
      <c r="O108" s="127"/>
      <c r="P108" s="127"/>
      <c r="Q108" s="159"/>
      <c r="R108" s="366"/>
      <c r="S108" s="85"/>
      <c r="T108" s="85"/>
      <c r="W108" s="85"/>
      <c r="X108" s="85"/>
      <c r="Y108" s="85"/>
      <c r="AB108" s="85"/>
      <c r="AC108" s="85"/>
      <c r="AD108" s="85"/>
      <c r="AG108" s="85"/>
      <c r="AH108" s="85"/>
      <c r="AI108" s="85"/>
    </row>
    <row r="109" spans="1:35" ht="15.75" customHeight="1" x14ac:dyDescent="0.3">
      <c r="A109" s="271"/>
      <c r="B109" s="252"/>
      <c r="C109" s="507"/>
      <c r="D109" s="507" t="s">
        <v>769</v>
      </c>
      <c r="E109" s="508">
        <f>'Power Calculations'!AN9</f>
        <v>0.16949999999999998</v>
      </c>
      <c r="F109" s="253" t="s">
        <v>208</v>
      </c>
      <c r="G109" s="170"/>
      <c r="H109" s="184"/>
      <c r="I109" s="127"/>
      <c r="J109" s="127"/>
      <c r="K109" s="127"/>
      <c r="L109" s="127"/>
      <c r="M109" s="127"/>
      <c r="N109" s="127"/>
      <c r="O109" s="127"/>
      <c r="P109" s="127"/>
      <c r="Q109" s="159"/>
      <c r="R109" s="366"/>
      <c r="S109" s="85"/>
      <c r="T109" s="85"/>
      <c r="W109" s="85"/>
      <c r="X109" s="85"/>
      <c r="Y109" s="85"/>
      <c r="AB109" s="85"/>
      <c r="AC109" s="85"/>
      <c r="AD109" s="85"/>
      <c r="AG109" s="85"/>
      <c r="AH109" s="85"/>
      <c r="AI109" s="85"/>
    </row>
    <row r="110" spans="1:35" ht="14.4" customHeight="1" thickBot="1" x14ac:dyDescent="0.35">
      <c r="A110" s="289"/>
      <c r="B110" s="255"/>
      <c r="C110" s="255"/>
      <c r="D110" s="509" t="s">
        <v>770</v>
      </c>
      <c r="E110" s="510">
        <f>'Power Calculations'!AN9*50</f>
        <v>8.4749999999999996</v>
      </c>
      <c r="F110" s="511" t="s">
        <v>442</v>
      </c>
      <c r="G110" s="170"/>
      <c r="H110" s="184"/>
      <c r="I110" s="127"/>
      <c r="J110" s="127"/>
      <c r="K110" s="127"/>
      <c r="L110" s="127"/>
      <c r="M110" s="127"/>
      <c r="N110" s="127"/>
      <c r="O110" s="127"/>
      <c r="P110" s="127"/>
      <c r="Q110" s="159"/>
      <c r="R110" s="366"/>
      <c r="S110" s="85"/>
      <c r="T110" s="85"/>
      <c r="W110" s="85"/>
      <c r="X110" s="85"/>
      <c r="Y110" s="85"/>
      <c r="AB110" s="85"/>
      <c r="AC110" s="85"/>
      <c r="AD110" s="85"/>
      <c r="AG110" s="85"/>
      <c r="AH110" s="85"/>
      <c r="AI110" s="85"/>
    </row>
    <row r="111" spans="1:35" ht="16.2" customHeight="1" thickBot="1" x14ac:dyDescent="0.35">
      <c r="A111" s="183"/>
      <c r="B111" s="184"/>
      <c r="C111" s="184"/>
      <c r="D111" s="180"/>
      <c r="E111" s="283"/>
      <c r="F111" s="184"/>
      <c r="G111" s="184"/>
      <c r="H111" s="184"/>
      <c r="I111" s="127"/>
      <c r="J111" s="127"/>
      <c r="K111" s="127"/>
      <c r="L111" s="127"/>
      <c r="M111" s="127"/>
      <c r="N111" s="127"/>
      <c r="O111" s="127"/>
      <c r="P111" s="127"/>
      <c r="Q111" s="159"/>
      <c r="R111" s="366"/>
      <c r="S111" s="85"/>
      <c r="T111" s="85"/>
      <c r="W111" s="85"/>
      <c r="X111" s="85"/>
      <c r="Y111" s="85"/>
      <c r="AB111" s="85"/>
      <c r="AC111" s="85"/>
      <c r="AD111" s="85"/>
      <c r="AG111" s="85"/>
      <c r="AH111" s="85"/>
      <c r="AI111" s="85"/>
    </row>
    <row r="112" spans="1:35" ht="14.4" thickBot="1" x14ac:dyDescent="0.35">
      <c r="A112" s="361"/>
      <c r="B112" s="362"/>
      <c r="C112" s="363"/>
      <c r="D112" s="363"/>
      <c r="E112" s="363"/>
      <c r="F112" s="363"/>
      <c r="G112" s="363"/>
      <c r="H112" s="363"/>
      <c r="I112" s="363"/>
      <c r="J112" s="363"/>
      <c r="K112" s="363"/>
      <c r="L112" s="363"/>
      <c r="M112" s="363"/>
      <c r="N112" s="363"/>
      <c r="O112" s="363"/>
      <c r="P112" s="363"/>
      <c r="Q112" s="363"/>
      <c r="R112" s="364"/>
      <c r="S112" s="85"/>
      <c r="T112" s="85"/>
      <c r="W112" s="85"/>
      <c r="X112" s="85"/>
      <c r="Y112" s="85"/>
      <c r="AB112" s="85"/>
      <c r="AC112" s="85"/>
      <c r="AD112" s="85"/>
      <c r="AG112" s="85"/>
      <c r="AH112" s="85"/>
      <c r="AI112" s="85"/>
    </row>
    <row r="113" spans="18:35" x14ac:dyDescent="0.3">
      <c r="R113" s="85"/>
      <c r="S113" s="85"/>
      <c r="T113" s="85"/>
      <c r="W113" s="85"/>
      <c r="X113" s="85"/>
      <c r="Y113" s="85"/>
      <c r="AB113" s="85"/>
      <c r="AC113" s="85"/>
      <c r="AD113" s="85"/>
      <c r="AG113" s="85"/>
      <c r="AH113" s="85"/>
      <c r="AI113" s="85"/>
    </row>
    <row r="114" spans="18:35" x14ac:dyDescent="0.3">
      <c r="R114" s="85"/>
      <c r="S114" s="85"/>
      <c r="T114" s="85"/>
      <c r="W114" s="85"/>
      <c r="X114" s="85"/>
      <c r="Y114" s="85"/>
      <c r="AB114" s="85"/>
      <c r="AC114" s="85"/>
      <c r="AD114" s="85"/>
      <c r="AG114" s="85"/>
      <c r="AH114" s="85"/>
      <c r="AI114" s="85"/>
    </row>
    <row r="115" spans="18:35" x14ac:dyDescent="0.3">
      <c r="R115" s="85"/>
      <c r="S115" s="85"/>
      <c r="T115" s="85"/>
      <c r="W115" s="85"/>
      <c r="X115" s="85"/>
      <c r="Y115" s="85"/>
      <c r="AB115" s="85"/>
      <c r="AC115" s="85"/>
      <c r="AD115" s="85"/>
      <c r="AG115" s="85"/>
      <c r="AH115" s="85"/>
      <c r="AI115" s="85"/>
    </row>
    <row r="116" spans="18:35" x14ac:dyDescent="0.3">
      <c r="R116" s="85"/>
      <c r="S116" s="85"/>
      <c r="T116" s="85"/>
      <c r="W116" s="85"/>
      <c r="X116" s="85"/>
      <c r="Y116" s="85"/>
      <c r="AB116" s="85"/>
      <c r="AC116" s="85"/>
      <c r="AD116" s="85"/>
      <c r="AG116" s="85"/>
      <c r="AH116" s="85"/>
      <c r="AI116" s="85"/>
    </row>
    <row r="117" spans="18:35" x14ac:dyDescent="0.3">
      <c r="R117" s="85"/>
      <c r="S117" s="85"/>
      <c r="T117" s="85"/>
      <c r="W117" s="85"/>
      <c r="X117" s="85"/>
      <c r="Y117" s="85"/>
      <c r="AB117" s="85"/>
      <c r="AC117" s="85"/>
      <c r="AD117" s="85"/>
      <c r="AG117" s="85"/>
      <c r="AH117" s="85"/>
      <c r="AI117" s="85"/>
    </row>
    <row r="118" spans="18:35" x14ac:dyDescent="0.3">
      <c r="R118" s="85"/>
      <c r="S118" s="85"/>
      <c r="T118" s="85"/>
      <c r="W118" s="85"/>
      <c r="X118" s="85"/>
      <c r="Y118" s="85"/>
      <c r="AB118" s="85"/>
      <c r="AC118" s="85"/>
      <c r="AD118" s="85"/>
      <c r="AG118" s="85"/>
      <c r="AH118" s="85"/>
      <c r="AI118" s="85"/>
    </row>
    <row r="119" spans="18:35" x14ac:dyDescent="0.3">
      <c r="R119" s="85"/>
      <c r="S119" s="85"/>
      <c r="T119" s="85"/>
      <c r="W119" s="85"/>
      <c r="X119" s="85"/>
      <c r="Y119" s="85"/>
      <c r="AB119" s="85"/>
      <c r="AC119" s="85"/>
      <c r="AD119" s="85"/>
      <c r="AG119" s="85"/>
      <c r="AH119" s="85"/>
      <c r="AI119" s="85"/>
    </row>
    <row r="120" spans="18:35" x14ac:dyDescent="0.3">
      <c r="R120" s="85"/>
      <c r="S120" s="85"/>
      <c r="T120" s="85"/>
      <c r="W120" s="85"/>
      <c r="X120" s="85"/>
      <c r="Y120" s="85"/>
      <c r="AB120" s="85"/>
      <c r="AC120" s="85"/>
      <c r="AD120" s="85"/>
      <c r="AG120" s="85"/>
      <c r="AH120" s="85"/>
      <c r="AI120" s="85"/>
    </row>
    <row r="121" spans="18:35" x14ac:dyDescent="0.3">
      <c r="R121" s="85"/>
      <c r="S121" s="85"/>
      <c r="T121" s="85"/>
      <c r="W121" s="85"/>
      <c r="X121" s="85"/>
      <c r="Y121" s="85"/>
      <c r="AB121" s="85"/>
      <c r="AC121" s="85"/>
      <c r="AD121" s="85"/>
      <c r="AG121" s="85"/>
      <c r="AH121" s="85"/>
      <c r="AI121" s="85"/>
    </row>
    <row r="122" spans="18:35" x14ac:dyDescent="0.3">
      <c r="R122" s="85"/>
      <c r="S122" s="85"/>
      <c r="T122" s="85"/>
      <c r="W122" s="85"/>
      <c r="X122" s="85"/>
      <c r="Y122" s="85"/>
      <c r="AB122" s="85"/>
      <c r="AC122" s="85"/>
      <c r="AD122" s="85"/>
      <c r="AG122" s="85"/>
      <c r="AH122" s="85"/>
      <c r="AI122" s="85"/>
    </row>
    <row r="123" spans="18:35" x14ac:dyDescent="0.3">
      <c r="R123" s="85"/>
      <c r="S123" s="85"/>
      <c r="T123" s="85"/>
      <c r="W123" s="85"/>
      <c r="X123" s="85"/>
      <c r="Y123" s="85"/>
      <c r="AB123" s="85"/>
      <c r="AC123" s="85"/>
      <c r="AD123" s="85"/>
      <c r="AG123" s="85"/>
      <c r="AH123" s="85"/>
      <c r="AI123" s="85"/>
    </row>
    <row r="124" spans="18:35" x14ac:dyDescent="0.3">
      <c r="R124" s="85"/>
      <c r="S124" s="85"/>
      <c r="T124" s="85"/>
      <c r="W124" s="85"/>
      <c r="X124" s="85"/>
      <c r="Y124" s="85"/>
      <c r="AB124" s="85"/>
      <c r="AC124" s="85"/>
      <c r="AD124" s="85"/>
      <c r="AG124" s="85"/>
      <c r="AH124" s="85"/>
      <c r="AI124" s="85"/>
    </row>
    <row r="125" spans="18:35" x14ac:dyDescent="0.3">
      <c r="R125" s="85"/>
      <c r="S125" s="85"/>
      <c r="T125" s="85"/>
      <c r="W125" s="85"/>
      <c r="X125" s="85"/>
      <c r="Y125" s="85"/>
      <c r="AB125" s="85"/>
      <c r="AC125" s="85"/>
      <c r="AD125" s="85"/>
      <c r="AG125" s="85"/>
      <c r="AH125" s="85"/>
      <c r="AI125" s="85"/>
    </row>
    <row r="126" spans="18:35" x14ac:dyDescent="0.3">
      <c r="R126" s="85"/>
      <c r="S126" s="85"/>
      <c r="T126" s="85"/>
      <c r="W126" s="85"/>
      <c r="X126" s="85"/>
      <c r="Y126" s="85"/>
      <c r="AB126" s="85"/>
      <c r="AC126" s="85"/>
      <c r="AD126" s="85"/>
      <c r="AG126" s="85"/>
      <c r="AH126" s="85"/>
      <c r="AI126" s="85"/>
    </row>
    <row r="127" spans="18:35" x14ac:dyDescent="0.3">
      <c r="R127" s="85"/>
      <c r="S127" s="85"/>
      <c r="T127" s="85"/>
      <c r="W127" s="85"/>
      <c r="X127" s="85"/>
      <c r="Y127" s="85"/>
      <c r="AB127" s="85"/>
      <c r="AC127" s="85"/>
      <c r="AD127" s="85"/>
      <c r="AG127" s="85"/>
      <c r="AH127" s="85"/>
      <c r="AI127" s="85"/>
    </row>
    <row r="128" spans="18:35" x14ac:dyDescent="0.3">
      <c r="R128" s="85"/>
      <c r="S128" s="85"/>
      <c r="T128" s="85"/>
      <c r="W128" s="85"/>
      <c r="X128" s="85"/>
      <c r="Y128" s="85"/>
      <c r="AB128" s="85"/>
      <c r="AC128" s="85"/>
      <c r="AD128" s="85"/>
      <c r="AG128" s="85"/>
      <c r="AH128" s="85"/>
      <c r="AI128" s="85"/>
    </row>
    <row r="129" spans="18:35" x14ac:dyDescent="0.3">
      <c r="R129" s="85"/>
      <c r="S129" s="85"/>
      <c r="T129" s="85"/>
      <c r="W129" s="85"/>
      <c r="X129" s="85"/>
      <c r="Y129" s="85"/>
      <c r="AB129" s="85"/>
      <c r="AC129" s="85"/>
      <c r="AD129" s="85"/>
      <c r="AG129" s="85"/>
      <c r="AH129" s="85"/>
      <c r="AI129" s="85"/>
    </row>
    <row r="130" spans="18:35" x14ac:dyDescent="0.3">
      <c r="R130" s="85"/>
      <c r="S130" s="85"/>
      <c r="T130" s="85"/>
      <c r="W130" s="85"/>
      <c r="X130" s="85"/>
      <c r="Y130" s="85"/>
      <c r="AB130" s="85"/>
      <c r="AC130" s="85"/>
      <c r="AD130" s="85"/>
      <c r="AG130" s="85"/>
      <c r="AH130" s="85"/>
      <c r="AI130" s="85"/>
    </row>
    <row r="131" spans="18:35" x14ac:dyDescent="0.3">
      <c r="R131" s="85"/>
      <c r="S131" s="85"/>
      <c r="T131" s="85"/>
      <c r="W131" s="85"/>
      <c r="X131" s="85"/>
      <c r="Y131" s="85"/>
      <c r="AB131" s="85"/>
      <c r="AC131" s="85"/>
      <c r="AD131" s="85"/>
      <c r="AG131" s="85"/>
      <c r="AH131" s="85"/>
      <c r="AI131" s="85"/>
    </row>
    <row r="132" spans="18:35" x14ac:dyDescent="0.3">
      <c r="R132" s="85"/>
      <c r="S132" s="85"/>
      <c r="T132" s="85"/>
      <c r="W132" s="85"/>
      <c r="X132" s="85"/>
      <c r="Y132" s="85"/>
      <c r="AB132" s="85"/>
      <c r="AC132" s="85"/>
      <c r="AD132" s="85"/>
      <c r="AG132" s="85"/>
      <c r="AH132" s="85"/>
      <c r="AI132" s="85"/>
    </row>
    <row r="133" spans="18:35" x14ac:dyDescent="0.3">
      <c r="R133" s="85"/>
      <c r="S133" s="85"/>
      <c r="T133" s="85"/>
      <c r="W133" s="85"/>
      <c r="X133" s="85"/>
      <c r="Y133" s="85"/>
      <c r="AB133" s="85"/>
      <c r="AC133" s="85"/>
      <c r="AD133" s="85"/>
      <c r="AG133" s="85"/>
      <c r="AH133" s="85"/>
      <c r="AI133" s="85"/>
    </row>
    <row r="134" spans="18:35" x14ac:dyDescent="0.3">
      <c r="R134" s="85"/>
      <c r="S134" s="85"/>
      <c r="T134" s="85"/>
      <c r="W134" s="85"/>
      <c r="X134" s="85"/>
      <c r="Y134" s="85"/>
      <c r="AB134" s="85"/>
      <c r="AC134" s="85"/>
      <c r="AD134" s="85"/>
      <c r="AG134" s="85"/>
      <c r="AH134" s="85"/>
      <c r="AI134" s="85"/>
    </row>
    <row r="135" spans="18:35" x14ac:dyDescent="0.3">
      <c r="R135" s="85"/>
      <c r="S135" s="85"/>
      <c r="T135" s="85"/>
      <c r="W135" s="85"/>
      <c r="X135" s="85"/>
      <c r="Y135" s="85"/>
      <c r="AB135" s="85"/>
      <c r="AC135" s="85"/>
      <c r="AD135" s="85"/>
      <c r="AG135" s="85"/>
      <c r="AH135" s="85"/>
      <c r="AI135" s="85"/>
    </row>
    <row r="136" spans="18:35" x14ac:dyDescent="0.3">
      <c r="R136" s="85"/>
      <c r="S136" s="85"/>
      <c r="T136" s="85"/>
      <c r="W136" s="85"/>
      <c r="X136" s="85"/>
      <c r="Y136" s="85"/>
      <c r="AB136" s="85"/>
      <c r="AC136" s="85"/>
      <c r="AD136" s="85"/>
      <c r="AG136" s="85"/>
      <c r="AH136" s="85"/>
      <c r="AI136" s="85"/>
    </row>
    <row r="137" spans="18:35" x14ac:dyDescent="0.3">
      <c r="R137" s="85"/>
      <c r="S137" s="85"/>
      <c r="T137" s="85"/>
      <c r="W137" s="85"/>
      <c r="X137" s="85"/>
      <c r="Y137" s="85"/>
      <c r="AB137" s="85"/>
      <c r="AC137" s="85"/>
      <c r="AD137" s="85"/>
      <c r="AG137" s="85"/>
      <c r="AH137" s="85"/>
      <c r="AI137" s="85"/>
    </row>
    <row r="138" spans="18:35" x14ac:dyDescent="0.3">
      <c r="R138" s="85"/>
      <c r="S138" s="85"/>
      <c r="T138" s="85"/>
      <c r="W138" s="85"/>
      <c r="X138" s="85"/>
      <c r="Y138" s="85"/>
      <c r="AB138" s="85"/>
      <c r="AC138" s="85"/>
      <c r="AD138" s="85"/>
      <c r="AG138" s="85"/>
      <c r="AH138" s="85"/>
      <c r="AI138" s="85"/>
    </row>
    <row r="139" spans="18:35" x14ac:dyDescent="0.3">
      <c r="R139" s="85"/>
      <c r="S139" s="85"/>
      <c r="T139" s="85"/>
      <c r="W139" s="85"/>
      <c r="X139" s="85"/>
      <c r="Y139" s="85"/>
      <c r="AB139" s="85"/>
      <c r="AC139" s="85"/>
      <c r="AD139" s="85"/>
      <c r="AG139" s="85"/>
      <c r="AH139" s="85"/>
      <c r="AI139" s="85"/>
    </row>
    <row r="140" spans="18:35" x14ac:dyDescent="0.3">
      <c r="R140" s="85"/>
      <c r="S140" s="85"/>
      <c r="T140" s="85"/>
      <c r="W140" s="85"/>
      <c r="X140" s="85"/>
      <c r="Y140" s="85"/>
      <c r="AB140" s="85"/>
      <c r="AC140" s="85"/>
      <c r="AD140" s="85"/>
      <c r="AG140" s="85"/>
      <c r="AH140" s="85"/>
      <c r="AI140" s="85"/>
    </row>
    <row r="141" spans="18:35" x14ac:dyDescent="0.3">
      <c r="R141" s="85"/>
      <c r="S141" s="85"/>
      <c r="T141" s="85"/>
      <c r="W141" s="85"/>
      <c r="X141" s="85"/>
      <c r="Y141" s="85"/>
      <c r="AB141" s="85"/>
      <c r="AC141" s="85"/>
      <c r="AD141" s="85"/>
      <c r="AG141" s="85"/>
      <c r="AH141" s="85"/>
      <c r="AI141" s="85"/>
    </row>
    <row r="142" spans="18:35" x14ac:dyDescent="0.3">
      <c r="R142" s="85"/>
      <c r="S142" s="85"/>
      <c r="T142" s="85"/>
      <c r="W142" s="85"/>
      <c r="X142" s="85"/>
      <c r="Y142" s="85"/>
      <c r="AB142" s="85"/>
      <c r="AC142" s="85"/>
      <c r="AD142" s="85"/>
      <c r="AG142" s="85"/>
      <c r="AH142" s="85"/>
      <c r="AI142" s="85"/>
    </row>
    <row r="143" spans="18:35" x14ac:dyDescent="0.3">
      <c r="R143" s="85"/>
      <c r="S143" s="85"/>
      <c r="T143" s="85"/>
      <c r="W143" s="85"/>
      <c r="X143" s="85"/>
      <c r="Y143" s="85"/>
      <c r="AB143" s="85"/>
      <c r="AC143" s="85"/>
      <c r="AD143" s="85"/>
      <c r="AG143" s="85"/>
      <c r="AH143" s="85"/>
      <c r="AI143" s="85"/>
    </row>
    <row r="144" spans="18:35" x14ac:dyDescent="0.3">
      <c r="R144" s="85"/>
      <c r="S144" s="85"/>
      <c r="T144" s="85"/>
      <c r="W144" s="85"/>
      <c r="X144" s="85"/>
      <c r="Y144" s="85"/>
      <c r="AB144" s="85"/>
      <c r="AC144" s="85"/>
      <c r="AD144" s="85"/>
      <c r="AG144" s="85"/>
      <c r="AH144" s="85"/>
      <c r="AI144" s="85"/>
    </row>
    <row r="145" spans="18:35" x14ac:dyDescent="0.3">
      <c r="R145" s="85"/>
      <c r="S145" s="85"/>
      <c r="T145" s="85"/>
      <c r="W145" s="85"/>
      <c r="X145" s="85"/>
      <c r="Y145" s="85"/>
      <c r="AB145" s="85"/>
      <c r="AC145" s="85"/>
      <c r="AD145" s="85"/>
      <c r="AG145" s="85"/>
      <c r="AH145" s="85"/>
      <c r="AI145" s="85"/>
    </row>
    <row r="146" spans="18:35" x14ac:dyDescent="0.3">
      <c r="R146" s="85"/>
      <c r="S146" s="85"/>
      <c r="T146" s="85"/>
      <c r="W146" s="85"/>
      <c r="X146" s="85"/>
      <c r="Y146" s="85"/>
      <c r="AB146" s="85"/>
      <c r="AC146" s="85"/>
      <c r="AD146" s="85"/>
      <c r="AG146" s="85"/>
      <c r="AH146" s="85"/>
      <c r="AI146" s="85"/>
    </row>
    <row r="147" spans="18:35" x14ac:dyDescent="0.3">
      <c r="R147" s="85"/>
      <c r="S147" s="85"/>
      <c r="T147" s="85"/>
      <c r="W147" s="85"/>
      <c r="X147" s="85"/>
      <c r="Y147" s="85"/>
      <c r="AB147" s="85"/>
      <c r="AC147" s="85"/>
      <c r="AD147" s="85"/>
      <c r="AG147" s="85"/>
      <c r="AH147" s="85"/>
      <c r="AI147" s="85"/>
    </row>
    <row r="148" spans="18:35" x14ac:dyDescent="0.3">
      <c r="R148" s="85"/>
      <c r="S148" s="85"/>
      <c r="T148" s="85"/>
      <c r="W148" s="85"/>
      <c r="X148" s="85"/>
      <c r="Y148" s="85"/>
      <c r="AB148" s="85"/>
      <c r="AC148" s="85"/>
      <c r="AD148" s="85"/>
      <c r="AG148" s="85"/>
      <c r="AH148" s="85"/>
      <c r="AI148" s="85"/>
    </row>
    <row r="149" spans="18:35" x14ac:dyDescent="0.3">
      <c r="R149" s="85"/>
      <c r="S149" s="85"/>
      <c r="T149" s="85"/>
      <c r="W149" s="85"/>
      <c r="X149" s="85"/>
      <c r="Y149" s="85"/>
      <c r="AB149" s="85"/>
      <c r="AC149" s="85"/>
      <c r="AD149" s="85"/>
      <c r="AG149" s="85"/>
      <c r="AH149" s="85"/>
      <c r="AI149" s="85"/>
    </row>
    <row r="150" spans="18:35" x14ac:dyDescent="0.3">
      <c r="R150" s="85"/>
      <c r="S150" s="85"/>
      <c r="T150" s="85"/>
      <c r="W150" s="85"/>
      <c r="X150" s="85"/>
      <c r="Y150" s="85"/>
      <c r="AB150" s="85"/>
      <c r="AC150" s="85"/>
      <c r="AD150" s="85"/>
      <c r="AG150" s="85"/>
      <c r="AH150" s="85"/>
      <c r="AI150" s="85"/>
    </row>
    <row r="151" spans="18:35" x14ac:dyDescent="0.3">
      <c r="R151" s="85"/>
      <c r="S151" s="85"/>
      <c r="T151" s="85"/>
      <c r="W151" s="85"/>
      <c r="X151" s="85"/>
      <c r="Y151" s="85"/>
      <c r="AB151" s="85"/>
      <c r="AC151" s="85"/>
      <c r="AD151" s="85"/>
      <c r="AG151" s="85"/>
      <c r="AH151" s="85"/>
      <c r="AI151" s="85"/>
    </row>
    <row r="152" spans="18:35" x14ac:dyDescent="0.3">
      <c r="R152" s="85"/>
      <c r="S152" s="85"/>
      <c r="T152" s="85"/>
      <c r="W152" s="85"/>
      <c r="X152" s="85"/>
      <c r="Y152" s="85"/>
      <c r="AB152" s="85"/>
      <c r="AC152" s="85"/>
      <c r="AD152" s="85"/>
      <c r="AG152" s="85"/>
      <c r="AH152" s="85"/>
      <c r="AI152" s="85"/>
    </row>
    <row r="153" spans="18:35" x14ac:dyDescent="0.3">
      <c r="R153" s="85"/>
      <c r="S153" s="85"/>
      <c r="T153" s="85"/>
      <c r="W153" s="85"/>
      <c r="X153" s="85"/>
      <c r="Y153" s="85"/>
      <c r="AB153" s="85"/>
      <c r="AC153" s="85"/>
      <c r="AD153" s="85"/>
      <c r="AG153" s="85"/>
      <c r="AH153" s="85"/>
      <c r="AI153" s="85"/>
    </row>
    <row r="154" spans="18:35" x14ac:dyDescent="0.3">
      <c r="R154" s="85"/>
      <c r="S154" s="85"/>
      <c r="T154" s="85"/>
      <c r="W154" s="85"/>
      <c r="X154" s="85"/>
      <c r="Y154" s="85"/>
      <c r="AB154" s="85"/>
      <c r="AC154" s="85"/>
      <c r="AD154" s="85"/>
      <c r="AG154" s="85"/>
      <c r="AH154" s="85"/>
      <c r="AI154" s="85"/>
    </row>
    <row r="155" spans="18:35" x14ac:dyDescent="0.3">
      <c r="R155" s="85"/>
      <c r="S155" s="85"/>
      <c r="T155" s="85"/>
      <c r="W155" s="85"/>
      <c r="X155" s="85"/>
      <c r="Y155" s="85"/>
      <c r="AB155" s="85"/>
      <c r="AC155" s="85"/>
      <c r="AD155" s="85"/>
      <c r="AG155" s="85"/>
      <c r="AH155" s="85"/>
      <c r="AI155" s="85"/>
    </row>
    <row r="156" spans="18:35" x14ac:dyDescent="0.3">
      <c r="R156" s="85"/>
      <c r="S156" s="85"/>
      <c r="T156" s="85"/>
      <c r="W156" s="85"/>
      <c r="X156" s="85"/>
      <c r="Y156" s="85"/>
      <c r="AB156" s="85"/>
      <c r="AC156" s="85"/>
      <c r="AD156" s="85"/>
      <c r="AG156" s="85"/>
      <c r="AH156" s="85"/>
      <c r="AI156" s="85"/>
    </row>
    <row r="157" spans="18:35" x14ac:dyDescent="0.3">
      <c r="R157" s="85"/>
      <c r="S157" s="85"/>
      <c r="T157" s="85"/>
      <c r="W157" s="85"/>
      <c r="X157" s="85"/>
      <c r="Y157" s="85"/>
      <c r="AB157" s="85"/>
      <c r="AC157" s="85"/>
      <c r="AD157" s="85"/>
      <c r="AG157" s="85"/>
      <c r="AH157" s="85"/>
      <c r="AI157" s="85"/>
    </row>
    <row r="158" spans="18:35" x14ac:dyDescent="0.3">
      <c r="R158" s="85"/>
      <c r="S158" s="85"/>
      <c r="T158" s="85"/>
      <c r="W158" s="85"/>
      <c r="X158" s="85"/>
      <c r="Y158" s="85"/>
      <c r="AB158" s="85"/>
      <c r="AC158" s="85"/>
      <c r="AD158" s="85"/>
      <c r="AG158" s="85"/>
      <c r="AH158" s="85"/>
      <c r="AI158" s="85"/>
    </row>
    <row r="159" spans="18:35" x14ac:dyDescent="0.3">
      <c r="R159" s="85"/>
      <c r="S159" s="85"/>
      <c r="T159" s="85"/>
      <c r="W159" s="85"/>
      <c r="X159" s="85"/>
      <c r="Y159" s="85"/>
      <c r="AB159" s="85"/>
      <c r="AC159" s="85"/>
      <c r="AD159" s="85"/>
      <c r="AG159" s="85"/>
      <c r="AH159" s="85"/>
      <c r="AI159" s="85"/>
    </row>
    <row r="160" spans="18:35" x14ac:dyDescent="0.3">
      <c r="R160" s="85"/>
      <c r="S160" s="85"/>
      <c r="T160" s="85"/>
      <c r="W160" s="85"/>
      <c r="X160" s="85"/>
      <c r="Y160" s="85"/>
      <c r="AB160" s="85"/>
      <c r="AC160" s="85"/>
      <c r="AD160" s="85"/>
      <c r="AG160" s="85"/>
      <c r="AH160" s="85"/>
      <c r="AI160" s="85"/>
    </row>
    <row r="161" spans="18:35" x14ac:dyDescent="0.3">
      <c r="R161" s="85"/>
      <c r="S161" s="85"/>
      <c r="T161" s="85"/>
      <c r="W161" s="85"/>
      <c r="X161" s="85"/>
      <c r="Y161" s="85"/>
      <c r="AB161" s="85"/>
      <c r="AC161" s="85"/>
      <c r="AD161" s="85"/>
      <c r="AG161" s="85"/>
      <c r="AH161" s="85"/>
      <c r="AI161" s="85"/>
    </row>
    <row r="162" spans="18:35" x14ac:dyDescent="0.3">
      <c r="R162" s="85"/>
      <c r="S162" s="85"/>
      <c r="T162" s="85"/>
      <c r="W162" s="85"/>
      <c r="X162" s="85"/>
      <c r="Y162" s="85"/>
      <c r="AB162" s="85"/>
      <c r="AC162" s="85"/>
      <c r="AD162" s="85"/>
      <c r="AG162" s="85"/>
      <c r="AH162" s="85"/>
      <c r="AI162" s="85"/>
    </row>
    <row r="163" spans="18:35" x14ac:dyDescent="0.3">
      <c r="R163" s="85"/>
      <c r="S163" s="85"/>
      <c r="T163" s="85"/>
      <c r="W163" s="85"/>
      <c r="X163" s="85"/>
      <c r="Y163" s="85"/>
      <c r="AB163" s="85"/>
      <c r="AC163" s="85"/>
      <c r="AD163" s="85"/>
      <c r="AG163" s="85"/>
      <c r="AH163" s="85"/>
      <c r="AI163" s="85"/>
    </row>
    <row r="164" spans="18:35" x14ac:dyDescent="0.3">
      <c r="R164" s="85"/>
      <c r="S164" s="85"/>
      <c r="T164" s="85"/>
      <c r="W164" s="85"/>
      <c r="X164" s="85"/>
      <c r="Y164" s="85"/>
      <c r="AB164" s="85"/>
      <c r="AC164" s="85"/>
      <c r="AD164" s="85"/>
      <c r="AG164" s="85"/>
      <c r="AH164" s="85"/>
      <c r="AI164" s="85"/>
    </row>
    <row r="165" spans="18:35" x14ac:dyDescent="0.3">
      <c r="R165" s="85"/>
      <c r="S165" s="85"/>
      <c r="T165" s="85"/>
      <c r="W165" s="85"/>
      <c r="X165" s="85"/>
      <c r="Y165" s="85"/>
      <c r="AB165" s="85"/>
      <c r="AC165" s="85"/>
      <c r="AD165" s="85"/>
      <c r="AG165" s="85"/>
      <c r="AH165" s="85"/>
      <c r="AI165" s="85"/>
    </row>
    <row r="166" spans="18:35" x14ac:dyDescent="0.3">
      <c r="R166" s="85"/>
      <c r="S166" s="85"/>
      <c r="T166" s="85"/>
      <c r="W166" s="85"/>
      <c r="X166" s="85"/>
      <c r="Y166" s="85"/>
      <c r="AB166" s="85"/>
      <c r="AC166" s="85"/>
      <c r="AD166" s="85"/>
      <c r="AG166" s="85"/>
      <c r="AH166" s="85"/>
      <c r="AI166" s="85"/>
    </row>
    <row r="167" spans="18:35" x14ac:dyDescent="0.3">
      <c r="R167" s="85"/>
      <c r="S167" s="85"/>
      <c r="T167" s="85"/>
      <c r="W167" s="85"/>
      <c r="X167" s="85"/>
      <c r="Y167" s="85"/>
      <c r="AB167" s="85"/>
      <c r="AC167" s="85"/>
      <c r="AD167" s="85"/>
      <c r="AG167" s="85"/>
      <c r="AH167" s="85"/>
      <c r="AI167" s="85"/>
    </row>
    <row r="168" spans="18:35" x14ac:dyDescent="0.3">
      <c r="R168" s="85"/>
      <c r="S168" s="85"/>
      <c r="T168" s="85"/>
      <c r="W168" s="85"/>
      <c r="X168" s="85"/>
      <c r="Y168" s="85"/>
      <c r="AB168" s="85"/>
      <c r="AC168" s="85"/>
      <c r="AD168" s="85"/>
      <c r="AG168" s="85"/>
      <c r="AH168" s="85"/>
      <c r="AI168" s="85"/>
    </row>
    <row r="169" spans="18:35" x14ac:dyDescent="0.3">
      <c r="R169" s="85"/>
      <c r="S169" s="85"/>
      <c r="T169" s="85"/>
      <c r="W169" s="85"/>
      <c r="X169" s="85"/>
      <c r="Y169" s="85"/>
      <c r="AB169" s="85"/>
      <c r="AC169" s="85"/>
      <c r="AD169" s="85"/>
      <c r="AG169" s="85"/>
      <c r="AH169" s="85"/>
      <c r="AI169" s="85"/>
    </row>
    <row r="170" spans="18:35" x14ac:dyDescent="0.3">
      <c r="R170" s="85"/>
      <c r="S170" s="85"/>
      <c r="T170" s="85"/>
      <c r="W170" s="85"/>
      <c r="X170" s="85"/>
      <c r="Y170" s="85"/>
      <c r="AB170" s="85"/>
      <c r="AC170" s="85"/>
      <c r="AD170" s="85"/>
      <c r="AG170" s="85"/>
      <c r="AH170" s="85"/>
      <c r="AI170" s="85"/>
    </row>
    <row r="171" spans="18:35" x14ac:dyDescent="0.3">
      <c r="R171" s="85"/>
      <c r="S171" s="85"/>
      <c r="T171" s="85"/>
      <c r="W171" s="85"/>
      <c r="X171" s="85"/>
      <c r="Y171" s="85"/>
      <c r="AB171" s="85"/>
      <c r="AC171" s="85"/>
      <c r="AD171" s="85"/>
      <c r="AG171" s="85"/>
      <c r="AH171" s="85"/>
      <c r="AI171" s="85"/>
    </row>
    <row r="172" spans="18:35" x14ac:dyDescent="0.3">
      <c r="R172" s="85"/>
      <c r="S172" s="85"/>
      <c r="T172" s="85"/>
      <c r="W172" s="85"/>
      <c r="X172" s="85"/>
      <c r="Y172" s="85"/>
      <c r="AB172" s="85"/>
      <c r="AC172" s="85"/>
      <c r="AD172" s="85"/>
      <c r="AG172" s="85"/>
      <c r="AH172" s="85"/>
      <c r="AI172" s="85"/>
    </row>
    <row r="173" spans="18:35" x14ac:dyDescent="0.3">
      <c r="R173" s="85"/>
      <c r="S173" s="85"/>
      <c r="T173" s="85"/>
      <c r="W173" s="85"/>
      <c r="X173" s="85"/>
      <c r="Y173" s="85"/>
      <c r="AB173" s="85"/>
      <c r="AC173" s="85"/>
      <c r="AD173" s="85"/>
      <c r="AG173" s="85"/>
      <c r="AH173" s="85"/>
      <c r="AI173" s="85"/>
    </row>
    <row r="174" spans="18:35" x14ac:dyDescent="0.3">
      <c r="R174" s="85"/>
      <c r="S174" s="85"/>
      <c r="T174" s="85"/>
      <c r="W174" s="85"/>
      <c r="X174" s="85"/>
      <c r="Y174" s="85"/>
      <c r="AB174" s="85"/>
      <c r="AC174" s="85"/>
      <c r="AD174" s="85"/>
      <c r="AG174" s="85"/>
      <c r="AH174" s="85"/>
      <c r="AI174" s="85"/>
    </row>
    <row r="175" spans="18:35" x14ac:dyDescent="0.3">
      <c r="R175" s="85"/>
      <c r="S175" s="85"/>
      <c r="T175" s="85"/>
      <c r="W175" s="85"/>
      <c r="X175" s="85"/>
      <c r="Y175" s="85"/>
      <c r="AB175" s="85"/>
      <c r="AC175" s="85"/>
      <c r="AD175" s="85"/>
      <c r="AG175" s="85"/>
      <c r="AH175" s="85"/>
      <c r="AI175" s="85"/>
    </row>
    <row r="176" spans="18:35" x14ac:dyDescent="0.3">
      <c r="R176" s="85"/>
      <c r="S176" s="85"/>
      <c r="T176" s="85"/>
      <c r="W176" s="85"/>
      <c r="X176" s="85"/>
      <c r="Y176" s="85"/>
      <c r="AB176" s="85"/>
      <c r="AC176" s="85"/>
      <c r="AD176" s="85"/>
      <c r="AG176" s="85"/>
      <c r="AH176" s="85"/>
      <c r="AI176" s="85"/>
    </row>
    <row r="177" spans="18:35" x14ac:dyDescent="0.3">
      <c r="R177" s="85"/>
      <c r="S177" s="85"/>
      <c r="T177" s="85"/>
      <c r="W177" s="85"/>
      <c r="X177" s="85"/>
      <c r="Y177" s="85"/>
      <c r="AB177" s="85"/>
      <c r="AC177" s="85"/>
      <c r="AD177" s="85"/>
      <c r="AG177" s="85"/>
      <c r="AH177" s="85"/>
      <c r="AI177" s="85"/>
    </row>
    <row r="178" spans="18:35" x14ac:dyDescent="0.3">
      <c r="R178" s="85"/>
      <c r="S178" s="85"/>
      <c r="T178" s="85"/>
      <c r="W178" s="85"/>
      <c r="X178" s="85"/>
      <c r="Y178" s="85"/>
      <c r="AB178" s="85"/>
      <c r="AC178" s="85"/>
      <c r="AD178" s="85"/>
      <c r="AG178" s="85"/>
      <c r="AH178" s="85"/>
      <c r="AI178" s="85"/>
    </row>
    <row r="179" spans="18:35" x14ac:dyDescent="0.3">
      <c r="R179" s="85"/>
      <c r="S179" s="85"/>
      <c r="T179" s="85"/>
      <c r="W179" s="85"/>
      <c r="X179" s="85"/>
      <c r="Y179" s="85"/>
      <c r="AB179" s="85"/>
      <c r="AC179" s="85"/>
      <c r="AD179" s="85"/>
      <c r="AG179" s="85"/>
      <c r="AH179" s="85"/>
      <c r="AI179" s="85"/>
    </row>
    <row r="180" spans="18:35" x14ac:dyDescent="0.3">
      <c r="R180" s="85"/>
      <c r="S180" s="85"/>
      <c r="T180" s="85"/>
      <c r="W180" s="85"/>
      <c r="X180" s="85"/>
      <c r="Y180" s="85"/>
      <c r="AB180" s="85"/>
      <c r="AC180" s="85"/>
      <c r="AD180" s="85"/>
      <c r="AG180" s="85"/>
      <c r="AH180" s="85"/>
      <c r="AI180" s="85"/>
    </row>
    <row r="181" spans="18:35" x14ac:dyDescent="0.3">
      <c r="R181" s="85"/>
      <c r="S181" s="85"/>
      <c r="T181" s="85"/>
      <c r="W181" s="85"/>
      <c r="X181" s="85"/>
      <c r="Y181" s="85"/>
      <c r="AB181" s="85"/>
      <c r="AC181" s="85"/>
      <c r="AD181" s="85"/>
      <c r="AG181" s="85"/>
      <c r="AH181" s="85"/>
      <c r="AI181" s="85"/>
    </row>
    <row r="182" spans="18:35" x14ac:dyDescent="0.3">
      <c r="R182" s="85"/>
      <c r="S182" s="85"/>
      <c r="T182" s="85"/>
      <c r="W182" s="85"/>
      <c r="X182" s="85"/>
      <c r="Y182" s="85"/>
      <c r="AB182" s="85"/>
      <c r="AC182" s="85"/>
      <c r="AD182" s="85"/>
      <c r="AG182" s="85"/>
      <c r="AH182" s="85"/>
      <c r="AI182" s="85"/>
    </row>
    <row r="183" spans="18:35" x14ac:dyDescent="0.3">
      <c r="R183" s="85"/>
      <c r="S183" s="85"/>
      <c r="T183" s="85"/>
      <c r="W183" s="85"/>
      <c r="X183" s="85"/>
      <c r="Y183" s="85"/>
      <c r="AB183" s="85"/>
      <c r="AC183" s="85"/>
      <c r="AD183" s="85"/>
      <c r="AG183" s="85"/>
      <c r="AH183" s="85"/>
      <c r="AI183" s="85"/>
    </row>
    <row r="184" spans="18:35" x14ac:dyDescent="0.3">
      <c r="R184" s="85"/>
      <c r="S184" s="85"/>
      <c r="T184" s="85"/>
      <c r="W184" s="85"/>
      <c r="X184" s="85"/>
      <c r="Y184" s="85"/>
      <c r="AB184" s="85"/>
      <c r="AC184" s="85"/>
      <c r="AD184" s="85"/>
      <c r="AG184" s="85"/>
      <c r="AH184" s="85"/>
      <c r="AI184" s="85"/>
    </row>
    <row r="185" spans="18:35" x14ac:dyDescent="0.3">
      <c r="R185" s="85"/>
      <c r="S185" s="85"/>
      <c r="T185" s="85"/>
      <c r="W185" s="85"/>
      <c r="X185" s="85"/>
      <c r="Y185" s="85"/>
      <c r="AB185" s="85"/>
      <c r="AC185" s="85"/>
      <c r="AD185" s="85"/>
      <c r="AG185" s="85"/>
      <c r="AH185" s="85"/>
      <c r="AI185" s="85"/>
    </row>
    <row r="186" spans="18:35" x14ac:dyDescent="0.3">
      <c r="R186" s="85"/>
      <c r="S186" s="85"/>
      <c r="T186" s="85"/>
      <c r="W186" s="85"/>
      <c r="X186" s="85"/>
      <c r="Y186" s="85"/>
      <c r="AB186" s="85"/>
      <c r="AC186" s="85"/>
      <c r="AD186" s="85"/>
      <c r="AG186" s="85"/>
      <c r="AH186" s="85"/>
      <c r="AI186" s="85"/>
    </row>
    <row r="187" spans="18:35" x14ac:dyDescent="0.3">
      <c r="R187" s="85"/>
      <c r="S187" s="85"/>
      <c r="T187" s="85"/>
      <c r="W187" s="85"/>
      <c r="X187" s="85"/>
      <c r="Y187" s="85"/>
      <c r="AB187" s="85"/>
      <c r="AC187" s="85"/>
      <c r="AD187" s="85"/>
      <c r="AG187" s="85"/>
      <c r="AH187" s="85"/>
      <c r="AI187" s="85"/>
    </row>
    <row r="188" spans="18:35" x14ac:dyDescent="0.3">
      <c r="R188" s="85"/>
      <c r="S188" s="85"/>
      <c r="T188" s="85"/>
      <c r="W188" s="85"/>
      <c r="X188" s="85"/>
      <c r="Y188" s="85"/>
      <c r="AB188" s="85"/>
      <c r="AC188" s="85"/>
      <c r="AD188" s="85"/>
      <c r="AG188" s="85"/>
      <c r="AH188" s="85"/>
      <c r="AI188" s="85"/>
    </row>
    <row r="189" spans="18:35" x14ac:dyDescent="0.3">
      <c r="R189" s="85"/>
      <c r="S189" s="85"/>
      <c r="T189" s="85"/>
      <c r="W189" s="85"/>
      <c r="X189" s="85"/>
      <c r="Y189" s="85"/>
      <c r="AB189" s="85"/>
      <c r="AC189" s="85"/>
      <c r="AD189" s="85"/>
      <c r="AG189" s="85"/>
      <c r="AH189" s="85"/>
      <c r="AI189" s="85"/>
    </row>
    <row r="190" spans="18:35" x14ac:dyDescent="0.3">
      <c r="R190" s="85"/>
      <c r="S190" s="85"/>
      <c r="T190" s="85"/>
      <c r="W190" s="85"/>
      <c r="X190" s="85"/>
      <c r="Y190" s="85"/>
      <c r="AB190" s="85"/>
      <c r="AC190" s="85"/>
      <c r="AD190" s="85"/>
      <c r="AG190" s="85"/>
      <c r="AH190" s="85"/>
      <c r="AI190" s="85"/>
    </row>
    <row r="191" spans="18:35" x14ac:dyDescent="0.3">
      <c r="R191" s="85"/>
      <c r="S191" s="85"/>
      <c r="T191" s="85"/>
      <c r="W191" s="85"/>
      <c r="X191" s="85"/>
      <c r="Y191" s="85"/>
      <c r="AB191" s="85"/>
      <c r="AC191" s="85"/>
      <c r="AD191" s="85"/>
      <c r="AG191" s="85"/>
      <c r="AH191" s="85"/>
      <c r="AI191" s="85"/>
    </row>
    <row r="192" spans="18:35" x14ac:dyDescent="0.3">
      <c r="R192" s="85"/>
      <c r="S192" s="85"/>
      <c r="T192" s="85"/>
      <c r="W192" s="85"/>
      <c r="X192" s="85"/>
      <c r="Y192" s="85"/>
      <c r="AB192" s="85"/>
      <c r="AC192" s="85"/>
      <c r="AD192" s="85"/>
      <c r="AG192" s="85"/>
      <c r="AH192" s="85"/>
      <c r="AI192" s="85"/>
    </row>
    <row r="193" spans="18:35" x14ac:dyDescent="0.3">
      <c r="R193" s="85"/>
      <c r="S193" s="85"/>
      <c r="T193" s="85"/>
      <c r="W193" s="85"/>
      <c r="X193" s="85"/>
      <c r="Y193" s="85"/>
      <c r="AB193" s="85"/>
      <c r="AC193" s="85"/>
      <c r="AD193" s="85"/>
      <c r="AG193" s="85"/>
      <c r="AH193" s="85"/>
      <c r="AI193" s="85"/>
    </row>
    <row r="194" spans="18:35" x14ac:dyDescent="0.3">
      <c r="R194" s="85"/>
      <c r="S194" s="85"/>
      <c r="T194" s="85"/>
      <c r="W194" s="85"/>
      <c r="X194" s="85"/>
      <c r="Y194" s="85"/>
      <c r="AB194" s="85"/>
      <c r="AC194" s="85"/>
      <c r="AD194" s="85"/>
      <c r="AG194" s="85"/>
      <c r="AH194" s="85"/>
      <c r="AI194" s="85"/>
    </row>
    <row r="195" spans="18:35" x14ac:dyDescent="0.3">
      <c r="R195" s="85"/>
      <c r="S195" s="85"/>
      <c r="T195" s="85"/>
      <c r="W195" s="85"/>
      <c r="X195" s="85"/>
      <c r="Y195" s="85"/>
      <c r="AB195" s="85"/>
      <c r="AC195" s="85"/>
      <c r="AD195" s="85"/>
      <c r="AG195" s="85"/>
      <c r="AH195" s="85"/>
      <c r="AI195" s="85"/>
    </row>
    <row r="196" spans="18:35" x14ac:dyDescent="0.3">
      <c r="R196" s="85"/>
      <c r="S196" s="85"/>
      <c r="T196" s="85"/>
      <c r="W196" s="85"/>
      <c r="X196" s="85"/>
      <c r="Y196" s="85"/>
      <c r="AB196" s="85"/>
      <c r="AC196" s="85"/>
      <c r="AD196" s="85"/>
      <c r="AG196" s="85"/>
      <c r="AH196" s="85"/>
      <c r="AI196" s="85"/>
    </row>
    <row r="197" spans="18:35" x14ac:dyDescent="0.3">
      <c r="R197" s="85"/>
      <c r="S197" s="85"/>
      <c r="T197" s="85"/>
      <c r="W197" s="85"/>
      <c r="X197" s="85"/>
      <c r="Y197" s="85"/>
      <c r="AB197" s="85"/>
      <c r="AC197" s="85"/>
      <c r="AD197" s="85"/>
      <c r="AG197" s="85"/>
      <c r="AH197" s="85"/>
      <c r="AI197" s="85"/>
    </row>
    <row r="198" spans="18:35" x14ac:dyDescent="0.3">
      <c r="R198" s="85"/>
      <c r="S198" s="85"/>
      <c r="T198" s="85"/>
      <c r="W198" s="85"/>
      <c r="X198" s="85"/>
      <c r="Y198" s="85"/>
      <c r="AB198" s="85"/>
      <c r="AC198" s="85"/>
      <c r="AD198" s="85"/>
      <c r="AG198" s="85"/>
      <c r="AH198" s="85"/>
      <c r="AI198" s="85"/>
    </row>
    <row r="199" spans="18:35" x14ac:dyDescent="0.3">
      <c r="R199" s="85"/>
      <c r="S199" s="85"/>
      <c r="T199" s="85"/>
      <c r="W199" s="85"/>
      <c r="X199" s="85"/>
      <c r="Y199" s="85"/>
      <c r="AB199" s="85"/>
      <c r="AC199" s="85"/>
      <c r="AD199" s="85"/>
      <c r="AG199" s="85"/>
      <c r="AH199" s="85"/>
      <c r="AI199" s="85"/>
    </row>
    <row r="200" spans="18:35" x14ac:dyDescent="0.3">
      <c r="R200" s="85"/>
      <c r="S200" s="85"/>
      <c r="T200" s="85"/>
      <c r="W200" s="85"/>
      <c r="X200" s="85"/>
      <c r="Y200" s="85"/>
      <c r="AB200" s="85"/>
      <c r="AC200" s="85"/>
      <c r="AD200" s="85"/>
      <c r="AG200" s="85"/>
      <c r="AH200" s="85"/>
      <c r="AI200" s="85"/>
    </row>
    <row r="201" spans="18:35" x14ac:dyDescent="0.3">
      <c r="R201" s="85"/>
      <c r="S201" s="85"/>
      <c r="T201" s="85"/>
      <c r="W201" s="85"/>
      <c r="X201" s="85"/>
      <c r="Y201" s="85"/>
      <c r="AB201" s="85"/>
      <c r="AC201" s="85"/>
      <c r="AD201" s="85"/>
      <c r="AG201" s="85"/>
      <c r="AH201" s="85"/>
      <c r="AI201" s="85"/>
    </row>
    <row r="202" spans="18:35" x14ac:dyDescent="0.3">
      <c r="R202" s="85"/>
      <c r="S202" s="85"/>
      <c r="T202" s="85"/>
      <c r="W202" s="85"/>
      <c r="X202" s="85"/>
      <c r="Y202" s="85"/>
      <c r="AB202" s="85"/>
      <c r="AC202" s="85"/>
      <c r="AD202" s="85"/>
      <c r="AG202" s="85"/>
      <c r="AH202" s="85"/>
      <c r="AI202" s="85"/>
    </row>
    <row r="203" spans="18:35" x14ac:dyDescent="0.3">
      <c r="R203" s="85"/>
      <c r="S203" s="85"/>
      <c r="T203" s="85"/>
      <c r="W203" s="85"/>
      <c r="X203" s="85"/>
      <c r="Y203" s="85"/>
      <c r="AB203" s="85"/>
      <c r="AC203" s="85"/>
      <c r="AD203" s="85"/>
      <c r="AG203" s="85"/>
      <c r="AH203" s="85"/>
      <c r="AI203" s="85"/>
    </row>
    <row r="204" spans="18:35" x14ac:dyDescent="0.3">
      <c r="R204" s="85"/>
      <c r="S204" s="85"/>
      <c r="T204" s="85"/>
      <c r="W204" s="85"/>
      <c r="X204" s="85"/>
      <c r="Y204" s="85"/>
      <c r="AB204" s="85"/>
      <c r="AC204" s="85"/>
      <c r="AD204" s="85"/>
      <c r="AG204" s="85"/>
      <c r="AH204" s="85"/>
      <c r="AI204" s="85"/>
    </row>
    <row r="205" spans="18:35" x14ac:dyDescent="0.3">
      <c r="R205" s="85"/>
      <c r="S205" s="85"/>
      <c r="T205" s="85"/>
      <c r="W205" s="85"/>
      <c r="X205" s="85"/>
      <c r="Y205" s="85"/>
      <c r="AB205" s="85"/>
      <c r="AC205" s="85"/>
      <c r="AD205" s="85"/>
      <c r="AG205" s="85"/>
      <c r="AH205" s="85"/>
      <c r="AI205" s="85"/>
    </row>
    <row r="206" spans="18:35" x14ac:dyDescent="0.3">
      <c r="R206" s="85"/>
      <c r="S206" s="85"/>
      <c r="T206" s="85"/>
      <c r="W206" s="85"/>
      <c r="X206" s="85"/>
      <c r="Y206" s="85"/>
      <c r="AB206" s="85"/>
      <c r="AC206" s="85"/>
      <c r="AD206" s="85"/>
      <c r="AG206" s="85"/>
      <c r="AH206" s="85"/>
      <c r="AI206" s="85"/>
    </row>
    <row r="207" spans="18:35" x14ac:dyDescent="0.3">
      <c r="R207" s="85"/>
      <c r="S207" s="85"/>
      <c r="T207" s="85"/>
      <c r="W207" s="85"/>
      <c r="X207" s="85"/>
      <c r="Y207" s="85"/>
      <c r="AB207" s="85"/>
      <c r="AC207" s="85"/>
      <c r="AD207" s="85"/>
      <c r="AG207" s="85"/>
      <c r="AH207" s="85"/>
      <c r="AI207" s="85"/>
    </row>
    <row r="208" spans="18:35" x14ac:dyDescent="0.3">
      <c r="R208" s="85"/>
      <c r="S208" s="85"/>
      <c r="T208" s="85"/>
      <c r="W208" s="85"/>
      <c r="X208" s="85"/>
      <c r="Y208" s="85"/>
      <c r="AB208" s="85"/>
      <c r="AC208" s="85"/>
      <c r="AD208" s="85"/>
      <c r="AG208" s="85"/>
      <c r="AH208" s="85"/>
      <c r="AI208" s="85"/>
    </row>
    <row r="209" spans="18:35" x14ac:dyDescent="0.3">
      <c r="R209" s="85"/>
      <c r="S209" s="85"/>
      <c r="T209" s="85"/>
      <c r="W209" s="85"/>
      <c r="X209" s="85"/>
      <c r="Y209" s="85"/>
      <c r="AB209" s="85"/>
      <c r="AC209" s="85"/>
      <c r="AD209" s="85"/>
      <c r="AG209" s="85"/>
      <c r="AH209" s="85"/>
      <c r="AI209" s="85"/>
    </row>
    <row r="210" spans="18:35" x14ac:dyDescent="0.3">
      <c r="R210" s="85"/>
      <c r="S210" s="85"/>
      <c r="T210" s="85"/>
      <c r="W210" s="85"/>
      <c r="X210" s="85"/>
      <c r="Y210" s="85"/>
      <c r="AB210" s="85"/>
      <c r="AC210" s="85"/>
      <c r="AD210" s="85"/>
      <c r="AG210" s="85"/>
      <c r="AH210" s="85"/>
      <c r="AI210" s="85"/>
    </row>
    <row r="211" spans="18:35" x14ac:dyDescent="0.3">
      <c r="R211" s="85"/>
      <c r="S211" s="85"/>
      <c r="T211" s="85"/>
      <c r="W211" s="85"/>
      <c r="X211" s="85"/>
      <c r="Y211" s="85"/>
      <c r="AB211" s="85"/>
      <c r="AC211" s="85"/>
      <c r="AD211" s="85"/>
      <c r="AG211" s="85"/>
      <c r="AH211" s="85"/>
      <c r="AI211" s="85"/>
    </row>
    <row r="212" spans="18:35" x14ac:dyDescent="0.3">
      <c r="R212" s="85"/>
      <c r="S212" s="85"/>
      <c r="T212" s="85"/>
      <c r="W212" s="85"/>
      <c r="X212" s="85"/>
      <c r="Y212" s="85"/>
      <c r="AB212" s="85"/>
      <c r="AC212" s="85"/>
      <c r="AD212" s="85"/>
      <c r="AG212" s="85"/>
      <c r="AH212" s="85"/>
      <c r="AI212" s="85"/>
    </row>
    <row r="213" spans="18:35" x14ac:dyDescent="0.3">
      <c r="R213" s="85"/>
      <c r="S213" s="85"/>
      <c r="T213" s="85"/>
      <c r="W213" s="85"/>
      <c r="X213" s="85"/>
      <c r="Y213" s="85"/>
      <c r="AB213" s="85"/>
      <c r="AC213" s="85"/>
      <c r="AD213" s="85"/>
      <c r="AG213" s="85"/>
      <c r="AH213" s="85"/>
      <c r="AI213" s="85"/>
    </row>
    <row r="214" spans="18:35" x14ac:dyDescent="0.3">
      <c r="R214" s="85"/>
      <c r="S214" s="85"/>
      <c r="T214" s="85"/>
      <c r="W214" s="85"/>
      <c r="X214" s="85"/>
      <c r="Y214" s="85"/>
      <c r="AB214" s="85"/>
      <c r="AC214" s="85"/>
      <c r="AD214" s="85"/>
      <c r="AG214" s="85"/>
      <c r="AH214" s="85"/>
      <c r="AI214" s="85"/>
    </row>
    <row r="215" spans="18:35" x14ac:dyDescent="0.3">
      <c r="R215" s="85"/>
      <c r="S215" s="85"/>
      <c r="T215" s="85"/>
      <c r="W215" s="85"/>
      <c r="X215" s="85"/>
      <c r="Y215" s="85"/>
      <c r="AB215" s="85"/>
      <c r="AC215" s="85"/>
      <c r="AD215" s="85"/>
      <c r="AG215" s="85"/>
      <c r="AH215" s="85"/>
      <c r="AI215" s="85"/>
    </row>
    <row r="216" spans="18:35" x14ac:dyDescent="0.3">
      <c r="R216" s="85"/>
      <c r="S216" s="85"/>
      <c r="T216" s="85"/>
      <c r="W216" s="85"/>
      <c r="X216" s="85"/>
      <c r="Y216" s="85"/>
      <c r="AB216" s="85"/>
      <c r="AC216" s="85"/>
      <c r="AD216" s="85"/>
      <c r="AG216" s="85"/>
      <c r="AH216" s="85"/>
      <c r="AI216" s="85"/>
    </row>
    <row r="217" spans="18:35" x14ac:dyDescent="0.3">
      <c r="R217" s="85"/>
      <c r="S217" s="85"/>
      <c r="T217" s="85"/>
      <c r="W217" s="85"/>
      <c r="X217" s="85"/>
      <c r="Y217" s="85"/>
      <c r="AB217" s="85"/>
      <c r="AC217" s="85"/>
      <c r="AD217" s="85"/>
      <c r="AG217" s="85"/>
      <c r="AH217" s="85"/>
      <c r="AI217" s="85"/>
    </row>
    <row r="218" spans="18:35" x14ac:dyDescent="0.3">
      <c r="R218" s="85"/>
      <c r="S218" s="85"/>
      <c r="T218" s="85"/>
      <c r="W218" s="85"/>
      <c r="X218" s="85"/>
      <c r="Y218" s="85"/>
      <c r="AB218" s="85"/>
      <c r="AC218" s="85"/>
      <c r="AD218" s="85"/>
      <c r="AG218" s="85"/>
      <c r="AH218" s="85"/>
      <c r="AI218" s="85"/>
    </row>
    <row r="219" spans="18:35" x14ac:dyDescent="0.3">
      <c r="R219" s="85"/>
      <c r="S219" s="85"/>
      <c r="T219" s="85"/>
      <c r="W219" s="85"/>
      <c r="X219" s="85"/>
      <c r="Y219" s="85"/>
      <c r="AB219" s="85"/>
      <c r="AC219" s="85"/>
      <c r="AD219" s="85"/>
      <c r="AG219" s="85"/>
      <c r="AH219" s="85"/>
      <c r="AI219" s="85"/>
    </row>
    <row r="220" spans="18:35" x14ac:dyDescent="0.3">
      <c r="R220" s="85"/>
      <c r="S220" s="85"/>
      <c r="T220" s="85"/>
      <c r="W220" s="85"/>
      <c r="X220" s="85"/>
      <c r="Y220" s="85"/>
      <c r="AB220" s="85"/>
      <c r="AC220" s="85"/>
      <c r="AD220" s="85"/>
      <c r="AG220" s="85"/>
      <c r="AH220" s="85"/>
      <c r="AI220" s="85"/>
    </row>
    <row r="221" spans="18:35" x14ac:dyDescent="0.3">
      <c r="R221" s="85"/>
      <c r="S221" s="85"/>
      <c r="T221" s="85"/>
      <c r="W221" s="85"/>
      <c r="X221" s="85"/>
      <c r="Y221" s="85"/>
      <c r="AB221" s="85"/>
      <c r="AC221" s="85"/>
      <c r="AD221" s="85"/>
      <c r="AG221" s="85"/>
      <c r="AH221" s="85"/>
      <c r="AI221" s="85"/>
    </row>
    <row r="222" spans="18:35" x14ac:dyDescent="0.3">
      <c r="R222" s="85"/>
      <c r="S222" s="85"/>
      <c r="T222" s="85"/>
      <c r="W222" s="85"/>
      <c r="X222" s="85"/>
      <c r="Y222" s="85"/>
      <c r="AB222" s="85"/>
      <c r="AC222" s="85"/>
      <c r="AD222" s="85"/>
      <c r="AG222" s="85"/>
      <c r="AH222" s="85"/>
      <c r="AI222" s="85"/>
    </row>
    <row r="223" spans="18:35" x14ac:dyDescent="0.3">
      <c r="R223" s="85"/>
      <c r="S223" s="85"/>
      <c r="T223" s="85"/>
      <c r="W223" s="85"/>
      <c r="X223" s="85"/>
      <c r="Y223" s="85"/>
      <c r="AB223" s="85"/>
      <c r="AC223" s="85"/>
      <c r="AD223" s="85"/>
      <c r="AG223" s="85"/>
      <c r="AH223" s="85"/>
      <c r="AI223" s="85"/>
    </row>
    <row r="224" spans="18:35" x14ac:dyDescent="0.3">
      <c r="R224" s="85"/>
      <c r="S224" s="85"/>
      <c r="T224" s="85"/>
      <c r="W224" s="85"/>
      <c r="X224" s="85"/>
      <c r="Y224" s="85"/>
      <c r="AB224" s="85"/>
      <c r="AC224" s="85"/>
      <c r="AD224" s="85"/>
      <c r="AG224" s="85"/>
      <c r="AH224" s="85"/>
      <c r="AI224" s="85"/>
    </row>
    <row r="225" spans="18:35" x14ac:dyDescent="0.3">
      <c r="R225" s="85"/>
      <c r="S225" s="85"/>
      <c r="T225" s="85"/>
      <c r="W225" s="85"/>
      <c r="X225" s="85"/>
      <c r="Y225" s="85"/>
      <c r="AB225" s="85"/>
      <c r="AC225" s="85"/>
      <c r="AD225" s="85"/>
      <c r="AG225" s="85"/>
      <c r="AH225" s="85"/>
      <c r="AI225" s="85"/>
    </row>
    <row r="226" spans="18:35" x14ac:dyDescent="0.3">
      <c r="R226" s="85"/>
      <c r="S226" s="85"/>
      <c r="T226" s="85"/>
      <c r="W226" s="85"/>
      <c r="X226" s="85"/>
      <c r="Y226" s="85"/>
      <c r="AB226" s="85"/>
      <c r="AC226" s="85"/>
      <c r="AD226" s="85"/>
      <c r="AG226" s="85"/>
      <c r="AH226" s="85"/>
      <c r="AI226" s="85"/>
    </row>
    <row r="227" spans="18:35" x14ac:dyDescent="0.3">
      <c r="R227" s="85"/>
      <c r="S227" s="85"/>
      <c r="T227" s="85"/>
      <c r="W227" s="85"/>
      <c r="X227" s="85"/>
      <c r="Y227" s="85"/>
      <c r="AB227" s="85"/>
      <c r="AC227" s="85"/>
      <c r="AD227" s="85"/>
      <c r="AG227" s="85"/>
      <c r="AH227" s="85"/>
      <c r="AI227" s="85"/>
    </row>
    <row r="228" spans="18:35" x14ac:dyDescent="0.3">
      <c r="R228" s="85"/>
      <c r="S228" s="85"/>
      <c r="T228" s="85"/>
      <c r="W228" s="85"/>
      <c r="X228" s="85"/>
      <c r="Y228" s="85"/>
      <c r="AB228" s="85"/>
      <c r="AC228" s="85"/>
      <c r="AD228" s="85"/>
      <c r="AG228" s="85"/>
      <c r="AH228" s="85"/>
      <c r="AI228" s="85"/>
    </row>
    <row r="229" spans="18:35" x14ac:dyDescent="0.3">
      <c r="R229" s="85"/>
      <c r="S229" s="85"/>
      <c r="T229" s="85"/>
      <c r="W229" s="85"/>
      <c r="X229" s="85"/>
      <c r="Y229" s="85"/>
      <c r="AB229" s="85"/>
      <c r="AC229" s="85"/>
      <c r="AD229" s="85"/>
      <c r="AG229" s="85"/>
      <c r="AH229" s="85"/>
      <c r="AI229" s="85"/>
    </row>
    <row r="230" spans="18:35" x14ac:dyDescent="0.3">
      <c r="R230" s="85"/>
      <c r="S230" s="85"/>
      <c r="T230" s="85"/>
      <c r="W230" s="85"/>
      <c r="X230" s="85"/>
      <c r="Y230" s="85"/>
      <c r="AB230" s="85"/>
      <c r="AC230" s="85"/>
      <c r="AD230" s="85"/>
      <c r="AG230" s="85"/>
      <c r="AH230" s="85"/>
      <c r="AI230" s="85"/>
    </row>
    <row r="231" spans="18:35" x14ac:dyDescent="0.3">
      <c r="R231" s="85"/>
      <c r="S231" s="85"/>
      <c r="T231" s="85"/>
      <c r="W231" s="85"/>
      <c r="X231" s="85"/>
      <c r="Y231" s="85"/>
      <c r="AB231" s="85"/>
      <c r="AC231" s="85"/>
      <c r="AD231" s="85"/>
      <c r="AG231" s="85"/>
      <c r="AH231" s="85"/>
      <c r="AI231" s="85"/>
    </row>
    <row r="232" spans="18:35" x14ac:dyDescent="0.3">
      <c r="R232" s="85"/>
      <c r="S232" s="85"/>
      <c r="T232" s="85"/>
      <c r="W232" s="85"/>
      <c r="X232" s="85"/>
      <c r="Y232" s="85"/>
      <c r="AB232" s="85"/>
      <c r="AC232" s="85"/>
      <c r="AD232" s="85"/>
      <c r="AG232" s="85"/>
      <c r="AH232" s="85"/>
      <c r="AI232" s="85"/>
    </row>
    <row r="233" spans="18:35" x14ac:dyDescent="0.3">
      <c r="R233" s="85"/>
      <c r="S233" s="85"/>
      <c r="T233" s="85"/>
      <c r="W233" s="85"/>
      <c r="X233" s="85"/>
      <c r="Y233" s="85"/>
      <c r="AB233" s="85"/>
      <c r="AC233" s="85"/>
      <c r="AD233" s="85"/>
      <c r="AG233" s="85"/>
      <c r="AH233" s="85"/>
      <c r="AI233" s="85"/>
    </row>
    <row r="234" spans="18:35" x14ac:dyDescent="0.3">
      <c r="R234" s="85"/>
      <c r="S234" s="85"/>
      <c r="T234" s="85"/>
      <c r="W234" s="85"/>
      <c r="X234" s="85"/>
      <c r="Y234" s="85"/>
      <c r="AB234" s="85"/>
      <c r="AC234" s="85"/>
      <c r="AD234" s="85"/>
      <c r="AG234" s="85"/>
      <c r="AH234" s="85"/>
      <c r="AI234" s="85"/>
    </row>
    <row r="235" spans="18:35" x14ac:dyDescent="0.3">
      <c r="R235" s="85"/>
      <c r="S235" s="85"/>
      <c r="T235" s="85"/>
      <c r="W235" s="85"/>
      <c r="X235" s="85"/>
      <c r="Y235" s="85"/>
      <c r="AB235" s="85"/>
      <c r="AC235" s="85"/>
      <c r="AD235" s="85"/>
      <c r="AG235" s="85"/>
      <c r="AH235" s="85"/>
      <c r="AI235" s="85"/>
    </row>
    <row r="236" spans="18:35" x14ac:dyDescent="0.3">
      <c r="R236" s="85"/>
      <c r="S236" s="85"/>
      <c r="T236" s="85"/>
      <c r="W236" s="85"/>
      <c r="X236" s="85"/>
      <c r="Y236" s="85"/>
      <c r="AB236" s="85"/>
      <c r="AC236" s="85"/>
      <c r="AD236" s="85"/>
      <c r="AG236" s="85"/>
      <c r="AH236" s="85"/>
      <c r="AI236" s="85"/>
    </row>
    <row r="237" spans="18:35" x14ac:dyDescent="0.3">
      <c r="R237" s="85"/>
      <c r="S237" s="85"/>
      <c r="T237" s="85"/>
      <c r="W237" s="85"/>
      <c r="X237" s="85"/>
      <c r="Y237" s="85"/>
      <c r="AB237" s="85"/>
      <c r="AC237" s="85"/>
      <c r="AD237" s="85"/>
      <c r="AG237" s="85"/>
      <c r="AH237" s="85"/>
      <c r="AI237" s="85"/>
    </row>
    <row r="238" spans="18:35" x14ac:dyDescent="0.3">
      <c r="R238" s="85"/>
      <c r="S238" s="85"/>
      <c r="T238" s="85"/>
      <c r="W238" s="85"/>
      <c r="X238" s="85"/>
      <c r="Y238" s="85"/>
      <c r="AB238" s="85"/>
      <c r="AC238" s="85"/>
      <c r="AD238" s="85"/>
      <c r="AG238" s="85"/>
      <c r="AH238" s="85"/>
      <c r="AI238" s="85"/>
    </row>
    <row r="239" spans="18:35" x14ac:dyDescent="0.3">
      <c r="R239" s="85"/>
      <c r="S239" s="85"/>
      <c r="T239" s="85"/>
      <c r="W239" s="85"/>
      <c r="X239" s="85"/>
      <c r="Y239" s="85"/>
      <c r="AB239" s="85"/>
      <c r="AC239" s="85"/>
      <c r="AD239" s="85"/>
      <c r="AG239" s="85"/>
      <c r="AH239" s="85"/>
      <c r="AI239" s="85"/>
    </row>
    <row r="240" spans="18:35" x14ac:dyDescent="0.3">
      <c r="R240" s="85"/>
      <c r="S240" s="85"/>
      <c r="T240" s="85"/>
      <c r="W240" s="85"/>
      <c r="X240" s="85"/>
      <c r="Y240" s="85"/>
      <c r="AB240" s="85"/>
      <c r="AC240" s="85"/>
      <c r="AD240" s="85"/>
      <c r="AG240" s="85"/>
      <c r="AH240" s="85"/>
      <c r="AI240" s="85"/>
    </row>
    <row r="241" spans="18:35" x14ac:dyDescent="0.3">
      <c r="R241" s="85"/>
      <c r="S241" s="85"/>
      <c r="T241" s="85"/>
      <c r="W241" s="85"/>
      <c r="X241" s="85"/>
      <c r="Y241" s="85"/>
      <c r="AB241" s="85"/>
      <c r="AC241" s="85"/>
      <c r="AD241" s="85"/>
      <c r="AG241" s="85"/>
      <c r="AH241" s="85"/>
      <c r="AI241" s="85"/>
    </row>
    <row r="242" spans="18:35" x14ac:dyDescent="0.3">
      <c r="R242" s="85"/>
      <c r="S242" s="85"/>
      <c r="T242" s="85"/>
      <c r="W242" s="85"/>
      <c r="X242" s="85"/>
      <c r="Y242" s="85"/>
      <c r="AB242" s="85"/>
      <c r="AC242" s="85"/>
      <c r="AD242" s="85"/>
      <c r="AG242" s="85"/>
      <c r="AH242" s="85"/>
      <c r="AI242" s="85"/>
    </row>
    <row r="243" spans="18:35" x14ac:dyDescent="0.3">
      <c r="R243" s="85"/>
      <c r="S243" s="85"/>
      <c r="T243" s="85"/>
      <c r="W243" s="85"/>
      <c r="X243" s="85"/>
      <c r="Y243" s="85"/>
      <c r="AB243" s="85"/>
      <c r="AC243" s="85"/>
      <c r="AD243" s="85"/>
      <c r="AG243" s="85"/>
      <c r="AH243" s="85"/>
      <c r="AI243" s="85"/>
    </row>
    <row r="244" spans="18:35" x14ac:dyDescent="0.3">
      <c r="R244" s="85"/>
      <c r="S244" s="85"/>
      <c r="T244" s="85"/>
      <c r="W244" s="85"/>
      <c r="X244" s="85"/>
      <c r="Y244" s="85"/>
      <c r="AB244" s="85"/>
      <c r="AC244" s="85"/>
      <c r="AD244" s="85"/>
      <c r="AG244" s="85"/>
      <c r="AH244" s="85"/>
      <c r="AI244" s="85"/>
    </row>
    <row r="245" spans="18:35" x14ac:dyDescent="0.3">
      <c r="R245" s="85"/>
      <c r="S245" s="85"/>
      <c r="T245" s="85"/>
      <c r="W245" s="85"/>
      <c r="X245" s="85"/>
      <c r="Y245" s="85"/>
      <c r="AB245" s="85"/>
      <c r="AC245" s="85"/>
      <c r="AD245" s="85"/>
      <c r="AG245" s="85"/>
      <c r="AH245" s="85"/>
      <c r="AI245" s="85"/>
    </row>
    <row r="246" spans="18:35" x14ac:dyDescent="0.3">
      <c r="R246" s="85"/>
      <c r="S246" s="85"/>
      <c r="T246" s="85"/>
      <c r="W246" s="85"/>
      <c r="X246" s="85"/>
      <c r="Y246" s="85"/>
      <c r="AB246" s="85"/>
      <c r="AC246" s="85"/>
      <c r="AD246" s="85"/>
      <c r="AG246" s="85"/>
      <c r="AH246" s="85"/>
      <c r="AI246" s="85"/>
    </row>
    <row r="247" spans="18:35" x14ac:dyDescent="0.3">
      <c r="R247" s="85"/>
      <c r="S247" s="85"/>
      <c r="T247" s="85"/>
      <c r="W247" s="85"/>
      <c r="X247" s="85"/>
      <c r="Y247" s="85"/>
      <c r="AB247" s="85"/>
      <c r="AC247" s="85"/>
      <c r="AD247" s="85"/>
      <c r="AG247" s="85"/>
      <c r="AH247" s="85"/>
      <c r="AI247" s="85"/>
    </row>
    <row r="248" spans="18:35" x14ac:dyDescent="0.3">
      <c r="R248" s="85"/>
      <c r="S248" s="85"/>
      <c r="T248" s="85"/>
      <c r="W248" s="85"/>
      <c r="X248" s="85"/>
      <c r="Y248" s="85"/>
      <c r="AB248" s="85"/>
      <c r="AC248" s="85"/>
      <c r="AD248" s="85"/>
      <c r="AG248" s="85"/>
      <c r="AH248" s="85"/>
      <c r="AI248" s="85"/>
    </row>
    <row r="249" spans="18:35" x14ac:dyDescent="0.3">
      <c r="R249" s="85"/>
      <c r="S249" s="85"/>
      <c r="T249" s="85"/>
      <c r="W249" s="85"/>
      <c r="X249" s="85"/>
      <c r="Y249" s="85"/>
      <c r="AB249" s="85"/>
      <c r="AC249" s="85"/>
      <c r="AD249" s="85"/>
      <c r="AG249" s="85"/>
      <c r="AH249" s="85"/>
      <c r="AI249" s="85"/>
    </row>
    <row r="250" spans="18:35" x14ac:dyDescent="0.3">
      <c r="R250" s="85"/>
      <c r="S250" s="85"/>
      <c r="T250" s="85"/>
      <c r="W250" s="85"/>
      <c r="X250" s="85"/>
      <c r="Y250" s="85"/>
      <c r="AB250" s="85"/>
      <c r="AC250" s="85"/>
      <c r="AD250" s="85"/>
      <c r="AG250" s="85"/>
      <c r="AH250" s="85"/>
      <c r="AI250" s="85"/>
    </row>
    <row r="251" spans="18:35" x14ac:dyDescent="0.3">
      <c r="R251" s="85"/>
      <c r="S251" s="85"/>
      <c r="T251" s="85"/>
      <c r="W251" s="85"/>
      <c r="X251" s="85"/>
      <c r="Y251" s="85"/>
      <c r="AB251" s="85"/>
      <c r="AC251" s="85"/>
      <c r="AD251" s="85"/>
      <c r="AG251" s="85"/>
      <c r="AH251" s="85"/>
      <c r="AI251" s="85"/>
    </row>
    <row r="252" spans="18:35" x14ac:dyDescent="0.3">
      <c r="R252" s="85"/>
      <c r="S252" s="85"/>
      <c r="T252" s="85"/>
      <c r="W252" s="85"/>
      <c r="X252" s="85"/>
      <c r="Y252" s="85"/>
      <c r="AB252" s="85"/>
      <c r="AC252" s="85"/>
      <c r="AD252" s="85"/>
      <c r="AG252" s="85"/>
      <c r="AH252" s="85"/>
      <c r="AI252" s="85"/>
    </row>
    <row r="253" spans="18:35" x14ac:dyDescent="0.3">
      <c r="R253" s="85"/>
      <c r="S253" s="85"/>
      <c r="T253" s="85"/>
      <c r="W253" s="85"/>
      <c r="X253" s="85"/>
      <c r="Y253" s="85"/>
      <c r="AB253" s="85"/>
      <c r="AC253" s="85"/>
      <c r="AD253" s="85"/>
      <c r="AG253" s="85"/>
      <c r="AH253" s="85"/>
      <c r="AI253" s="85"/>
    </row>
    <row r="254" spans="18:35" x14ac:dyDescent="0.3">
      <c r="R254" s="85"/>
      <c r="S254" s="85"/>
      <c r="T254" s="85"/>
      <c r="W254" s="85"/>
      <c r="X254" s="85"/>
      <c r="Y254" s="85"/>
      <c r="AB254" s="85"/>
      <c r="AC254" s="85"/>
      <c r="AD254" s="85"/>
      <c r="AG254" s="85"/>
      <c r="AH254" s="85"/>
      <c r="AI254" s="85"/>
    </row>
    <row r="255" spans="18:35" x14ac:dyDescent="0.3">
      <c r="R255" s="85"/>
      <c r="S255" s="85"/>
      <c r="T255" s="85"/>
      <c r="W255" s="85"/>
      <c r="X255" s="85"/>
      <c r="Y255" s="85"/>
      <c r="AB255" s="85"/>
      <c r="AC255" s="85"/>
      <c r="AD255" s="85"/>
      <c r="AG255" s="85"/>
      <c r="AH255" s="85"/>
      <c r="AI255" s="85"/>
    </row>
    <row r="256" spans="18:35" x14ac:dyDescent="0.3">
      <c r="R256" s="85"/>
      <c r="S256" s="85"/>
      <c r="T256" s="85"/>
      <c r="W256" s="85"/>
      <c r="X256" s="85"/>
      <c r="Y256" s="85"/>
      <c r="AB256" s="85"/>
      <c r="AC256" s="85"/>
      <c r="AD256" s="85"/>
      <c r="AG256" s="85"/>
      <c r="AH256" s="85"/>
      <c r="AI256" s="85"/>
    </row>
    <row r="257" spans="18:35" x14ac:dyDescent="0.3">
      <c r="R257" s="85"/>
      <c r="S257" s="85"/>
      <c r="T257" s="85"/>
      <c r="W257" s="85"/>
      <c r="X257" s="85"/>
      <c r="Y257" s="85"/>
      <c r="AB257" s="85"/>
      <c r="AC257" s="85"/>
      <c r="AD257" s="85"/>
      <c r="AG257" s="85"/>
      <c r="AH257" s="85"/>
      <c r="AI257" s="85"/>
    </row>
    <row r="258" spans="18:35" x14ac:dyDescent="0.3">
      <c r="R258" s="85"/>
      <c r="S258" s="85"/>
      <c r="T258" s="85"/>
      <c r="W258" s="85"/>
      <c r="X258" s="85"/>
      <c r="Y258" s="85"/>
      <c r="AB258" s="85"/>
      <c r="AC258" s="85"/>
      <c r="AD258" s="85"/>
      <c r="AG258" s="85"/>
      <c r="AH258" s="85"/>
      <c r="AI258" s="85"/>
    </row>
    <row r="259" spans="18:35" x14ac:dyDescent="0.3">
      <c r="R259" s="85"/>
      <c r="S259" s="85"/>
      <c r="T259" s="85"/>
      <c r="W259" s="85"/>
      <c r="X259" s="85"/>
      <c r="Y259" s="85"/>
      <c r="AB259" s="85"/>
      <c r="AC259" s="85"/>
      <c r="AD259" s="85"/>
      <c r="AG259" s="85"/>
      <c r="AH259" s="85"/>
      <c r="AI259" s="85"/>
    </row>
    <row r="260" spans="18:35" x14ac:dyDescent="0.3">
      <c r="R260" s="85"/>
      <c r="S260" s="85"/>
      <c r="T260" s="85"/>
      <c r="W260" s="85"/>
      <c r="X260" s="85"/>
      <c r="Y260" s="85"/>
      <c r="AB260" s="85"/>
      <c r="AC260" s="85"/>
      <c r="AD260" s="85"/>
      <c r="AG260" s="85"/>
      <c r="AH260" s="85"/>
      <c r="AI260" s="85"/>
    </row>
    <row r="261" spans="18:35" x14ac:dyDescent="0.3">
      <c r="R261" s="85"/>
      <c r="S261" s="85"/>
      <c r="T261" s="85"/>
      <c r="W261" s="85"/>
      <c r="X261" s="85"/>
      <c r="Y261" s="85"/>
      <c r="AB261" s="85"/>
      <c r="AC261" s="85"/>
      <c r="AD261" s="85"/>
      <c r="AG261" s="85"/>
      <c r="AH261" s="85"/>
      <c r="AI261" s="85"/>
    </row>
    <row r="262" spans="18:35" x14ac:dyDescent="0.3">
      <c r="R262" s="85"/>
      <c r="S262" s="85"/>
      <c r="T262" s="85"/>
      <c r="W262" s="85"/>
      <c r="X262" s="85"/>
      <c r="Y262" s="85"/>
      <c r="AB262" s="85"/>
      <c r="AC262" s="85"/>
      <c r="AD262" s="85"/>
      <c r="AG262" s="85"/>
      <c r="AH262" s="85"/>
      <c r="AI262" s="85"/>
    </row>
    <row r="263" spans="18:35" x14ac:dyDescent="0.3">
      <c r="R263" s="85"/>
      <c r="S263" s="85"/>
      <c r="T263" s="85"/>
      <c r="W263" s="85"/>
      <c r="X263" s="85"/>
      <c r="Y263" s="85"/>
      <c r="AB263" s="85"/>
      <c r="AC263" s="85"/>
      <c r="AD263" s="85"/>
      <c r="AG263" s="85"/>
      <c r="AH263" s="85"/>
      <c r="AI263" s="85"/>
    </row>
    <row r="264" spans="18:35" x14ac:dyDescent="0.3">
      <c r="R264" s="85"/>
      <c r="S264" s="85"/>
      <c r="T264" s="85"/>
      <c r="W264" s="85"/>
      <c r="X264" s="85"/>
      <c r="Y264" s="85"/>
      <c r="AB264" s="85"/>
      <c r="AC264" s="85"/>
      <c r="AD264" s="85"/>
      <c r="AG264" s="85"/>
      <c r="AH264" s="85"/>
      <c r="AI264" s="85"/>
    </row>
    <row r="265" spans="18:35" x14ac:dyDescent="0.3">
      <c r="R265" s="85"/>
      <c r="S265" s="85"/>
      <c r="T265" s="85"/>
      <c r="W265" s="85"/>
      <c r="X265" s="85"/>
      <c r="Y265" s="85"/>
      <c r="AB265" s="85"/>
      <c r="AC265" s="85"/>
      <c r="AD265" s="85"/>
      <c r="AG265" s="85"/>
      <c r="AH265" s="85"/>
      <c r="AI265" s="85"/>
    </row>
    <row r="266" spans="18:35" x14ac:dyDescent="0.3">
      <c r="R266" s="85"/>
      <c r="S266" s="85"/>
      <c r="T266" s="85"/>
      <c r="W266" s="85"/>
      <c r="X266" s="85"/>
      <c r="Y266" s="85"/>
      <c r="AB266" s="85"/>
      <c r="AC266" s="85"/>
      <c r="AD266" s="85"/>
      <c r="AG266" s="85"/>
      <c r="AH266" s="85"/>
      <c r="AI266" s="85"/>
    </row>
    <row r="267" spans="18:35" x14ac:dyDescent="0.3">
      <c r="R267" s="85"/>
      <c r="S267" s="85"/>
      <c r="T267" s="85"/>
      <c r="W267" s="85"/>
      <c r="X267" s="85"/>
      <c r="Y267" s="85"/>
      <c r="AB267" s="85"/>
      <c r="AC267" s="85"/>
      <c r="AD267" s="85"/>
      <c r="AG267" s="85"/>
      <c r="AH267" s="85"/>
      <c r="AI267" s="85"/>
    </row>
    <row r="268" spans="18:35" x14ac:dyDescent="0.3">
      <c r="R268" s="85"/>
      <c r="S268" s="85"/>
      <c r="T268" s="85"/>
      <c r="W268" s="85"/>
      <c r="X268" s="85"/>
      <c r="Y268" s="85"/>
      <c r="AB268" s="85"/>
      <c r="AC268" s="85"/>
      <c r="AD268" s="85"/>
      <c r="AG268" s="85"/>
      <c r="AH268" s="85"/>
      <c r="AI268" s="85"/>
    </row>
    <row r="269" spans="18:35" x14ac:dyDescent="0.3">
      <c r="R269" s="85"/>
      <c r="S269" s="85"/>
      <c r="T269" s="85"/>
      <c r="W269" s="85"/>
      <c r="X269" s="85"/>
      <c r="Y269" s="85"/>
      <c r="AB269" s="85"/>
      <c r="AC269" s="85"/>
      <c r="AD269" s="85"/>
      <c r="AG269" s="85"/>
      <c r="AH269" s="85"/>
      <c r="AI269" s="85"/>
    </row>
    <row r="270" spans="18:35" x14ac:dyDescent="0.3">
      <c r="R270" s="85"/>
      <c r="S270" s="85"/>
      <c r="T270" s="85"/>
      <c r="W270" s="85"/>
      <c r="X270" s="85"/>
      <c r="Y270" s="85"/>
      <c r="AB270" s="85"/>
      <c r="AC270" s="85"/>
      <c r="AD270" s="85"/>
      <c r="AG270" s="85"/>
      <c r="AH270" s="85"/>
      <c r="AI270" s="85"/>
    </row>
    <row r="271" spans="18:35" x14ac:dyDescent="0.3">
      <c r="R271" s="85"/>
      <c r="S271" s="85"/>
      <c r="T271" s="85"/>
      <c r="W271" s="85"/>
      <c r="X271" s="85"/>
      <c r="Y271" s="85"/>
      <c r="AB271" s="85"/>
      <c r="AC271" s="85"/>
      <c r="AD271" s="85"/>
      <c r="AG271" s="85"/>
      <c r="AH271" s="85"/>
      <c r="AI271" s="85"/>
    </row>
    <row r="272" spans="18:35" x14ac:dyDescent="0.3">
      <c r="R272" s="85"/>
      <c r="S272" s="85"/>
      <c r="T272" s="85"/>
      <c r="W272" s="85"/>
      <c r="X272" s="85"/>
      <c r="Y272" s="85"/>
      <c r="AB272" s="85"/>
      <c r="AC272" s="85"/>
      <c r="AD272" s="85"/>
      <c r="AG272" s="85"/>
      <c r="AH272" s="85"/>
      <c r="AI272" s="85"/>
    </row>
    <row r="273" spans="18:35" x14ac:dyDescent="0.3">
      <c r="R273" s="85"/>
      <c r="S273" s="85"/>
      <c r="T273" s="85"/>
      <c r="W273" s="85"/>
      <c r="X273" s="85"/>
      <c r="Y273" s="85"/>
      <c r="AB273" s="85"/>
      <c r="AC273" s="85"/>
      <c r="AD273" s="85"/>
      <c r="AG273" s="85"/>
      <c r="AH273" s="85"/>
      <c r="AI273" s="85"/>
    </row>
    <row r="274" spans="18:35" x14ac:dyDescent="0.3">
      <c r="R274" s="85"/>
      <c r="S274" s="85"/>
      <c r="T274" s="85"/>
      <c r="W274" s="85"/>
      <c r="X274" s="85"/>
      <c r="Y274" s="85"/>
      <c r="AB274" s="85"/>
      <c r="AC274" s="85"/>
      <c r="AD274" s="85"/>
      <c r="AG274" s="85"/>
      <c r="AH274" s="85"/>
      <c r="AI274" s="85"/>
    </row>
    <row r="275" spans="18:35" x14ac:dyDescent="0.3">
      <c r="R275" s="85"/>
      <c r="S275" s="85"/>
      <c r="T275" s="85"/>
      <c r="W275" s="85"/>
      <c r="X275" s="85"/>
      <c r="Y275" s="85"/>
      <c r="AB275" s="85"/>
      <c r="AC275" s="85"/>
      <c r="AD275" s="85"/>
      <c r="AG275" s="85"/>
      <c r="AH275" s="85"/>
      <c r="AI275" s="85"/>
    </row>
    <row r="276" spans="18:35" x14ac:dyDescent="0.3">
      <c r="R276" s="85"/>
      <c r="S276" s="85"/>
      <c r="T276" s="85"/>
      <c r="W276" s="85"/>
      <c r="X276" s="85"/>
      <c r="Y276" s="85"/>
      <c r="AB276" s="85"/>
      <c r="AC276" s="85"/>
      <c r="AD276" s="85"/>
      <c r="AG276" s="85"/>
      <c r="AH276" s="85"/>
      <c r="AI276" s="85"/>
    </row>
    <row r="277" spans="18:35" x14ac:dyDescent="0.3">
      <c r="R277" s="85"/>
      <c r="S277" s="85"/>
      <c r="T277" s="85"/>
      <c r="W277" s="85"/>
      <c r="X277" s="85"/>
      <c r="Y277" s="85"/>
      <c r="AB277" s="85"/>
      <c r="AC277" s="85"/>
      <c r="AD277" s="85"/>
      <c r="AG277" s="85"/>
      <c r="AH277" s="85"/>
      <c r="AI277" s="85"/>
    </row>
    <row r="278" spans="18:35" x14ac:dyDescent="0.3">
      <c r="R278" s="85"/>
      <c r="S278" s="85"/>
      <c r="T278" s="85"/>
      <c r="W278" s="85"/>
      <c r="X278" s="85"/>
      <c r="Y278" s="85"/>
      <c r="AB278" s="85"/>
      <c r="AC278" s="85"/>
      <c r="AD278" s="85"/>
      <c r="AG278" s="85"/>
      <c r="AH278" s="85"/>
      <c r="AI278" s="85"/>
    </row>
    <row r="279" spans="18:35" x14ac:dyDescent="0.3">
      <c r="R279" s="85"/>
      <c r="S279" s="85"/>
      <c r="T279" s="85"/>
      <c r="W279" s="85"/>
      <c r="X279" s="85"/>
      <c r="Y279" s="85"/>
      <c r="AB279" s="85"/>
      <c r="AC279" s="85"/>
      <c r="AD279" s="85"/>
      <c r="AG279" s="85"/>
      <c r="AH279" s="85"/>
      <c r="AI279" s="85"/>
    </row>
    <row r="280" spans="18:35" x14ac:dyDescent="0.3">
      <c r="R280" s="85"/>
      <c r="S280" s="85"/>
      <c r="T280" s="85"/>
      <c r="W280" s="85"/>
      <c r="X280" s="85"/>
      <c r="Y280" s="85"/>
      <c r="AB280" s="85"/>
      <c r="AC280" s="85"/>
      <c r="AD280" s="85"/>
      <c r="AG280" s="85"/>
      <c r="AH280" s="85"/>
      <c r="AI280" s="85"/>
    </row>
    <row r="281" spans="18:35" x14ac:dyDescent="0.3">
      <c r="R281" s="85"/>
      <c r="S281" s="85"/>
      <c r="T281" s="85"/>
      <c r="W281" s="85"/>
      <c r="X281" s="85"/>
      <c r="Y281" s="85"/>
      <c r="AB281" s="85"/>
      <c r="AC281" s="85"/>
      <c r="AD281" s="85"/>
      <c r="AG281" s="85"/>
      <c r="AH281" s="85"/>
      <c r="AI281" s="85"/>
    </row>
    <row r="282" spans="18:35" x14ac:dyDescent="0.3">
      <c r="R282" s="85"/>
      <c r="S282" s="85"/>
      <c r="T282" s="85"/>
      <c r="W282" s="85"/>
      <c r="X282" s="85"/>
      <c r="Y282" s="85"/>
      <c r="AB282" s="85"/>
      <c r="AC282" s="85"/>
      <c r="AD282" s="85"/>
      <c r="AG282" s="85"/>
      <c r="AH282" s="85"/>
      <c r="AI282" s="85"/>
    </row>
    <row r="283" spans="18:35" x14ac:dyDescent="0.3">
      <c r="R283" s="85"/>
      <c r="S283" s="85"/>
      <c r="T283" s="85"/>
      <c r="W283" s="85"/>
      <c r="X283" s="85"/>
      <c r="Y283" s="85"/>
      <c r="AB283" s="85"/>
      <c r="AC283" s="85"/>
      <c r="AD283" s="85"/>
      <c r="AG283" s="85"/>
      <c r="AH283" s="85"/>
      <c r="AI283" s="85"/>
    </row>
    <row r="284" spans="18:35" x14ac:dyDescent="0.3">
      <c r="R284" s="85"/>
      <c r="S284" s="85"/>
      <c r="T284" s="85"/>
      <c r="W284" s="85"/>
      <c r="X284" s="85"/>
      <c r="Y284" s="85"/>
      <c r="AB284" s="85"/>
      <c r="AC284" s="85"/>
      <c r="AD284" s="85"/>
      <c r="AG284" s="85"/>
      <c r="AH284" s="85"/>
      <c r="AI284" s="85"/>
    </row>
    <row r="285" spans="18:35" x14ac:dyDescent="0.3">
      <c r="R285" s="85"/>
      <c r="S285" s="85"/>
      <c r="T285" s="85"/>
      <c r="W285" s="85"/>
      <c r="X285" s="85"/>
      <c r="Y285" s="85"/>
      <c r="AB285" s="85"/>
      <c r="AC285" s="85"/>
      <c r="AD285" s="85"/>
      <c r="AG285" s="85"/>
      <c r="AH285" s="85"/>
      <c r="AI285" s="85"/>
    </row>
    <row r="286" spans="18:35" x14ac:dyDescent="0.3">
      <c r="R286" s="85"/>
      <c r="S286" s="85"/>
      <c r="T286" s="85"/>
      <c r="W286" s="85"/>
      <c r="X286" s="85"/>
      <c r="Y286" s="85"/>
      <c r="AB286" s="85"/>
      <c r="AC286" s="85"/>
      <c r="AD286" s="85"/>
      <c r="AG286" s="85"/>
      <c r="AH286" s="85"/>
      <c r="AI286" s="85"/>
    </row>
    <row r="287" spans="18:35" x14ac:dyDescent="0.3">
      <c r="R287" s="85"/>
      <c r="S287" s="85"/>
      <c r="T287" s="85"/>
      <c r="W287" s="85"/>
      <c r="X287" s="85"/>
      <c r="Y287" s="85"/>
      <c r="AB287" s="85"/>
      <c r="AC287" s="85"/>
      <c r="AD287" s="85"/>
      <c r="AG287" s="85"/>
      <c r="AH287" s="85"/>
      <c r="AI287" s="85"/>
    </row>
    <row r="288" spans="18:35" x14ac:dyDescent="0.3">
      <c r="R288" s="85"/>
      <c r="S288" s="85"/>
      <c r="T288" s="85"/>
      <c r="W288" s="85"/>
      <c r="X288" s="85"/>
      <c r="Y288" s="85"/>
      <c r="AB288" s="85"/>
      <c r="AC288" s="85"/>
      <c r="AD288" s="85"/>
      <c r="AG288" s="85"/>
      <c r="AH288" s="85"/>
      <c r="AI288" s="85"/>
    </row>
    <row r="289" spans="18:35" x14ac:dyDescent="0.3">
      <c r="R289" s="85"/>
      <c r="S289" s="85"/>
      <c r="T289" s="85"/>
      <c r="W289" s="85"/>
      <c r="X289" s="85"/>
      <c r="Y289" s="85"/>
      <c r="AB289" s="85"/>
      <c r="AC289" s="85"/>
      <c r="AD289" s="85"/>
      <c r="AG289" s="85"/>
      <c r="AH289" s="85"/>
      <c r="AI289" s="85"/>
    </row>
    <row r="290" spans="18:35" x14ac:dyDescent="0.3">
      <c r="R290" s="85"/>
      <c r="S290" s="85"/>
      <c r="T290" s="85"/>
      <c r="W290" s="85"/>
      <c r="X290" s="85"/>
      <c r="Y290" s="85"/>
      <c r="AB290" s="85"/>
      <c r="AC290" s="85"/>
      <c r="AD290" s="85"/>
      <c r="AG290" s="85"/>
      <c r="AH290" s="85"/>
      <c r="AI290" s="85"/>
    </row>
    <row r="291" spans="18:35" x14ac:dyDescent="0.3">
      <c r="R291" s="85"/>
      <c r="S291" s="85"/>
      <c r="T291" s="85"/>
      <c r="W291" s="85"/>
      <c r="X291" s="85"/>
      <c r="Y291" s="85"/>
      <c r="AB291" s="85"/>
      <c r="AC291" s="85"/>
      <c r="AD291" s="85"/>
      <c r="AG291" s="85"/>
      <c r="AH291" s="85"/>
      <c r="AI291" s="85"/>
    </row>
    <row r="292" spans="18:35" x14ac:dyDescent="0.3">
      <c r="R292" s="85"/>
      <c r="S292" s="85"/>
      <c r="T292" s="85"/>
      <c r="W292" s="85"/>
      <c r="X292" s="85"/>
      <c r="Y292" s="85"/>
      <c r="AB292" s="85"/>
      <c r="AC292" s="85"/>
      <c r="AD292" s="85"/>
      <c r="AG292" s="85"/>
      <c r="AH292" s="85"/>
      <c r="AI292" s="85"/>
    </row>
    <row r="293" spans="18:35" x14ac:dyDescent="0.3">
      <c r="R293" s="85"/>
      <c r="S293" s="85"/>
      <c r="T293" s="85"/>
      <c r="W293" s="85"/>
      <c r="X293" s="85"/>
      <c r="Y293" s="85"/>
      <c r="AB293" s="85"/>
      <c r="AC293" s="85"/>
      <c r="AD293" s="85"/>
      <c r="AG293" s="85"/>
      <c r="AH293" s="85"/>
      <c r="AI293" s="85"/>
    </row>
    <row r="294" spans="18:35" x14ac:dyDescent="0.3">
      <c r="R294" s="85"/>
      <c r="S294" s="85"/>
      <c r="T294" s="85"/>
      <c r="W294" s="85"/>
      <c r="X294" s="85"/>
      <c r="Y294" s="85"/>
      <c r="AB294" s="85"/>
      <c r="AC294" s="85"/>
      <c r="AD294" s="85"/>
      <c r="AG294" s="85"/>
      <c r="AH294" s="85"/>
      <c r="AI294" s="85"/>
    </row>
    <row r="295" spans="18:35" x14ac:dyDescent="0.3">
      <c r="R295" s="85"/>
      <c r="S295" s="85"/>
      <c r="T295" s="85"/>
      <c r="W295" s="85"/>
      <c r="X295" s="85"/>
      <c r="Y295" s="85"/>
      <c r="AB295" s="85"/>
      <c r="AC295" s="85"/>
      <c r="AD295" s="85"/>
      <c r="AG295" s="85"/>
      <c r="AH295" s="85"/>
      <c r="AI295" s="85"/>
    </row>
    <row r="296" spans="18:35" x14ac:dyDescent="0.3">
      <c r="R296" s="85"/>
      <c r="S296" s="85"/>
      <c r="T296" s="85"/>
      <c r="W296" s="85"/>
      <c r="X296" s="85"/>
      <c r="Y296" s="85"/>
      <c r="AB296" s="85"/>
      <c r="AC296" s="85"/>
      <c r="AD296" s="85"/>
      <c r="AG296" s="85"/>
      <c r="AH296" s="85"/>
      <c r="AI296" s="85"/>
    </row>
    <row r="297" spans="18:35" x14ac:dyDescent="0.3">
      <c r="R297" s="85"/>
      <c r="S297" s="85"/>
      <c r="T297" s="85"/>
      <c r="W297" s="85"/>
      <c r="X297" s="85"/>
      <c r="Y297" s="85"/>
      <c r="AB297" s="85"/>
      <c r="AC297" s="85"/>
      <c r="AD297" s="85"/>
      <c r="AG297" s="85"/>
      <c r="AH297" s="85"/>
      <c r="AI297" s="85"/>
    </row>
    <row r="298" spans="18:35" x14ac:dyDescent="0.3">
      <c r="R298" s="85"/>
      <c r="S298" s="85"/>
      <c r="T298" s="85"/>
      <c r="W298" s="85"/>
      <c r="X298" s="85"/>
      <c r="Y298" s="85"/>
      <c r="AB298" s="85"/>
      <c r="AC298" s="85"/>
      <c r="AD298" s="85"/>
      <c r="AG298" s="85"/>
      <c r="AH298" s="85"/>
      <c r="AI298" s="85"/>
    </row>
    <row r="299" spans="18:35" x14ac:dyDescent="0.3">
      <c r="R299" s="85"/>
      <c r="S299" s="85"/>
      <c r="T299" s="85"/>
      <c r="W299" s="85"/>
      <c r="X299" s="85"/>
      <c r="Y299" s="85"/>
      <c r="AB299" s="85"/>
      <c r="AC299" s="85"/>
      <c r="AD299" s="85"/>
      <c r="AG299" s="85"/>
      <c r="AH299" s="85"/>
      <c r="AI299" s="85"/>
    </row>
    <row r="300" spans="18:35" x14ac:dyDescent="0.3">
      <c r="R300" s="85"/>
      <c r="S300" s="85"/>
      <c r="T300" s="85"/>
      <c r="W300" s="85"/>
      <c r="X300" s="85"/>
      <c r="Y300" s="85"/>
      <c r="AB300" s="85"/>
      <c r="AC300" s="85"/>
      <c r="AD300" s="85"/>
      <c r="AG300" s="85"/>
      <c r="AH300" s="85"/>
      <c r="AI300" s="85"/>
    </row>
    <row r="301" spans="18:35" x14ac:dyDescent="0.3">
      <c r="R301" s="85"/>
      <c r="S301" s="85"/>
      <c r="T301" s="85"/>
      <c r="W301" s="85"/>
      <c r="X301" s="85"/>
      <c r="Y301" s="85"/>
      <c r="AB301" s="85"/>
      <c r="AC301" s="85"/>
      <c r="AD301" s="85"/>
      <c r="AG301" s="85"/>
      <c r="AH301" s="85"/>
      <c r="AI301" s="85"/>
    </row>
    <row r="302" spans="18:35" x14ac:dyDescent="0.3">
      <c r="R302" s="85"/>
      <c r="S302" s="85"/>
      <c r="T302" s="85"/>
      <c r="W302" s="85"/>
      <c r="X302" s="85"/>
      <c r="Y302" s="85"/>
      <c r="AB302" s="85"/>
      <c r="AC302" s="85"/>
      <c r="AD302" s="85"/>
      <c r="AG302" s="85"/>
      <c r="AH302" s="85"/>
      <c r="AI302" s="85"/>
    </row>
    <row r="303" spans="18:35" x14ac:dyDescent="0.3">
      <c r="R303" s="85"/>
      <c r="S303" s="85"/>
      <c r="T303" s="85"/>
      <c r="W303" s="85"/>
      <c r="X303" s="85"/>
      <c r="Y303" s="85"/>
      <c r="AB303" s="85"/>
      <c r="AC303" s="85"/>
      <c r="AD303" s="85"/>
      <c r="AG303" s="85"/>
      <c r="AH303" s="85"/>
      <c r="AI303" s="85"/>
    </row>
    <row r="304" spans="18:35" x14ac:dyDescent="0.3">
      <c r="R304" s="85"/>
      <c r="S304" s="85"/>
      <c r="T304" s="85"/>
      <c r="W304" s="85"/>
      <c r="X304" s="85"/>
      <c r="Y304" s="85"/>
      <c r="AB304" s="85"/>
      <c r="AC304" s="85"/>
      <c r="AD304" s="85"/>
      <c r="AG304" s="85"/>
      <c r="AH304" s="85"/>
      <c r="AI304" s="85"/>
    </row>
    <row r="305" spans="18:35" x14ac:dyDescent="0.3">
      <c r="R305" s="85"/>
      <c r="S305" s="85"/>
      <c r="T305" s="85"/>
      <c r="W305" s="85"/>
      <c r="X305" s="85"/>
      <c r="Y305" s="85"/>
      <c r="AB305" s="85"/>
      <c r="AC305" s="85"/>
      <c r="AD305" s="85"/>
      <c r="AG305" s="85"/>
      <c r="AH305" s="85"/>
      <c r="AI305" s="85"/>
    </row>
    <row r="306" spans="18:35" x14ac:dyDescent="0.3">
      <c r="R306" s="85"/>
      <c r="S306" s="85"/>
      <c r="T306" s="85"/>
      <c r="W306" s="85"/>
      <c r="X306" s="85"/>
      <c r="Y306" s="85"/>
      <c r="AB306" s="85"/>
      <c r="AC306" s="85"/>
      <c r="AD306" s="85"/>
      <c r="AG306" s="85"/>
      <c r="AH306" s="85"/>
      <c r="AI306" s="85"/>
    </row>
    <row r="307" spans="18:35" x14ac:dyDescent="0.3">
      <c r="R307" s="85"/>
      <c r="S307" s="85"/>
      <c r="T307" s="85"/>
      <c r="W307" s="85"/>
      <c r="X307" s="85"/>
      <c r="Y307" s="85"/>
      <c r="AB307" s="85"/>
      <c r="AC307" s="85"/>
      <c r="AD307" s="85"/>
      <c r="AG307" s="85"/>
      <c r="AH307" s="85"/>
      <c r="AI307" s="85"/>
    </row>
    <row r="308" spans="18:35" x14ac:dyDescent="0.3">
      <c r="R308" s="85"/>
      <c r="S308" s="85"/>
      <c r="T308" s="85"/>
      <c r="W308" s="85"/>
      <c r="X308" s="85"/>
      <c r="Y308" s="85"/>
      <c r="AB308" s="85"/>
      <c r="AC308" s="85"/>
      <c r="AD308" s="85"/>
      <c r="AG308" s="85"/>
      <c r="AH308" s="85"/>
      <c r="AI308" s="85"/>
    </row>
    <row r="309" spans="18:35" x14ac:dyDescent="0.3">
      <c r="R309" s="85"/>
      <c r="S309" s="85"/>
      <c r="T309" s="85"/>
      <c r="W309" s="85"/>
      <c r="X309" s="85"/>
      <c r="Y309" s="85"/>
      <c r="AB309" s="85"/>
      <c r="AC309" s="85"/>
      <c r="AD309" s="85"/>
      <c r="AG309" s="85"/>
      <c r="AH309" s="85"/>
      <c r="AI309" s="85"/>
    </row>
    <row r="310" spans="18:35" x14ac:dyDescent="0.3">
      <c r="R310" s="85"/>
      <c r="S310" s="85"/>
      <c r="T310" s="85"/>
      <c r="W310" s="85"/>
      <c r="X310" s="85"/>
      <c r="Y310" s="85"/>
      <c r="AB310" s="85"/>
      <c r="AC310" s="85"/>
      <c r="AD310" s="85"/>
      <c r="AG310" s="85"/>
      <c r="AH310" s="85"/>
      <c r="AI310" s="85"/>
    </row>
    <row r="311" spans="18:35" x14ac:dyDescent="0.3">
      <c r="R311" s="85"/>
      <c r="S311" s="85"/>
      <c r="T311" s="85"/>
      <c r="W311" s="85"/>
      <c r="X311" s="85"/>
      <c r="Y311" s="85"/>
      <c r="AB311" s="85"/>
      <c r="AC311" s="85"/>
      <c r="AD311" s="85"/>
      <c r="AG311" s="85"/>
      <c r="AH311" s="85"/>
      <c r="AI311" s="85"/>
    </row>
    <row r="312" spans="18:35" x14ac:dyDescent="0.3">
      <c r="R312" s="85"/>
      <c r="S312" s="85"/>
      <c r="T312" s="85"/>
      <c r="W312" s="85"/>
      <c r="X312" s="85"/>
      <c r="Y312" s="85"/>
      <c r="AB312" s="85"/>
      <c r="AC312" s="85"/>
      <c r="AD312" s="85"/>
      <c r="AG312" s="85"/>
      <c r="AH312" s="85"/>
      <c r="AI312" s="85"/>
    </row>
    <row r="313" spans="18:35" x14ac:dyDescent="0.3">
      <c r="R313" s="85"/>
      <c r="S313" s="85"/>
      <c r="T313" s="85"/>
      <c r="W313" s="85"/>
      <c r="X313" s="85"/>
      <c r="Y313" s="85"/>
      <c r="AB313" s="85"/>
      <c r="AC313" s="85"/>
      <c r="AD313" s="85"/>
      <c r="AG313" s="85"/>
      <c r="AH313" s="85"/>
      <c r="AI313" s="85"/>
    </row>
    <row r="314" spans="18:35" x14ac:dyDescent="0.3">
      <c r="R314" s="85"/>
      <c r="S314" s="85"/>
      <c r="T314" s="85"/>
      <c r="W314" s="85"/>
      <c r="X314" s="85"/>
      <c r="Y314" s="85"/>
      <c r="AB314" s="85"/>
      <c r="AC314" s="85"/>
      <c r="AD314" s="85"/>
      <c r="AG314" s="85"/>
      <c r="AH314" s="85"/>
      <c r="AI314" s="85"/>
    </row>
    <row r="315" spans="18:35" x14ac:dyDescent="0.3">
      <c r="R315" s="85"/>
      <c r="S315" s="85"/>
      <c r="T315" s="85"/>
      <c r="W315" s="85"/>
      <c r="X315" s="85"/>
      <c r="Y315" s="85"/>
      <c r="AB315" s="85"/>
      <c r="AC315" s="85"/>
      <c r="AD315" s="85"/>
      <c r="AG315" s="85"/>
      <c r="AH315" s="85"/>
      <c r="AI315" s="85"/>
    </row>
    <row r="316" spans="18:35" x14ac:dyDescent="0.3">
      <c r="R316" s="85"/>
      <c r="S316" s="85"/>
      <c r="T316" s="85"/>
      <c r="W316" s="85"/>
      <c r="X316" s="85"/>
      <c r="Y316" s="85"/>
      <c r="AB316" s="85"/>
      <c r="AC316" s="85"/>
      <c r="AD316" s="85"/>
      <c r="AG316" s="85"/>
      <c r="AH316" s="85"/>
      <c r="AI316" s="85"/>
    </row>
    <row r="317" spans="18:35" x14ac:dyDescent="0.3">
      <c r="R317" s="85"/>
      <c r="S317" s="85"/>
      <c r="T317" s="85"/>
      <c r="W317" s="85"/>
      <c r="X317" s="85"/>
      <c r="Y317" s="85"/>
      <c r="AB317" s="85"/>
      <c r="AC317" s="85"/>
      <c r="AD317" s="85"/>
      <c r="AG317" s="85"/>
      <c r="AH317" s="85"/>
      <c r="AI317" s="85"/>
    </row>
    <row r="318" spans="18:35" x14ac:dyDescent="0.3">
      <c r="R318" s="85"/>
      <c r="S318" s="85"/>
      <c r="T318" s="85"/>
      <c r="W318" s="85"/>
      <c r="X318" s="85"/>
      <c r="Y318" s="85"/>
      <c r="AB318" s="85"/>
      <c r="AC318" s="85"/>
      <c r="AD318" s="85"/>
      <c r="AG318" s="85"/>
      <c r="AH318" s="85"/>
      <c r="AI318" s="85"/>
    </row>
    <row r="319" spans="18:35" x14ac:dyDescent="0.3">
      <c r="R319" s="85"/>
      <c r="S319" s="85"/>
      <c r="T319" s="85"/>
      <c r="W319" s="85"/>
      <c r="X319" s="85"/>
      <c r="Y319" s="85"/>
      <c r="AB319" s="85"/>
      <c r="AC319" s="85"/>
      <c r="AD319" s="85"/>
      <c r="AG319" s="85"/>
      <c r="AH319" s="85"/>
      <c r="AI319" s="85"/>
    </row>
    <row r="320" spans="18:35" x14ac:dyDescent="0.3">
      <c r="R320" s="85"/>
      <c r="S320" s="85"/>
      <c r="T320" s="85"/>
      <c r="W320" s="85"/>
      <c r="X320" s="85"/>
      <c r="Y320" s="85"/>
      <c r="AB320" s="85"/>
      <c r="AC320" s="85"/>
      <c r="AD320" s="85"/>
      <c r="AG320" s="85"/>
      <c r="AH320" s="85"/>
      <c r="AI320" s="85"/>
    </row>
    <row r="321" spans="18:35" x14ac:dyDescent="0.3">
      <c r="R321" s="85"/>
      <c r="S321" s="85"/>
      <c r="T321" s="85"/>
      <c r="W321" s="85"/>
      <c r="X321" s="85"/>
      <c r="Y321" s="85"/>
      <c r="AB321" s="85"/>
      <c r="AC321" s="85"/>
      <c r="AD321" s="85"/>
      <c r="AG321" s="85"/>
      <c r="AH321" s="85"/>
      <c r="AI321" s="85"/>
    </row>
    <row r="322" spans="18:35" x14ac:dyDescent="0.3">
      <c r="R322" s="85"/>
      <c r="S322" s="85"/>
      <c r="T322" s="85"/>
      <c r="W322" s="85"/>
      <c r="X322" s="85"/>
      <c r="Y322" s="85"/>
      <c r="AB322" s="85"/>
      <c r="AC322" s="85"/>
      <c r="AD322" s="85"/>
      <c r="AG322" s="85"/>
      <c r="AH322" s="85"/>
      <c r="AI322" s="85"/>
    </row>
    <row r="323" spans="18:35" x14ac:dyDescent="0.3">
      <c r="R323" s="85"/>
      <c r="S323" s="85"/>
      <c r="T323" s="85"/>
      <c r="W323" s="85"/>
      <c r="X323" s="85"/>
      <c r="Y323" s="85"/>
      <c r="AB323" s="85"/>
      <c r="AC323" s="85"/>
      <c r="AD323" s="85"/>
      <c r="AG323" s="85"/>
      <c r="AH323" s="85"/>
      <c r="AI323" s="85"/>
    </row>
    <row r="324" spans="18:35" x14ac:dyDescent="0.3">
      <c r="R324" s="85"/>
      <c r="S324" s="85"/>
      <c r="T324" s="85"/>
      <c r="W324" s="85"/>
      <c r="X324" s="85"/>
      <c r="Y324" s="85"/>
      <c r="AB324" s="85"/>
      <c r="AC324" s="85"/>
      <c r="AD324" s="85"/>
      <c r="AG324" s="85"/>
      <c r="AH324" s="85"/>
      <c r="AI324" s="85"/>
    </row>
    <row r="325" spans="18:35" x14ac:dyDescent="0.3">
      <c r="R325" s="85"/>
      <c r="S325" s="85"/>
      <c r="T325" s="85"/>
      <c r="W325" s="85"/>
      <c r="X325" s="85"/>
      <c r="Y325" s="85"/>
      <c r="AB325" s="85"/>
      <c r="AC325" s="85"/>
      <c r="AD325" s="85"/>
      <c r="AG325" s="85"/>
      <c r="AH325" s="85"/>
      <c r="AI325" s="85"/>
    </row>
    <row r="326" spans="18:35" x14ac:dyDescent="0.3">
      <c r="R326" s="85"/>
      <c r="S326" s="85"/>
      <c r="T326" s="85"/>
      <c r="W326" s="85"/>
      <c r="X326" s="85"/>
      <c r="Y326" s="85"/>
      <c r="AB326" s="85"/>
      <c r="AC326" s="85"/>
      <c r="AD326" s="85"/>
      <c r="AG326" s="85"/>
      <c r="AH326" s="85"/>
      <c r="AI326" s="85"/>
    </row>
    <row r="327" spans="18:35" x14ac:dyDescent="0.3">
      <c r="R327" s="85"/>
      <c r="S327" s="85"/>
      <c r="T327" s="85"/>
      <c r="W327" s="85"/>
      <c r="X327" s="85"/>
      <c r="Y327" s="85"/>
      <c r="AB327" s="85"/>
      <c r="AC327" s="85"/>
      <c r="AD327" s="85"/>
      <c r="AG327" s="85"/>
      <c r="AH327" s="85"/>
      <c r="AI327" s="85"/>
    </row>
    <row r="328" spans="18:35" x14ac:dyDescent="0.3">
      <c r="R328" s="85"/>
      <c r="S328" s="85"/>
      <c r="T328" s="85"/>
      <c r="W328" s="85"/>
      <c r="X328" s="85"/>
      <c r="Y328" s="85"/>
      <c r="AB328" s="85"/>
      <c r="AC328" s="85"/>
      <c r="AD328" s="85"/>
      <c r="AG328" s="85"/>
      <c r="AH328" s="85"/>
      <c r="AI328" s="85"/>
    </row>
    <row r="329" spans="18:35" x14ac:dyDescent="0.3">
      <c r="R329" s="85"/>
      <c r="S329" s="85"/>
      <c r="T329" s="85"/>
      <c r="W329" s="85"/>
      <c r="X329" s="85"/>
      <c r="Y329" s="85"/>
      <c r="AB329" s="85"/>
      <c r="AC329" s="85"/>
      <c r="AD329" s="85"/>
      <c r="AG329" s="85"/>
      <c r="AH329" s="85"/>
      <c r="AI329" s="85"/>
    </row>
    <row r="330" spans="18:35" x14ac:dyDescent="0.3">
      <c r="R330" s="85"/>
      <c r="S330" s="85"/>
      <c r="T330" s="85"/>
      <c r="W330" s="85"/>
      <c r="X330" s="85"/>
      <c r="Y330" s="85"/>
      <c r="AB330" s="85"/>
      <c r="AC330" s="85"/>
      <c r="AD330" s="85"/>
      <c r="AG330" s="85"/>
      <c r="AH330" s="85"/>
      <c r="AI330" s="85"/>
    </row>
    <row r="331" spans="18:35" x14ac:dyDescent="0.3">
      <c r="R331" s="85"/>
      <c r="S331" s="85"/>
      <c r="T331" s="85"/>
      <c r="W331" s="85"/>
      <c r="X331" s="85"/>
      <c r="Y331" s="85"/>
      <c r="AB331" s="85"/>
      <c r="AC331" s="85"/>
      <c r="AD331" s="85"/>
      <c r="AG331" s="85"/>
      <c r="AH331" s="85"/>
      <c r="AI331" s="85"/>
    </row>
    <row r="332" spans="18:35" x14ac:dyDescent="0.3">
      <c r="R332" s="85"/>
      <c r="S332" s="85"/>
      <c r="T332" s="85"/>
      <c r="W332" s="85"/>
      <c r="X332" s="85"/>
      <c r="Y332" s="85"/>
      <c r="AB332" s="85"/>
      <c r="AC332" s="85"/>
      <c r="AD332" s="85"/>
      <c r="AG332" s="85"/>
      <c r="AH332" s="85"/>
      <c r="AI332" s="85"/>
    </row>
    <row r="333" spans="18:35" x14ac:dyDescent="0.3">
      <c r="R333" s="85"/>
      <c r="S333" s="85"/>
      <c r="T333" s="85"/>
      <c r="W333" s="85"/>
      <c r="X333" s="85"/>
      <c r="Y333" s="85"/>
      <c r="AB333" s="85"/>
      <c r="AC333" s="85"/>
      <c r="AD333" s="85"/>
      <c r="AG333" s="85"/>
      <c r="AH333" s="85"/>
      <c r="AI333" s="85"/>
    </row>
    <row r="334" spans="18:35" x14ac:dyDescent="0.3">
      <c r="R334" s="85"/>
      <c r="S334" s="85"/>
      <c r="T334" s="85"/>
      <c r="W334" s="85"/>
      <c r="X334" s="85"/>
      <c r="Y334" s="85"/>
      <c r="AB334" s="85"/>
      <c r="AC334" s="85"/>
      <c r="AD334" s="85"/>
      <c r="AG334" s="85"/>
      <c r="AH334" s="85"/>
      <c r="AI334" s="85"/>
    </row>
    <row r="335" spans="18:35" x14ac:dyDescent="0.3">
      <c r="R335" s="85"/>
      <c r="S335" s="85"/>
      <c r="T335" s="85"/>
      <c r="W335" s="85"/>
      <c r="X335" s="85"/>
      <c r="Y335" s="85"/>
      <c r="AB335" s="85"/>
      <c r="AC335" s="85"/>
      <c r="AD335" s="85"/>
      <c r="AG335" s="85"/>
      <c r="AH335" s="85"/>
      <c r="AI335" s="85"/>
    </row>
    <row r="336" spans="18:35" x14ac:dyDescent="0.3">
      <c r="R336" s="85"/>
      <c r="S336" s="85"/>
      <c r="T336" s="85"/>
      <c r="W336" s="85"/>
      <c r="X336" s="85"/>
      <c r="Y336" s="85"/>
      <c r="AB336" s="85"/>
      <c r="AC336" s="85"/>
      <c r="AD336" s="85"/>
      <c r="AG336" s="85"/>
      <c r="AH336" s="85"/>
      <c r="AI336" s="85"/>
    </row>
    <row r="337" spans="18:35" x14ac:dyDescent="0.3">
      <c r="R337" s="85"/>
      <c r="S337" s="85"/>
      <c r="T337" s="85"/>
      <c r="W337" s="85"/>
      <c r="X337" s="85"/>
      <c r="Y337" s="85"/>
      <c r="AB337" s="85"/>
      <c r="AC337" s="85"/>
      <c r="AD337" s="85"/>
      <c r="AG337" s="85"/>
      <c r="AH337" s="85"/>
      <c r="AI337" s="85"/>
    </row>
    <row r="338" spans="18:35" x14ac:dyDescent="0.3">
      <c r="R338" s="85"/>
      <c r="S338" s="85"/>
      <c r="T338" s="85"/>
      <c r="W338" s="85"/>
      <c r="X338" s="85"/>
      <c r="Y338" s="85"/>
      <c r="AB338" s="85"/>
      <c r="AC338" s="85"/>
      <c r="AD338" s="85"/>
      <c r="AG338" s="85"/>
      <c r="AH338" s="85"/>
      <c r="AI338" s="85"/>
    </row>
    <row r="339" spans="18:35" x14ac:dyDescent="0.3">
      <c r="R339" s="85"/>
      <c r="S339" s="85"/>
      <c r="T339" s="85"/>
      <c r="W339" s="85"/>
      <c r="X339" s="85"/>
      <c r="Y339" s="85"/>
      <c r="AB339" s="85"/>
      <c r="AC339" s="85"/>
      <c r="AD339" s="85"/>
      <c r="AG339" s="85"/>
      <c r="AH339" s="85"/>
      <c r="AI339" s="85"/>
    </row>
    <row r="340" spans="18:35" x14ac:dyDescent="0.3">
      <c r="R340" s="85"/>
      <c r="S340" s="85"/>
      <c r="T340" s="85"/>
      <c r="W340" s="85"/>
      <c r="X340" s="85"/>
      <c r="Y340" s="85"/>
      <c r="AB340" s="85"/>
      <c r="AC340" s="85"/>
      <c r="AD340" s="85"/>
      <c r="AG340" s="85"/>
      <c r="AH340" s="85"/>
      <c r="AI340" s="85"/>
    </row>
    <row r="341" spans="18:35" x14ac:dyDescent="0.3">
      <c r="R341" s="85"/>
      <c r="S341" s="85"/>
      <c r="T341" s="85"/>
      <c r="W341" s="85"/>
      <c r="X341" s="85"/>
      <c r="Y341" s="85"/>
      <c r="AB341" s="85"/>
      <c r="AC341" s="85"/>
      <c r="AD341" s="85"/>
      <c r="AG341" s="85"/>
      <c r="AH341" s="85"/>
      <c r="AI341" s="85"/>
    </row>
    <row r="342" spans="18:35" x14ac:dyDescent="0.3">
      <c r="R342" s="85"/>
      <c r="S342" s="85"/>
      <c r="T342" s="85"/>
      <c r="W342" s="85"/>
      <c r="X342" s="85"/>
      <c r="Y342" s="85"/>
      <c r="AB342" s="85"/>
      <c r="AC342" s="85"/>
      <c r="AD342" s="85"/>
      <c r="AG342" s="85"/>
      <c r="AH342" s="85"/>
      <c r="AI342" s="85"/>
    </row>
    <row r="343" spans="18:35" x14ac:dyDescent="0.3">
      <c r="R343" s="85"/>
      <c r="S343" s="85"/>
      <c r="T343" s="85"/>
      <c r="W343" s="85"/>
      <c r="X343" s="85"/>
      <c r="Y343" s="85"/>
      <c r="AB343" s="85"/>
      <c r="AC343" s="85"/>
      <c r="AD343" s="85"/>
      <c r="AG343" s="85"/>
      <c r="AH343" s="85"/>
      <c r="AI343" s="85"/>
    </row>
    <row r="344" spans="18:35" x14ac:dyDescent="0.3">
      <c r="R344" s="85"/>
      <c r="S344" s="85"/>
      <c r="T344" s="85"/>
      <c r="W344" s="85"/>
      <c r="X344" s="85"/>
      <c r="Y344" s="85"/>
      <c r="AB344" s="85"/>
      <c r="AC344" s="85"/>
      <c r="AD344" s="85"/>
      <c r="AG344" s="85"/>
      <c r="AH344" s="85"/>
      <c r="AI344" s="85"/>
    </row>
    <row r="345" spans="18:35" x14ac:dyDescent="0.3">
      <c r="R345" s="85"/>
      <c r="S345" s="85"/>
      <c r="T345" s="85"/>
      <c r="W345" s="85"/>
      <c r="X345" s="85"/>
      <c r="Y345" s="85"/>
      <c r="AB345" s="85"/>
      <c r="AC345" s="85"/>
      <c r="AD345" s="85"/>
      <c r="AG345" s="85"/>
      <c r="AH345" s="85"/>
      <c r="AI345" s="85"/>
    </row>
    <row r="346" spans="18:35" x14ac:dyDescent="0.3">
      <c r="R346" s="85"/>
      <c r="S346" s="85"/>
      <c r="T346" s="85"/>
      <c r="W346" s="85"/>
      <c r="X346" s="85"/>
      <c r="Y346" s="85"/>
      <c r="AB346" s="85"/>
      <c r="AC346" s="85"/>
      <c r="AD346" s="85"/>
      <c r="AG346" s="85"/>
      <c r="AH346" s="85"/>
      <c r="AI346" s="85"/>
    </row>
    <row r="347" spans="18:35" x14ac:dyDescent="0.3">
      <c r="R347" s="85"/>
      <c r="S347" s="85"/>
      <c r="T347" s="85"/>
      <c r="W347" s="85"/>
      <c r="X347" s="85"/>
      <c r="Y347" s="85"/>
      <c r="AB347" s="85"/>
      <c r="AC347" s="85"/>
      <c r="AD347" s="85"/>
      <c r="AG347" s="85"/>
      <c r="AH347" s="85"/>
      <c r="AI347" s="85"/>
    </row>
    <row r="348" spans="18:35" x14ac:dyDescent="0.3">
      <c r="R348" s="85"/>
      <c r="S348" s="85"/>
      <c r="T348" s="85"/>
      <c r="W348" s="85"/>
      <c r="X348" s="85"/>
      <c r="Y348" s="85"/>
      <c r="AB348" s="85"/>
      <c r="AC348" s="85"/>
      <c r="AD348" s="85"/>
      <c r="AG348" s="85"/>
      <c r="AH348" s="85"/>
      <c r="AI348" s="85"/>
    </row>
    <row r="349" spans="18:35" x14ac:dyDescent="0.3">
      <c r="R349" s="85"/>
      <c r="S349" s="85"/>
      <c r="T349" s="85"/>
      <c r="W349" s="85"/>
      <c r="X349" s="85"/>
      <c r="Y349" s="85"/>
      <c r="AB349" s="85"/>
      <c r="AC349" s="85"/>
      <c r="AD349" s="85"/>
      <c r="AG349" s="85"/>
      <c r="AH349" s="85"/>
      <c r="AI349" s="85"/>
    </row>
    <row r="350" spans="18:35" x14ac:dyDescent="0.3">
      <c r="R350" s="85"/>
      <c r="S350" s="85"/>
      <c r="T350" s="85"/>
      <c r="W350" s="85"/>
      <c r="X350" s="85"/>
      <c r="Y350" s="85"/>
      <c r="AB350" s="85"/>
      <c r="AC350" s="85"/>
      <c r="AD350" s="85"/>
      <c r="AG350" s="85"/>
      <c r="AH350" s="85"/>
      <c r="AI350" s="85"/>
    </row>
    <row r="351" spans="18:35" x14ac:dyDescent="0.3">
      <c r="R351" s="85"/>
      <c r="S351" s="85"/>
      <c r="T351" s="85"/>
      <c r="W351" s="85"/>
      <c r="X351" s="85"/>
      <c r="Y351" s="85"/>
      <c r="AB351" s="85"/>
      <c r="AC351" s="85"/>
      <c r="AD351" s="85"/>
      <c r="AG351" s="85"/>
      <c r="AH351" s="85"/>
      <c r="AI351" s="85"/>
    </row>
    <row r="352" spans="18:35" x14ac:dyDescent="0.3">
      <c r="R352" s="85"/>
      <c r="S352" s="85"/>
      <c r="T352" s="85"/>
      <c r="W352" s="85"/>
      <c r="X352" s="85"/>
      <c r="Y352" s="85"/>
      <c r="AB352" s="85"/>
      <c r="AC352" s="85"/>
      <c r="AD352" s="85"/>
      <c r="AG352" s="85"/>
      <c r="AH352" s="85"/>
      <c r="AI352" s="85"/>
    </row>
    <row r="353" spans="18:35" x14ac:dyDescent="0.3">
      <c r="R353" s="85"/>
      <c r="S353" s="85"/>
      <c r="T353" s="85"/>
      <c r="W353" s="85"/>
      <c r="X353" s="85"/>
      <c r="Y353" s="85"/>
      <c r="AB353" s="85"/>
      <c r="AC353" s="85"/>
      <c r="AD353" s="85"/>
      <c r="AG353" s="85"/>
      <c r="AH353" s="85"/>
      <c r="AI353" s="85"/>
    </row>
    <row r="354" spans="18:35" x14ac:dyDescent="0.3">
      <c r="R354" s="85"/>
      <c r="S354" s="85"/>
      <c r="T354" s="85"/>
      <c r="W354" s="85"/>
      <c r="X354" s="85"/>
      <c r="Y354" s="85"/>
      <c r="AB354" s="85"/>
      <c r="AC354" s="85"/>
      <c r="AD354" s="85"/>
      <c r="AG354" s="85"/>
      <c r="AH354" s="85"/>
      <c r="AI354" s="85"/>
    </row>
    <row r="355" spans="18:35" x14ac:dyDescent="0.3">
      <c r="R355" s="85"/>
      <c r="S355" s="85"/>
      <c r="T355" s="85"/>
      <c r="W355" s="85"/>
      <c r="X355" s="85"/>
      <c r="Y355" s="85"/>
      <c r="AB355" s="85"/>
      <c r="AC355" s="85"/>
      <c r="AD355" s="85"/>
      <c r="AG355" s="85"/>
      <c r="AH355" s="85"/>
      <c r="AI355" s="85"/>
    </row>
    <row r="356" spans="18:35" x14ac:dyDescent="0.3">
      <c r="R356" s="85"/>
      <c r="S356" s="85"/>
      <c r="T356" s="85"/>
      <c r="W356" s="85"/>
      <c r="X356" s="85"/>
      <c r="Y356" s="85"/>
      <c r="AB356" s="85"/>
      <c r="AC356" s="85"/>
      <c r="AD356" s="85"/>
      <c r="AG356" s="85"/>
      <c r="AH356" s="85"/>
      <c r="AI356" s="85"/>
    </row>
    <row r="357" spans="18:35" x14ac:dyDescent="0.3">
      <c r="R357" s="85"/>
      <c r="S357" s="85"/>
      <c r="T357" s="85"/>
      <c r="W357" s="85"/>
      <c r="X357" s="85"/>
      <c r="Y357" s="85"/>
      <c r="AB357" s="85"/>
      <c r="AC357" s="85"/>
      <c r="AD357" s="85"/>
      <c r="AG357" s="85"/>
      <c r="AH357" s="85"/>
      <c r="AI357" s="85"/>
    </row>
    <row r="358" spans="18:35" x14ac:dyDescent="0.3">
      <c r="R358" s="85"/>
      <c r="S358" s="85"/>
      <c r="T358" s="85"/>
      <c r="W358" s="85"/>
      <c r="X358" s="85"/>
      <c r="Y358" s="85"/>
      <c r="AB358" s="85"/>
      <c r="AC358" s="85"/>
      <c r="AD358" s="85"/>
      <c r="AG358" s="85"/>
      <c r="AH358" s="85"/>
      <c r="AI358" s="85"/>
    </row>
    <row r="359" spans="18:35" x14ac:dyDescent="0.3">
      <c r="R359" s="85"/>
      <c r="S359" s="85"/>
      <c r="T359" s="85"/>
      <c r="W359" s="85"/>
      <c r="X359" s="85"/>
      <c r="Y359" s="85"/>
      <c r="AB359" s="85"/>
      <c r="AC359" s="85"/>
      <c r="AD359" s="85"/>
      <c r="AG359" s="85"/>
      <c r="AH359" s="85"/>
      <c r="AI359" s="85"/>
    </row>
    <row r="360" spans="18:35" x14ac:dyDescent="0.3">
      <c r="R360" s="85"/>
      <c r="S360" s="85"/>
      <c r="T360" s="85"/>
      <c r="W360" s="85"/>
      <c r="X360" s="85"/>
      <c r="Y360" s="85"/>
      <c r="AB360" s="85"/>
      <c r="AC360" s="85"/>
      <c r="AD360" s="85"/>
      <c r="AG360" s="85"/>
      <c r="AH360" s="85"/>
      <c r="AI360" s="85"/>
    </row>
    <row r="361" spans="18:35" x14ac:dyDescent="0.3">
      <c r="R361" s="85"/>
      <c r="S361" s="85"/>
      <c r="T361" s="85"/>
      <c r="W361" s="85"/>
      <c r="X361" s="85"/>
      <c r="Y361" s="85"/>
      <c r="AB361" s="85"/>
      <c r="AC361" s="85"/>
      <c r="AD361" s="85"/>
      <c r="AG361" s="85"/>
      <c r="AH361" s="85"/>
      <c r="AI361" s="85"/>
    </row>
    <row r="362" spans="18:35" x14ac:dyDescent="0.3">
      <c r="R362" s="85"/>
      <c r="S362" s="85"/>
      <c r="T362" s="85"/>
      <c r="W362" s="85"/>
      <c r="X362" s="85"/>
      <c r="Y362" s="85"/>
      <c r="AB362" s="85"/>
      <c r="AC362" s="85"/>
      <c r="AD362" s="85"/>
      <c r="AG362" s="85"/>
      <c r="AH362" s="85"/>
      <c r="AI362" s="85"/>
    </row>
    <row r="363" spans="18:35" x14ac:dyDescent="0.3">
      <c r="R363" s="85"/>
      <c r="S363" s="85"/>
      <c r="T363" s="85"/>
      <c r="W363" s="85"/>
      <c r="X363" s="85"/>
      <c r="Y363" s="85"/>
      <c r="AB363" s="85"/>
      <c r="AC363" s="85"/>
      <c r="AD363" s="85"/>
      <c r="AG363" s="85"/>
      <c r="AH363" s="85"/>
      <c r="AI363" s="85"/>
    </row>
    <row r="364" spans="18:35" x14ac:dyDescent="0.3">
      <c r="R364" s="85"/>
      <c r="S364" s="85"/>
      <c r="T364" s="85"/>
      <c r="W364" s="85"/>
      <c r="X364" s="85"/>
      <c r="Y364" s="85"/>
      <c r="AB364" s="85"/>
      <c r="AC364" s="85"/>
      <c r="AD364" s="85"/>
      <c r="AG364" s="85"/>
      <c r="AH364" s="85"/>
      <c r="AI364" s="85"/>
    </row>
    <row r="365" spans="18:35" x14ac:dyDescent="0.3">
      <c r="R365" s="85"/>
      <c r="S365" s="85"/>
      <c r="T365" s="85"/>
      <c r="W365" s="85"/>
      <c r="X365" s="85"/>
      <c r="Y365" s="85"/>
      <c r="AB365" s="85"/>
      <c r="AC365" s="85"/>
      <c r="AD365" s="85"/>
      <c r="AG365" s="85"/>
      <c r="AH365" s="85"/>
      <c r="AI365" s="85"/>
    </row>
    <row r="366" spans="18:35" x14ac:dyDescent="0.3">
      <c r="R366" s="85"/>
      <c r="S366" s="85"/>
      <c r="T366" s="85"/>
      <c r="W366" s="85"/>
      <c r="X366" s="85"/>
      <c r="Y366" s="85"/>
      <c r="AB366" s="85"/>
      <c r="AC366" s="85"/>
      <c r="AD366" s="85"/>
      <c r="AG366" s="85"/>
      <c r="AH366" s="85"/>
      <c r="AI366" s="85"/>
    </row>
    <row r="367" spans="18:35" x14ac:dyDescent="0.3">
      <c r="R367" s="85"/>
      <c r="S367" s="85"/>
      <c r="T367" s="85"/>
      <c r="W367" s="85"/>
      <c r="X367" s="85"/>
      <c r="Y367" s="85"/>
      <c r="AB367" s="85"/>
      <c r="AC367" s="85"/>
      <c r="AD367" s="85"/>
      <c r="AG367" s="85"/>
      <c r="AH367" s="85"/>
      <c r="AI367" s="85"/>
    </row>
    <row r="368" spans="18:35" x14ac:dyDescent="0.3">
      <c r="R368" s="85"/>
      <c r="S368" s="85"/>
      <c r="T368" s="85"/>
      <c r="W368" s="85"/>
      <c r="X368" s="85"/>
      <c r="Y368" s="85"/>
      <c r="AB368" s="85"/>
      <c r="AC368" s="85"/>
      <c r="AD368" s="85"/>
      <c r="AG368" s="85"/>
      <c r="AH368" s="85"/>
      <c r="AI368" s="85"/>
    </row>
    <row r="369" spans="18:35" x14ac:dyDescent="0.3">
      <c r="R369" s="85"/>
      <c r="S369" s="85"/>
      <c r="T369" s="85"/>
      <c r="W369" s="85"/>
      <c r="X369" s="85"/>
      <c r="Y369" s="85"/>
      <c r="AB369" s="85"/>
      <c r="AC369" s="85"/>
      <c r="AD369" s="85"/>
      <c r="AG369" s="85"/>
      <c r="AH369" s="85"/>
      <c r="AI369" s="85"/>
    </row>
    <row r="370" spans="18:35" x14ac:dyDescent="0.3">
      <c r="R370" s="85"/>
      <c r="S370" s="85"/>
      <c r="T370" s="85"/>
      <c r="W370" s="85"/>
      <c r="X370" s="85"/>
      <c r="Y370" s="85"/>
      <c r="AB370" s="85"/>
      <c r="AC370" s="85"/>
      <c r="AD370" s="85"/>
      <c r="AG370" s="85"/>
      <c r="AH370" s="85"/>
      <c r="AI370" s="85"/>
    </row>
    <row r="371" spans="18:35" x14ac:dyDescent="0.3">
      <c r="R371" s="85"/>
      <c r="S371" s="85"/>
      <c r="T371" s="85"/>
      <c r="W371" s="85"/>
      <c r="X371" s="85"/>
      <c r="Y371" s="85"/>
      <c r="AB371" s="85"/>
      <c r="AC371" s="85"/>
      <c r="AD371" s="85"/>
      <c r="AG371" s="85"/>
      <c r="AH371" s="85"/>
      <c r="AI371" s="85"/>
    </row>
    <row r="372" spans="18:35" x14ac:dyDescent="0.3">
      <c r="R372" s="85"/>
      <c r="S372" s="85"/>
      <c r="T372" s="85"/>
      <c r="W372" s="85"/>
      <c r="X372" s="85"/>
      <c r="Y372" s="85"/>
      <c r="AB372" s="85"/>
      <c r="AC372" s="85"/>
      <c r="AD372" s="85"/>
      <c r="AG372" s="85"/>
      <c r="AH372" s="85"/>
      <c r="AI372" s="85"/>
    </row>
    <row r="373" spans="18:35" x14ac:dyDescent="0.3">
      <c r="R373" s="85"/>
      <c r="S373" s="85"/>
      <c r="T373" s="85"/>
      <c r="W373" s="85"/>
      <c r="X373" s="85"/>
      <c r="Y373" s="85"/>
      <c r="AB373" s="85"/>
      <c r="AC373" s="85"/>
      <c r="AD373" s="85"/>
      <c r="AG373" s="85"/>
      <c r="AH373" s="85"/>
      <c r="AI373" s="85"/>
    </row>
    <row r="374" spans="18:35" x14ac:dyDescent="0.3">
      <c r="R374" s="85"/>
      <c r="S374" s="85"/>
      <c r="T374" s="85"/>
      <c r="W374" s="85"/>
      <c r="X374" s="85"/>
      <c r="Y374" s="85"/>
      <c r="AB374" s="85"/>
      <c r="AC374" s="85"/>
      <c r="AD374" s="85"/>
      <c r="AG374" s="85"/>
      <c r="AH374" s="85"/>
      <c r="AI374" s="85"/>
    </row>
    <row r="375" spans="18:35" x14ac:dyDescent="0.3">
      <c r="R375" s="85"/>
      <c r="S375" s="85"/>
      <c r="T375" s="85"/>
      <c r="W375" s="85"/>
      <c r="X375" s="85"/>
      <c r="Y375" s="85"/>
      <c r="AB375" s="85"/>
      <c r="AC375" s="85"/>
      <c r="AD375" s="85"/>
      <c r="AG375" s="85"/>
      <c r="AH375" s="85"/>
      <c r="AI375" s="85"/>
    </row>
    <row r="376" spans="18:35" x14ac:dyDescent="0.3">
      <c r="R376" s="85"/>
      <c r="S376" s="85"/>
      <c r="T376" s="85"/>
      <c r="W376" s="85"/>
      <c r="X376" s="85"/>
      <c r="Y376" s="85"/>
      <c r="AB376" s="85"/>
      <c r="AC376" s="85"/>
      <c r="AD376" s="85"/>
      <c r="AG376" s="85"/>
      <c r="AH376" s="85"/>
      <c r="AI376" s="85"/>
    </row>
    <row r="377" spans="18:35" x14ac:dyDescent="0.3">
      <c r="R377" s="85"/>
      <c r="S377" s="85"/>
      <c r="T377" s="85"/>
      <c r="W377" s="85"/>
      <c r="X377" s="85"/>
      <c r="Y377" s="85"/>
      <c r="AB377" s="85"/>
      <c r="AC377" s="85"/>
      <c r="AD377" s="85"/>
      <c r="AG377" s="85"/>
      <c r="AH377" s="85"/>
      <c r="AI377" s="85"/>
    </row>
    <row r="378" spans="18:35" x14ac:dyDescent="0.3">
      <c r="R378" s="85"/>
      <c r="S378" s="85"/>
      <c r="T378" s="85"/>
      <c r="W378" s="85"/>
      <c r="X378" s="85"/>
      <c r="Y378" s="85"/>
      <c r="AB378" s="85"/>
      <c r="AC378" s="85"/>
      <c r="AD378" s="85"/>
      <c r="AG378" s="85"/>
      <c r="AH378" s="85"/>
      <c r="AI378" s="85"/>
    </row>
    <row r="379" spans="18:35" x14ac:dyDescent="0.3">
      <c r="R379" s="85"/>
      <c r="S379" s="85"/>
      <c r="T379" s="85"/>
      <c r="W379" s="85"/>
      <c r="X379" s="85"/>
      <c r="Y379" s="85"/>
      <c r="AB379" s="85"/>
      <c r="AC379" s="85"/>
      <c r="AD379" s="85"/>
      <c r="AG379" s="85"/>
      <c r="AH379" s="85"/>
      <c r="AI379" s="85"/>
    </row>
    <row r="380" spans="18:35" x14ac:dyDescent="0.3">
      <c r="R380" s="85"/>
      <c r="S380" s="85"/>
      <c r="T380" s="85"/>
      <c r="W380" s="85"/>
      <c r="X380" s="85"/>
      <c r="Y380" s="85"/>
      <c r="AB380" s="85"/>
      <c r="AC380" s="85"/>
      <c r="AD380" s="85"/>
      <c r="AG380" s="85"/>
      <c r="AH380" s="85"/>
      <c r="AI380" s="85"/>
    </row>
    <row r="381" spans="18:35" x14ac:dyDescent="0.3">
      <c r="R381" s="85"/>
      <c r="S381" s="85"/>
      <c r="T381" s="85"/>
      <c r="W381" s="85"/>
      <c r="X381" s="85"/>
      <c r="Y381" s="85"/>
      <c r="AB381" s="85"/>
      <c r="AC381" s="85"/>
      <c r="AD381" s="85"/>
      <c r="AG381" s="85"/>
      <c r="AH381" s="85"/>
      <c r="AI381" s="85"/>
    </row>
    <row r="382" spans="18:35" x14ac:dyDescent="0.3">
      <c r="R382" s="85"/>
      <c r="S382" s="85"/>
      <c r="T382" s="85"/>
      <c r="W382" s="85"/>
      <c r="X382" s="85"/>
      <c r="Y382" s="85"/>
      <c r="AB382" s="85"/>
      <c r="AC382" s="85"/>
      <c r="AD382" s="85"/>
      <c r="AG382" s="85"/>
      <c r="AH382" s="85"/>
      <c r="AI382" s="85"/>
    </row>
    <row r="383" spans="18:35" x14ac:dyDescent="0.3">
      <c r="R383" s="85"/>
      <c r="S383" s="85"/>
      <c r="T383" s="85"/>
      <c r="W383" s="85"/>
      <c r="X383" s="85"/>
      <c r="Y383" s="85"/>
      <c r="AB383" s="85"/>
      <c r="AC383" s="85"/>
      <c r="AD383" s="85"/>
      <c r="AG383" s="85"/>
      <c r="AH383" s="85"/>
      <c r="AI383" s="85"/>
    </row>
    <row r="384" spans="18:35" x14ac:dyDescent="0.3">
      <c r="R384" s="85"/>
      <c r="S384" s="85"/>
      <c r="T384" s="85"/>
      <c r="W384" s="85"/>
      <c r="X384" s="85"/>
      <c r="Y384" s="85"/>
      <c r="AB384" s="85"/>
      <c r="AC384" s="85"/>
      <c r="AD384" s="85"/>
      <c r="AG384" s="85"/>
      <c r="AH384" s="85"/>
      <c r="AI384" s="85"/>
    </row>
    <row r="385" spans="18:35" x14ac:dyDescent="0.3">
      <c r="R385" s="85"/>
      <c r="S385" s="85"/>
      <c r="T385" s="85"/>
      <c r="W385" s="85"/>
      <c r="X385" s="85"/>
      <c r="Y385" s="85"/>
      <c r="AB385" s="85"/>
      <c r="AC385" s="85"/>
      <c r="AD385" s="85"/>
      <c r="AG385" s="85"/>
      <c r="AH385" s="85"/>
      <c r="AI385" s="85"/>
    </row>
    <row r="386" spans="18:35" x14ac:dyDescent="0.3">
      <c r="R386" s="85"/>
      <c r="S386" s="85"/>
      <c r="T386" s="85"/>
      <c r="W386" s="85"/>
      <c r="X386" s="85"/>
      <c r="Y386" s="85"/>
      <c r="AB386" s="85"/>
      <c r="AC386" s="85"/>
      <c r="AD386" s="85"/>
      <c r="AG386" s="85"/>
      <c r="AH386" s="85"/>
      <c r="AI386" s="85"/>
    </row>
    <row r="387" spans="18:35" x14ac:dyDescent="0.3">
      <c r="R387" s="85"/>
      <c r="S387" s="85"/>
      <c r="T387" s="85"/>
      <c r="W387" s="85"/>
      <c r="X387" s="85"/>
      <c r="Y387" s="85"/>
      <c r="AB387" s="85"/>
      <c r="AC387" s="85"/>
      <c r="AD387" s="85"/>
      <c r="AG387" s="85"/>
      <c r="AH387" s="85"/>
      <c r="AI387" s="85"/>
    </row>
    <row r="388" spans="18:35" x14ac:dyDescent="0.3">
      <c r="R388" s="85"/>
      <c r="S388" s="85"/>
      <c r="T388" s="85"/>
      <c r="W388" s="85"/>
      <c r="X388" s="85"/>
      <c r="Y388" s="85"/>
      <c r="AB388" s="85"/>
      <c r="AC388" s="85"/>
      <c r="AD388" s="85"/>
      <c r="AG388" s="85"/>
      <c r="AH388" s="85"/>
      <c r="AI388" s="85"/>
    </row>
    <row r="389" spans="18:35" x14ac:dyDescent="0.3">
      <c r="R389" s="85"/>
      <c r="S389" s="85"/>
      <c r="T389" s="85"/>
      <c r="W389" s="85"/>
      <c r="X389" s="85"/>
      <c r="Y389" s="85"/>
      <c r="AB389" s="85"/>
      <c r="AC389" s="85"/>
      <c r="AD389" s="85"/>
      <c r="AG389" s="85"/>
      <c r="AH389" s="85"/>
      <c r="AI389" s="85"/>
    </row>
    <row r="390" spans="18:35" x14ac:dyDescent="0.3">
      <c r="R390" s="85"/>
      <c r="S390" s="85"/>
      <c r="T390" s="85"/>
      <c r="W390" s="85"/>
      <c r="X390" s="85"/>
      <c r="Y390" s="85"/>
      <c r="AB390" s="85"/>
      <c r="AC390" s="85"/>
      <c r="AD390" s="85"/>
      <c r="AG390" s="85"/>
      <c r="AH390" s="85"/>
      <c r="AI390" s="85"/>
    </row>
    <row r="391" spans="18:35" x14ac:dyDescent="0.3">
      <c r="R391" s="85"/>
      <c r="S391" s="85"/>
      <c r="T391" s="85"/>
      <c r="W391" s="85"/>
      <c r="X391" s="85"/>
      <c r="Y391" s="85"/>
      <c r="AB391" s="85"/>
      <c r="AC391" s="85"/>
      <c r="AD391" s="85"/>
      <c r="AG391" s="85"/>
      <c r="AH391" s="85"/>
      <c r="AI391" s="85"/>
    </row>
    <row r="392" spans="18:35" x14ac:dyDescent="0.3">
      <c r="R392" s="85"/>
      <c r="S392" s="85"/>
      <c r="T392" s="85"/>
      <c r="W392" s="85"/>
      <c r="X392" s="85"/>
      <c r="Y392" s="85"/>
      <c r="AB392" s="85"/>
      <c r="AC392" s="85"/>
      <c r="AD392" s="85"/>
      <c r="AG392" s="85"/>
      <c r="AH392" s="85"/>
      <c r="AI392" s="85"/>
    </row>
    <row r="393" spans="18:35" x14ac:dyDescent="0.3">
      <c r="R393" s="85"/>
      <c r="S393" s="85"/>
      <c r="T393" s="85"/>
      <c r="W393" s="85"/>
      <c r="X393" s="85"/>
      <c r="Y393" s="85"/>
      <c r="AB393" s="85"/>
      <c r="AC393" s="85"/>
      <c r="AD393" s="85"/>
      <c r="AG393" s="85"/>
      <c r="AH393" s="85"/>
      <c r="AI393" s="85"/>
    </row>
    <row r="394" spans="18:35" x14ac:dyDescent="0.3">
      <c r="R394" s="85"/>
      <c r="S394" s="85"/>
      <c r="T394" s="85"/>
      <c r="W394" s="85"/>
      <c r="X394" s="85"/>
      <c r="Y394" s="85"/>
      <c r="AB394" s="85"/>
      <c r="AC394" s="85"/>
      <c r="AD394" s="85"/>
      <c r="AG394" s="85"/>
      <c r="AH394" s="85"/>
      <c r="AI394" s="85"/>
    </row>
    <row r="395" spans="18:35" x14ac:dyDescent="0.3">
      <c r="R395" s="85"/>
      <c r="S395" s="85"/>
      <c r="T395" s="85"/>
      <c r="W395" s="85"/>
      <c r="X395" s="85"/>
      <c r="Y395" s="85"/>
      <c r="AB395" s="85"/>
      <c r="AC395" s="85"/>
      <c r="AD395" s="85"/>
      <c r="AG395" s="85"/>
      <c r="AH395" s="85"/>
      <c r="AI395" s="85"/>
    </row>
    <row r="396" spans="18:35" x14ac:dyDescent="0.3">
      <c r="R396" s="85"/>
      <c r="S396" s="85"/>
      <c r="T396" s="85"/>
      <c r="W396" s="85"/>
      <c r="X396" s="85"/>
      <c r="Y396" s="85"/>
      <c r="AB396" s="85"/>
      <c r="AC396" s="85"/>
      <c r="AD396" s="85"/>
      <c r="AG396" s="85"/>
      <c r="AH396" s="85"/>
      <c r="AI396" s="85"/>
    </row>
    <row r="397" spans="18:35" x14ac:dyDescent="0.3">
      <c r="R397" s="85"/>
      <c r="S397" s="85"/>
      <c r="T397" s="85"/>
      <c r="W397" s="85"/>
      <c r="X397" s="85"/>
      <c r="Y397" s="85"/>
      <c r="AB397" s="85"/>
      <c r="AC397" s="85"/>
      <c r="AD397" s="85"/>
      <c r="AG397" s="85"/>
      <c r="AH397" s="85"/>
      <c r="AI397" s="85"/>
    </row>
    <row r="398" spans="18:35" x14ac:dyDescent="0.3">
      <c r="R398" s="85"/>
      <c r="S398" s="85"/>
      <c r="T398" s="85"/>
      <c r="W398" s="85"/>
      <c r="X398" s="85"/>
      <c r="Y398" s="85"/>
      <c r="AB398" s="85"/>
      <c r="AC398" s="85"/>
      <c r="AD398" s="85"/>
      <c r="AG398" s="85"/>
      <c r="AH398" s="85"/>
      <c r="AI398" s="85"/>
    </row>
    <row r="399" spans="18:35" x14ac:dyDescent="0.3">
      <c r="R399" s="85"/>
      <c r="S399" s="85"/>
      <c r="T399" s="85"/>
      <c r="W399" s="85"/>
      <c r="X399" s="85"/>
      <c r="Y399" s="85"/>
      <c r="AB399" s="85"/>
      <c r="AC399" s="85"/>
      <c r="AD399" s="85"/>
      <c r="AG399" s="85"/>
      <c r="AH399" s="85"/>
      <c r="AI399" s="85"/>
    </row>
    <row r="400" spans="18:35" x14ac:dyDescent="0.3">
      <c r="R400" s="85"/>
      <c r="S400" s="85"/>
      <c r="T400" s="85"/>
      <c r="W400" s="85"/>
      <c r="X400" s="85"/>
      <c r="Y400" s="85"/>
      <c r="AB400" s="85"/>
      <c r="AC400" s="85"/>
      <c r="AD400" s="85"/>
      <c r="AG400" s="85"/>
      <c r="AH400" s="85"/>
      <c r="AI400" s="85"/>
    </row>
    <row r="401" spans="18:35" x14ac:dyDescent="0.3">
      <c r="R401" s="85"/>
      <c r="S401" s="85"/>
      <c r="T401" s="85"/>
      <c r="W401" s="85"/>
      <c r="X401" s="85"/>
      <c r="Y401" s="85"/>
      <c r="AB401" s="85"/>
      <c r="AC401" s="85"/>
      <c r="AD401" s="85"/>
      <c r="AG401" s="85"/>
      <c r="AH401" s="85"/>
      <c r="AI401" s="85"/>
    </row>
    <row r="402" spans="18:35" x14ac:dyDescent="0.3">
      <c r="R402" s="85"/>
      <c r="S402" s="85"/>
      <c r="T402" s="85"/>
      <c r="W402" s="85"/>
      <c r="X402" s="85"/>
      <c r="Y402" s="85"/>
      <c r="AB402" s="85"/>
      <c r="AC402" s="85"/>
      <c r="AD402" s="85"/>
      <c r="AG402" s="85"/>
      <c r="AH402" s="85"/>
      <c r="AI402" s="85"/>
    </row>
    <row r="403" spans="18:35" x14ac:dyDescent="0.3">
      <c r="R403" s="85"/>
      <c r="S403" s="85"/>
      <c r="T403" s="85"/>
      <c r="W403" s="85"/>
      <c r="X403" s="85"/>
      <c r="Y403" s="85"/>
      <c r="AB403" s="85"/>
      <c r="AC403" s="85"/>
      <c r="AD403" s="85"/>
      <c r="AG403" s="85"/>
      <c r="AH403" s="85"/>
      <c r="AI403" s="85"/>
    </row>
    <row r="404" spans="18:35" x14ac:dyDescent="0.3">
      <c r="R404" s="85"/>
      <c r="S404" s="85"/>
      <c r="T404" s="85"/>
      <c r="W404" s="85"/>
      <c r="X404" s="85"/>
      <c r="Y404" s="85"/>
      <c r="AB404" s="85"/>
      <c r="AC404" s="85"/>
      <c r="AD404" s="85"/>
      <c r="AG404" s="85"/>
      <c r="AH404" s="85"/>
      <c r="AI404" s="85"/>
    </row>
    <row r="405" spans="18:35" x14ac:dyDescent="0.3">
      <c r="R405" s="85"/>
      <c r="S405" s="85"/>
      <c r="T405" s="85"/>
      <c r="W405" s="85"/>
      <c r="X405" s="85"/>
      <c r="Y405" s="85"/>
      <c r="AB405" s="85"/>
      <c r="AC405" s="85"/>
      <c r="AD405" s="85"/>
      <c r="AG405" s="85"/>
      <c r="AH405" s="85"/>
      <c r="AI405" s="85"/>
    </row>
    <row r="406" spans="18:35" x14ac:dyDescent="0.3">
      <c r="R406" s="85"/>
      <c r="S406" s="85"/>
      <c r="T406" s="85"/>
      <c r="W406" s="85"/>
      <c r="X406" s="85"/>
      <c r="Y406" s="85"/>
      <c r="AB406" s="85"/>
      <c r="AC406" s="85"/>
      <c r="AD406" s="85"/>
      <c r="AG406" s="85"/>
      <c r="AH406" s="85"/>
      <c r="AI406" s="85"/>
    </row>
    <row r="407" spans="18:35" x14ac:dyDescent="0.3">
      <c r="R407" s="85"/>
      <c r="S407" s="85"/>
      <c r="T407" s="85"/>
      <c r="W407" s="85"/>
      <c r="X407" s="85"/>
      <c r="Y407" s="85"/>
      <c r="AB407" s="85"/>
      <c r="AC407" s="85"/>
      <c r="AD407" s="85"/>
      <c r="AG407" s="85"/>
      <c r="AH407" s="85"/>
      <c r="AI407" s="85"/>
    </row>
    <row r="408" spans="18:35" x14ac:dyDescent="0.3">
      <c r="R408" s="85"/>
      <c r="S408" s="85"/>
      <c r="T408" s="85"/>
      <c r="W408" s="85"/>
      <c r="X408" s="85"/>
      <c r="Y408" s="85"/>
      <c r="AB408" s="85"/>
      <c r="AC408" s="85"/>
      <c r="AD408" s="85"/>
      <c r="AG408" s="85"/>
      <c r="AH408" s="85"/>
      <c r="AI408" s="85"/>
    </row>
    <row r="409" spans="18:35" x14ac:dyDescent="0.3">
      <c r="R409" s="85"/>
      <c r="S409" s="85"/>
      <c r="T409" s="85"/>
      <c r="W409" s="85"/>
      <c r="X409" s="85"/>
      <c r="Y409" s="85"/>
      <c r="AB409" s="85"/>
      <c r="AC409" s="85"/>
      <c r="AD409" s="85"/>
      <c r="AG409" s="85"/>
      <c r="AH409" s="85"/>
      <c r="AI409" s="85"/>
    </row>
    <row r="410" spans="18:35" x14ac:dyDescent="0.3">
      <c r="R410" s="85"/>
      <c r="S410" s="85"/>
      <c r="T410" s="85"/>
      <c r="W410" s="85"/>
      <c r="X410" s="85"/>
      <c r="Y410" s="85"/>
      <c r="AB410" s="85"/>
      <c r="AC410" s="85"/>
      <c r="AD410" s="85"/>
      <c r="AG410" s="85"/>
      <c r="AH410" s="85"/>
      <c r="AI410" s="85"/>
    </row>
    <row r="411" spans="18:35" x14ac:dyDescent="0.3">
      <c r="R411" s="85"/>
      <c r="S411" s="85"/>
      <c r="T411" s="85"/>
      <c r="W411" s="85"/>
      <c r="X411" s="85"/>
      <c r="Y411" s="85"/>
      <c r="AB411" s="85"/>
      <c r="AC411" s="85"/>
      <c r="AD411" s="85"/>
      <c r="AG411" s="85"/>
      <c r="AH411" s="85"/>
      <c r="AI411" s="85"/>
    </row>
    <row r="412" spans="18:35" x14ac:dyDescent="0.3">
      <c r="R412" s="85"/>
      <c r="S412" s="85"/>
      <c r="T412" s="85"/>
      <c r="W412" s="85"/>
      <c r="X412" s="85"/>
      <c r="Y412" s="85"/>
      <c r="AB412" s="85"/>
      <c r="AC412" s="85"/>
      <c r="AD412" s="85"/>
      <c r="AG412" s="85"/>
      <c r="AH412" s="85"/>
      <c r="AI412" s="85"/>
    </row>
    <row r="413" spans="18:35" x14ac:dyDescent="0.3">
      <c r="R413" s="85"/>
      <c r="S413" s="85"/>
      <c r="T413" s="85"/>
      <c r="W413" s="85"/>
      <c r="X413" s="85"/>
      <c r="Y413" s="85"/>
      <c r="AB413" s="85"/>
      <c r="AC413" s="85"/>
      <c r="AD413" s="85"/>
      <c r="AG413" s="85"/>
      <c r="AH413" s="85"/>
      <c r="AI413" s="85"/>
    </row>
    <row r="414" spans="18:35" x14ac:dyDescent="0.3">
      <c r="R414" s="85"/>
      <c r="S414" s="85"/>
      <c r="T414" s="85"/>
      <c r="W414" s="85"/>
      <c r="X414" s="85"/>
      <c r="Y414" s="85"/>
      <c r="AB414" s="85"/>
      <c r="AC414" s="85"/>
      <c r="AD414" s="85"/>
      <c r="AG414" s="85"/>
      <c r="AH414" s="85"/>
      <c r="AI414" s="85"/>
    </row>
    <row r="415" spans="18:35" x14ac:dyDescent="0.3">
      <c r="R415" s="85"/>
      <c r="S415" s="85"/>
      <c r="T415" s="85"/>
      <c r="W415" s="85"/>
      <c r="X415" s="85"/>
      <c r="Y415" s="85"/>
      <c r="AB415" s="85"/>
      <c r="AC415" s="85"/>
      <c r="AD415" s="85"/>
      <c r="AG415" s="85"/>
      <c r="AH415" s="85"/>
      <c r="AI415" s="85"/>
    </row>
    <row r="416" spans="18:35" x14ac:dyDescent="0.3">
      <c r="R416" s="85"/>
      <c r="S416" s="85"/>
      <c r="T416" s="85"/>
      <c r="W416" s="85"/>
      <c r="X416" s="85"/>
      <c r="Y416" s="85"/>
      <c r="AB416" s="85"/>
      <c r="AC416" s="85"/>
      <c r="AD416" s="85"/>
      <c r="AG416" s="85"/>
      <c r="AH416" s="85"/>
      <c r="AI416" s="85"/>
    </row>
    <row r="417" spans="18:35" x14ac:dyDescent="0.3">
      <c r="R417" s="85"/>
      <c r="S417" s="85"/>
      <c r="T417" s="85"/>
      <c r="W417" s="85"/>
      <c r="X417" s="85"/>
      <c r="Y417" s="85"/>
      <c r="AB417" s="85"/>
      <c r="AC417" s="85"/>
      <c r="AD417" s="85"/>
      <c r="AG417" s="85"/>
      <c r="AH417" s="85"/>
      <c r="AI417" s="85"/>
    </row>
    <row r="418" spans="18:35" x14ac:dyDescent="0.3">
      <c r="R418" s="85"/>
      <c r="S418" s="85"/>
      <c r="T418" s="85"/>
      <c r="W418" s="85"/>
      <c r="X418" s="85"/>
      <c r="Y418" s="85"/>
      <c r="AB418" s="85"/>
      <c r="AC418" s="85"/>
      <c r="AD418" s="85"/>
      <c r="AG418" s="85"/>
      <c r="AH418" s="85"/>
      <c r="AI418" s="85"/>
    </row>
    <row r="419" spans="18:35" x14ac:dyDescent="0.3">
      <c r="R419" s="85"/>
      <c r="S419" s="85"/>
      <c r="T419" s="85"/>
      <c r="W419" s="85"/>
      <c r="X419" s="85"/>
      <c r="Y419" s="85"/>
      <c r="AB419" s="85"/>
      <c r="AC419" s="85"/>
      <c r="AD419" s="85"/>
      <c r="AG419" s="85"/>
      <c r="AH419" s="85"/>
      <c r="AI419" s="85"/>
    </row>
    <row r="420" spans="18:35" x14ac:dyDescent="0.3">
      <c r="R420" s="85"/>
      <c r="S420" s="85"/>
      <c r="T420" s="85"/>
      <c r="W420" s="85"/>
      <c r="X420" s="85"/>
      <c r="Y420" s="85"/>
      <c r="AB420" s="85"/>
      <c r="AC420" s="85"/>
      <c r="AD420" s="85"/>
      <c r="AG420" s="85"/>
      <c r="AH420" s="85"/>
      <c r="AI420" s="85"/>
    </row>
    <row r="421" spans="18:35" x14ac:dyDescent="0.3">
      <c r="R421" s="85"/>
      <c r="S421" s="85"/>
      <c r="T421" s="85"/>
      <c r="W421" s="85"/>
      <c r="X421" s="85"/>
      <c r="Y421" s="85"/>
      <c r="AB421" s="85"/>
      <c r="AC421" s="85"/>
      <c r="AD421" s="85"/>
      <c r="AG421" s="85"/>
      <c r="AH421" s="85"/>
      <c r="AI421" s="85"/>
    </row>
    <row r="422" spans="18:35" x14ac:dyDescent="0.3">
      <c r="R422" s="85"/>
      <c r="S422" s="85"/>
      <c r="T422" s="85"/>
      <c r="W422" s="85"/>
      <c r="X422" s="85"/>
      <c r="Y422" s="85"/>
      <c r="AB422" s="85"/>
      <c r="AC422" s="85"/>
      <c r="AD422" s="85"/>
      <c r="AG422" s="85"/>
      <c r="AH422" s="85"/>
      <c r="AI422" s="85"/>
    </row>
    <row r="423" spans="18:35" x14ac:dyDescent="0.3">
      <c r="R423" s="85"/>
      <c r="S423" s="85"/>
      <c r="T423" s="85"/>
      <c r="W423" s="85"/>
      <c r="X423" s="85"/>
      <c r="Y423" s="85"/>
      <c r="AB423" s="85"/>
      <c r="AC423" s="85"/>
      <c r="AD423" s="85"/>
      <c r="AG423" s="85"/>
      <c r="AH423" s="85"/>
      <c r="AI423" s="85"/>
    </row>
    <row r="424" spans="18:35" x14ac:dyDescent="0.3">
      <c r="R424" s="85"/>
      <c r="S424" s="85"/>
      <c r="T424" s="85"/>
      <c r="W424" s="85"/>
      <c r="X424" s="85"/>
      <c r="Y424" s="85"/>
      <c r="AB424" s="85"/>
      <c r="AC424" s="85"/>
      <c r="AD424" s="85"/>
      <c r="AG424" s="85"/>
      <c r="AH424" s="85"/>
      <c r="AI424" s="85"/>
    </row>
    <row r="425" spans="18:35" x14ac:dyDescent="0.3">
      <c r="R425" s="85"/>
      <c r="S425" s="85"/>
      <c r="T425" s="85"/>
      <c r="W425" s="85"/>
      <c r="X425" s="85"/>
      <c r="Y425" s="85"/>
      <c r="AB425" s="85"/>
      <c r="AC425" s="85"/>
      <c r="AD425" s="85"/>
      <c r="AG425" s="85"/>
      <c r="AH425" s="85"/>
      <c r="AI425" s="85"/>
    </row>
    <row r="426" spans="18:35" x14ac:dyDescent="0.3">
      <c r="R426" s="85"/>
      <c r="S426" s="85"/>
      <c r="T426" s="85"/>
      <c r="W426" s="85"/>
      <c r="X426" s="85"/>
      <c r="Y426" s="85"/>
      <c r="AB426" s="85"/>
      <c r="AC426" s="85"/>
      <c r="AD426" s="85"/>
      <c r="AG426" s="85"/>
      <c r="AH426" s="85"/>
      <c r="AI426" s="85"/>
    </row>
    <row r="427" spans="18:35" x14ac:dyDescent="0.3">
      <c r="R427" s="85"/>
      <c r="S427" s="85"/>
      <c r="T427" s="85"/>
      <c r="W427" s="85"/>
      <c r="X427" s="85"/>
      <c r="Y427" s="85"/>
      <c r="AB427" s="85"/>
      <c r="AC427" s="85"/>
      <c r="AD427" s="85"/>
      <c r="AG427" s="85"/>
      <c r="AH427" s="85"/>
      <c r="AI427" s="85"/>
    </row>
    <row r="428" spans="18:35" x14ac:dyDescent="0.3">
      <c r="R428" s="85"/>
      <c r="S428" s="85"/>
      <c r="T428" s="85"/>
      <c r="W428" s="85"/>
      <c r="X428" s="85"/>
      <c r="Y428" s="85"/>
      <c r="AB428" s="85"/>
      <c r="AC428" s="85"/>
      <c r="AD428" s="85"/>
      <c r="AG428" s="85"/>
      <c r="AH428" s="85"/>
      <c r="AI428" s="85"/>
    </row>
    <row r="429" spans="18:35" x14ac:dyDescent="0.3">
      <c r="R429" s="85"/>
      <c r="S429" s="85"/>
      <c r="T429" s="85"/>
      <c r="W429" s="85"/>
      <c r="X429" s="85"/>
      <c r="Y429" s="85"/>
      <c r="AB429" s="85"/>
      <c r="AC429" s="85"/>
      <c r="AD429" s="85"/>
      <c r="AG429" s="85"/>
      <c r="AH429" s="85"/>
      <c r="AI429" s="85"/>
    </row>
    <row r="430" spans="18:35" x14ac:dyDescent="0.3">
      <c r="R430" s="85"/>
      <c r="S430" s="85"/>
      <c r="T430" s="85"/>
      <c r="W430" s="85"/>
      <c r="X430" s="85"/>
      <c r="Y430" s="85"/>
      <c r="AB430" s="85"/>
      <c r="AC430" s="85"/>
      <c r="AD430" s="85"/>
      <c r="AG430" s="85"/>
      <c r="AH430" s="85"/>
      <c r="AI430" s="85"/>
    </row>
    <row r="431" spans="18:35" x14ac:dyDescent="0.3">
      <c r="R431" s="85"/>
      <c r="S431" s="85"/>
      <c r="T431" s="85"/>
      <c r="W431" s="85"/>
      <c r="X431" s="85"/>
      <c r="Y431" s="85"/>
      <c r="AB431" s="85"/>
      <c r="AC431" s="85"/>
      <c r="AD431" s="85"/>
      <c r="AG431" s="85"/>
      <c r="AH431" s="85"/>
      <c r="AI431" s="85"/>
    </row>
    <row r="432" spans="18:35" x14ac:dyDescent="0.3">
      <c r="R432" s="85"/>
      <c r="S432" s="85"/>
      <c r="T432" s="85"/>
      <c r="W432" s="85"/>
      <c r="X432" s="85"/>
      <c r="Y432" s="85"/>
      <c r="AB432" s="85"/>
      <c r="AC432" s="85"/>
      <c r="AD432" s="85"/>
      <c r="AG432" s="85"/>
      <c r="AH432" s="85"/>
      <c r="AI432" s="85"/>
    </row>
    <row r="433" spans="18:35" x14ac:dyDescent="0.3">
      <c r="R433" s="85"/>
      <c r="S433" s="85"/>
      <c r="T433" s="85"/>
      <c r="W433" s="85"/>
      <c r="X433" s="85"/>
      <c r="Y433" s="85"/>
      <c r="AB433" s="85"/>
      <c r="AC433" s="85"/>
      <c r="AD433" s="85"/>
      <c r="AG433" s="85"/>
      <c r="AH433" s="85"/>
      <c r="AI433" s="85"/>
    </row>
    <row r="434" spans="18:35" x14ac:dyDescent="0.3">
      <c r="R434" s="85"/>
      <c r="S434" s="85"/>
      <c r="T434" s="85"/>
      <c r="W434" s="85"/>
      <c r="X434" s="85"/>
      <c r="Y434" s="85"/>
      <c r="AB434" s="85"/>
      <c r="AC434" s="85"/>
      <c r="AD434" s="85"/>
      <c r="AG434" s="85"/>
      <c r="AH434" s="85"/>
      <c r="AI434" s="85"/>
    </row>
    <row r="435" spans="18:35" x14ac:dyDescent="0.3">
      <c r="R435" s="85"/>
      <c r="S435" s="85"/>
      <c r="T435" s="85"/>
      <c r="W435" s="85"/>
      <c r="X435" s="85"/>
      <c r="Y435" s="85"/>
      <c r="AB435" s="85"/>
      <c r="AC435" s="85"/>
      <c r="AD435" s="85"/>
      <c r="AG435" s="85"/>
      <c r="AH435" s="85"/>
      <c r="AI435" s="85"/>
    </row>
    <row r="436" spans="18:35" x14ac:dyDescent="0.3">
      <c r="R436" s="85"/>
      <c r="S436" s="85"/>
      <c r="T436" s="85"/>
      <c r="W436" s="85"/>
      <c r="X436" s="85"/>
      <c r="Y436" s="85"/>
      <c r="AB436" s="85"/>
      <c r="AC436" s="85"/>
      <c r="AD436" s="85"/>
      <c r="AG436" s="85"/>
      <c r="AH436" s="85"/>
      <c r="AI436" s="85"/>
    </row>
    <row r="437" spans="18:35" x14ac:dyDescent="0.3">
      <c r="R437" s="85"/>
      <c r="S437" s="85"/>
      <c r="T437" s="85"/>
      <c r="W437" s="85"/>
      <c r="X437" s="85"/>
      <c r="Y437" s="85"/>
      <c r="AB437" s="85"/>
      <c r="AC437" s="85"/>
      <c r="AD437" s="85"/>
      <c r="AG437" s="85"/>
      <c r="AH437" s="85"/>
      <c r="AI437" s="85"/>
    </row>
    <row r="438" spans="18:35" x14ac:dyDescent="0.3">
      <c r="R438" s="85"/>
      <c r="S438" s="85"/>
      <c r="T438" s="85"/>
      <c r="W438" s="85"/>
      <c r="X438" s="85"/>
      <c r="Y438" s="85"/>
      <c r="AB438" s="85"/>
      <c r="AC438" s="85"/>
      <c r="AD438" s="85"/>
      <c r="AG438" s="85"/>
      <c r="AH438" s="85"/>
      <c r="AI438" s="85"/>
    </row>
    <row r="439" spans="18:35" x14ac:dyDescent="0.3">
      <c r="R439" s="85"/>
      <c r="S439" s="85"/>
      <c r="T439" s="85"/>
      <c r="W439" s="85"/>
      <c r="X439" s="85"/>
      <c r="Y439" s="85"/>
      <c r="AB439" s="85"/>
      <c r="AC439" s="85"/>
      <c r="AD439" s="85"/>
      <c r="AG439" s="85"/>
      <c r="AH439" s="85"/>
      <c r="AI439" s="85"/>
    </row>
    <row r="440" spans="18:35" x14ac:dyDescent="0.3">
      <c r="R440" s="85"/>
      <c r="S440" s="85"/>
      <c r="T440" s="85"/>
      <c r="W440" s="85"/>
      <c r="X440" s="85"/>
      <c r="Y440" s="85"/>
      <c r="AB440" s="85"/>
      <c r="AC440" s="85"/>
      <c r="AD440" s="85"/>
      <c r="AG440" s="85"/>
      <c r="AH440" s="85"/>
      <c r="AI440" s="85"/>
    </row>
    <row r="441" spans="18:35" x14ac:dyDescent="0.3">
      <c r="R441" s="85"/>
      <c r="S441" s="85"/>
      <c r="T441" s="85"/>
      <c r="W441" s="85"/>
      <c r="X441" s="85"/>
      <c r="Y441" s="85"/>
      <c r="AB441" s="85"/>
      <c r="AC441" s="85"/>
      <c r="AD441" s="85"/>
      <c r="AG441" s="85"/>
      <c r="AH441" s="85"/>
      <c r="AI441" s="85"/>
    </row>
    <row r="442" spans="18:35" x14ac:dyDescent="0.3">
      <c r="R442" s="85"/>
      <c r="S442" s="85"/>
      <c r="T442" s="85"/>
      <c r="W442" s="85"/>
      <c r="X442" s="85"/>
      <c r="Y442" s="85"/>
      <c r="AB442" s="85"/>
      <c r="AC442" s="85"/>
      <c r="AD442" s="85"/>
      <c r="AG442" s="85"/>
      <c r="AH442" s="85"/>
      <c r="AI442" s="85"/>
    </row>
    <row r="443" spans="18:35" x14ac:dyDescent="0.3">
      <c r="R443" s="85"/>
      <c r="S443" s="85"/>
      <c r="T443" s="85"/>
      <c r="W443" s="85"/>
      <c r="X443" s="85"/>
      <c r="Y443" s="85"/>
      <c r="AB443" s="85"/>
      <c r="AC443" s="85"/>
      <c r="AD443" s="85"/>
      <c r="AG443" s="85"/>
      <c r="AH443" s="85"/>
      <c r="AI443" s="85"/>
    </row>
    <row r="444" spans="18:35" x14ac:dyDescent="0.3">
      <c r="R444" s="85"/>
      <c r="S444" s="85"/>
      <c r="T444" s="85"/>
      <c r="W444" s="85"/>
      <c r="X444" s="85"/>
      <c r="Y444" s="85"/>
      <c r="AB444" s="85"/>
      <c r="AC444" s="85"/>
      <c r="AD444" s="85"/>
      <c r="AG444" s="85"/>
      <c r="AH444" s="85"/>
      <c r="AI444" s="85"/>
    </row>
    <row r="445" spans="18:35" x14ac:dyDescent="0.3">
      <c r="R445" s="85"/>
      <c r="S445" s="85"/>
      <c r="T445" s="85"/>
      <c r="W445" s="85"/>
      <c r="X445" s="85"/>
      <c r="Y445" s="85"/>
      <c r="AB445" s="85"/>
      <c r="AC445" s="85"/>
      <c r="AD445" s="85"/>
      <c r="AG445" s="85"/>
      <c r="AH445" s="85"/>
      <c r="AI445" s="85"/>
    </row>
    <row r="446" spans="18:35" x14ac:dyDescent="0.3">
      <c r="R446" s="85"/>
      <c r="S446" s="85"/>
      <c r="T446" s="85"/>
      <c r="W446" s="85"/>
      <c r="X446" s="85"/>
      <c r="Y446" s="85"/>
      <c r="AB446" s="85"/>
      <c r="AC446" s="85"/>
      <c r="AD446" s="85"/>
      <c r="AG446" s="85"/>
      <c r="AH446" s="85"/>
      <c r="AI446" s="85"/>
    </row>
    <row r="447" spans="18:35" x14ac:dyDescent="0.3">
      <c r="R447" s="85"/>
      <c r="S447" s="85"/>
      <c r="T447" s="85"/>
      <c r="W447" s="85"/>
      <c r="X447" s="85"/>
      <c r="Y447" s="85"/>
      <c r="AB447" s="85"/>
      <c r="AC447" s="85"/>
      <c r="AD447" s="85"/>
      <c r="AG447" s="85"/>
      <c r="AH447" s="85"/>
      <c r="AI447" s="85"/>
    </row>
    <row r="448" spans="18:35" x14ac:dyDescent="0.3">
      <c r="R448" s="85"/>
      <c r="S448" s="85"/>
      <c r="T448" s="85"/>
      <c r="W448" s="85"/>
      <c r="X448" s="85"/>
      <c r="Y448" s="85"/>
      <c r="AB448" s="85"/>
      <c r="AC448" s="85"/>
      <c r="AD448" s="85"/>
      <c r="AG448" s="85"/>
      <c r="AH448" s="85"/>
      <c r="AI448" s="85"/>
    </row>
    <row r="449" spans="18:35" x14ac:dyDescent="0.3">
      <c r="R449" s="85"/>
      <c r="S449" s="85"/>
      <c r="T449" s="85"/>
      <c r="W449" s="85"/>
      <c r="X449" s="85"/>
      <c r="Y449" s="85"/>
      <c r="AB449" s="85"/>
      <c r="AC449" s="85"/>
      <c r="AD449" s="85"/>
      <c r="AG449" s="85"/>
      <c r="AH449" s="85"/>
      <c r="AI449" s="85"/>
    </row>
    <row r="450" spans="18:35" x14ac:dyDescent="0.3">
      <c r="R450" s="85"/>
      <c r="S450" s="85"/>
      <c r="T450" s="85"/>
      <c r="W450" s="85"/>
      <c r="X450" s="85"/>
      <c r="Y450" s="85"/>
      <c r="AB450" s="85"/>
      <c r="AC450" s="85"/>
      <c r="AD450" s="85"/>
      <c r="AG450" s="85"/>
      <c r="AH450" s="85"/>
      <c r="AI450" s="85"/>
    </row>
    <row r="451" spans="18:35" x14ac:dyDescent="0.3">
      <c r="R451" s="85"/>
      <c r="S451" s="85"/>
      <c r="T451" s="85"/>
      <c r="W451" s="85"/>
      <c r="X451" s="85"/>
      <c r="Y451" s="85"/>
      <c r="AB451" s="85"/>
      <c r="AC451" s="85"/>
      <c r="AD451" s="85"/>
      <c r="AG451" s="85"/>
      <c r="AH451" s="85"/>
      <c r="AI451" s="85"/>
    </row>
    <row r="452" spans="18:35" x14ac:dyDescent="0.3">
      <c r="R452" s="85"/>
      <c r="S452" s="85"/>
      <c r="T452" s="85"/>
      <c r="W452" s="85"/>
      <c r="X452" s="85"/>
      <c r="Y452" s="85"/>
      <c r="AB452" s="85"/>
      <c r="AC452" s="85"/>
      <c r="AD452" s="85"/>
      <c r="AG452" s="85"/>
      <c r="AH452" s="85"/>
      <c r="AI452" s="85"/>
    </row>
    <row r="453" spans="18:35" x14ac:dyDescent="0.3">
      <c r="R453" s="85"/>
      <c r="S453" s="85"/>
      <c r="T453" s="85"/>
      <c r="W453" s="85"/>
      <c r="X453" s="85"/>
      <c r="Y453" s="85"/>
      <c r="AB453" s="85"/>
      <c r="AC453" s="85"/>
      <c r="AD453" s="85"/>
      <c r="AG453" s="85"/>
      <c r="AH453" s="85"/>
      <c r="AI453" s="85"/>
    </row>
    <row r="454" spans="18:35" x14ac:dyDescent="0.3">
      <c r="R454" s="85"/>
      <c r="S454" s="85"/>
      <c r="T454" s="85"/>
      <c r="W454" s="85"/>
      <c r="X454" s="85"/>
      <c r="Y454" s="85"/>
      <c r="AB454" s="85"/>
      <c r="AC454" s="85"/>
      <c r="AD454" s="85"/>
      <c r="AG454" s="85"/>
      <c r="AH454" s="85"/>
      <c r="AI454" s="85"/>
    </row>
    <row r="455" spans="18:35" x14ac:dyDescent="0.3">
      <c r="R455" s="85"/>
      <c r="S455" s="85"/>
      <c r="T455" s="85"/>
      <c r="W455" s="85"/>
      <c r="X455" s="85"/>
      <c r="Y455" s="85"/>
      <c r="AB455" s="85"/>
      <c r="AC455" s="85"/>
      <c r="AD455" s="85"/>
      <c r="AG455" s="85"/>
      <c r="AH455" s="85"/>
      <c r="AI455" s="85"/>
    </row>
    <row r="456" spans="18:35" x14ac:dyDescent="0.3">
      <c r="R456" s="85"/>
      <c r="S456" s="85"/>
      <c r="T456" s="85"/>
      <c r="W456" s="85"/>
      <c r="X456" s="85"/>
      <c r="Y456" s="85"/>
      <c r="AB456" s="85"/>
      <c r="AC456" s="85"/>
      <c r="AD456" s="85"/>
      <c r="AG456" s="85"/>
      <c r="AH456" s="85"/>
      <c r="AI456" s="85"/>
    </row>
    <row r="457" spans="18:35" x14ac:dyDescent="0.3">
      <c r="R457" s="85"/>
      <c r="S457" s="85"/>
      <c r="T457" s="85"/>
      <c r="W457" s="85"/>
      <c r="X457" s="85"/>
      <c r="Y457" s="85"/>
      <c r="AB457" s="85"/>
      <c r="AC457" s="85"/>
      <c r="AD457" s="85"/>
      <c r="AG457" s="85"/>
      <c r="AH457" s="85"/>
      <c r="AI457" s="85"/>
    </row>
    <row r="458" spans="18:35" x14ac:dyDescent="0.3">
      <c r="R458" s="85"/>
      <c r="S458" s="85"/>
      <c r="T458" s="85"/>
      <c r="W458" s="85"/>
      <c r="X458" s="85"/>
      <c r="Y458" s="85"/>
      <c r="AB458" s="85"/>
      <c r="AC458" s="85"/>
      <c r="AD458" s="85"/>
      <c r="AG458" s="85"/>
      <c r="AH458" s="85"/>
      <c r="AI458" s="85"/>
    </row>
    <row r="459" spans="18:35" x14ac:dyDescent="0.3">
      <c r="AG459" s="85"/>
      <c r="AH459" s="85"/>
      <c r="AI459" s="85"/>
    </row>
  </sheetData>
  <sheetProtection algorithmName="SHA-512" hashValue="3V6IPD3TILxWZBYWYhlQIG0C1jVndyNCQLaerwFeP2RkaePQkvEGBPH+uzcrFs0IgqM2pBBmJPZVvjuZIQFNHQ==" saltValue="oXAkgWx/JLS6/bjvOoBpKQ==" spinCount="100000" sheet="1" selectLockedCells="1"/>
  <mergeCells count="3">
    <mergeCell ref="F73:H73"/>
    <mergeCell ref="O3:P3"/>
    <mergeCell ref="A1:Q1"/>
  </mergeCells>
  <phoneticPr fontId="5" type="noConversion"/>
  <conditionalFormatting sqref="E12">
    <cfRule type="cellIs" dxfId="24" priority="23" stopIfTrue="1" operator="notBetween">
      <formula>1000</formula>
      <formula>100</formula>
    </cfRule>
    <cfRule type="cellIs" dxfId="23" priority="24" stopIfTrue="1" operator="notBetween">
      <formula>$E$11*0.8</formula>
      <formula>$E$11*1.5</formula>
    </cfRule>
  </conditionalFormatting>
  <conditionalFormatting sqref="E11">
    <cfRule type="cellIs" dxfId="22" priority="26" stopIfTrue="1" operator="notBetween">
      <formula>1000</formula>
      <formula>100</formula>
    </cfRule>
    <cfRule type="cellIs" dxfId="21" priority="27" stopIfTrue="1" operator="notBetween">
      <formula>$E$12/1.5</formula>
      <formula>$E$12/0.8</formula>
    </cfRule>
  </conditionalFormatting>
  <conditionalFormatting sqref="E31">
    <cfRule type="cellIs" dxfId="20" priority="20" stopIfTrue="1" operator="lessThanOrEqual">
      <formula>0</formula>
    </cfRule>
  </conditionalFormatting>
  <conditionalFormatting sqref="E33">
    <cfRule type="cellIs" dxfId="19" priority="19" stopIfTrue="1" operator="lessThan">
      <formula>$E$32</formula>
    </cfRule>
  </conditionalFormatting>
  <conditionalFormatting sqref="E35">
    <cfRule type="cellIs" dxfId="18" priority="18" stopIfTrue="1" operator="greaterThan">
      <formula>$E$34</formula>
    </cfRule>
  </conditionalFormatting>
  <conditionalFormatting sqref="E40">
    <cfRule type="cellIs" dxfId="17" priority="16" stopIfTrue="1" operator="equal">
      <formula>0</formula>
    </cfRule>
  </conditionalFormatting>
  <conditionalFormatting sqref="E42">
    <cfRule type="cellIs" dxfId="16" priority="15" stopIfTrue="1" operator="lessThan">
      <formula>$E$41</formula>
    </cfRule>
  </conditionalFormatting>
  <conditionalFormatting sqref="E44">
    <cfRule type="cellIs" dxfId="15" priority="13" stopIfTrue="1" operator="greaterThan">
      <formula>$E$43</formula>
    </cfRule>
    <cfRule type="cellIs" dxfId="14" priority="14" stopIfTrue="1" operator="equal">
      <formula>0</formula>
    </cfRule>
  </conditionalFormatting>
  <conditionalFormatting sqref="E51">
    <cfRule type="cellIs" dxfId="13" priority="11" operator="notBetween">
      <formula>VIN_MIN_RATING</formula>
      <formula>VIN_MAX_RATING</formula>
    </cfRule>
  </conditionalFormatting>
  <conditionalFormatting sqref="E52">
    <cfRule type="cellIs" dxfId="12" priority="10" operator="notBetween">
      <formula>VIN_MIN_RATING</formula>
      <formula>VIN_MAX_RATING</formula>
    </cfRule>
  </conditionalFormatting>
  <conditionalFormatting sqref="E9">
    <cfRule type="cellIs" dxfId="11" priority="28" operator="greaterThan">
      <formula>$E$7</formula>
    </cfRule>
    <cfRule type="cellIs" dxfId="10" priority="29" stopIfTrue="1" operator="notBetween">
      <formula>0.8</formula>
      <formula>VOUT_MAX_RATING</formula>
    </cfRule>
  </conditionalFormatting>
  <conditionalFormatting sqref="E6:E8">
    <cfRule type="cellIs" dxfId="9" priority="7" operator="notBetween">
      <formula>VIN_MIN_RATING</formula>
      <formula>VIN_MAX_RATING</formula>
    </cfRule>
  </conditionalFormatting>
  <conditionalFormatting sqref="D24:F24">
    <cfRule type="expression" dxfId="8" priority="3">
      <formula>RDSON_sense=1</formula>
    </cfRule>
  </conditionalFormatting>
  <hyperlinks>
    <hyperlink ref="C3" r:id="rId1" xr:uid="{00000000-0004-0000-0000-000000000000}"/>
  </hyperlinks>
  <printOptions horizontalCentered="1" verticalCentered="1"/>
  <pageMargins left="0.1" right="0.17" top="0.25" bottom="0.25" header="0.25" footer="0.25"/>
  <pageSetup scale="47" orientation="portrait" r:id="rId2"/>
  <headerFooter alignWithMargins="0"/>
  <rowBreaks count="1" manualBreakCount="1">
    <brk id="111" max="16" man="1"/>
  </rowBreaks>
  <ignoredErrors>
    <ignoredError sqref="E72" unlockedFormula="1"/>
  </ignoredErrors>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73565" r:id="rId6" name="Button 797">
              <controlPr locked="0" defaultSize="0" print="0" autoFill="0" autoPict="0" macro="[0]!FIXValues">
                <anchor moveWithCells="1" sizeWithCells="1">
                  <from>
                    <xdr:col>2</xdr:col>
                    <xdr:colOff>388620</xdr:colOff>
                    <xdr:row>74</xdr:row>
                    <xdr:rowOff>7620</xdr:rowOff>
                  </from>
                  <to>
                    <xdr:col>3</xdr:col>
                    <xdr:colOff>7620</xdr:colOff>
                    <xdr:row>77</xdr:row>
                    <xdr:rowOff>22860</xdr:rowOff>
                  </to>
                </anchor>
              </controlPr>
            </control>
          </mc:Choice>
        </mc:AlternateContent>
        <mc:AlternateContent xmlns:mc="http://schemas.openxmlformats.org/markup-compatibility/2006">
          <mc:Choice Requires="x14">
            <control shapeId="683100" r:id="rId7" name="Drop Down 1116">
              <controlPr defaultSize="0" autoLine="0" autoPict="0">
                <anchor moveWithCells="1">
                  <from>
                    <xdr:col>16</xdr:col>
                    <xdr:colOff>1699260</xdr:colOff>
                    <xdr:row>0</xdr:row>
                    <xdr:rowOff>449580</xdr:rowOff>
                  </from>
                  <to>
                    <xdr:col>16</xdr:col>
                    <xdr:colOff>2080260</xdr:colOff>
                    <xdr:row>1</xdr:row>
                    <xdr:rowOff>30480</xdr:rowOff>
                  </to>
                </anchor>
              </controlPr>
            </control>
          </mc:Choice>
        </mc:AlternateContent>
        <mc:AlternateContent xmlns:mc="http://schemas.openxmlformats.org/markup-compatibility/2006">
          <mc:Choice Requires="x14">
            <control shapeId="673566" r:id="rId8" name="Button 798">
              <controlPr locked="0" defaultSize="0" print="0" autoFill="0" autoPict="0" macro="[0]!RESETValues">
                <anchor moveWithCells="1" sizeWithCells="1">
                  <from>
                    <xdr:col>2</xdr:col>
                    <xdr:colOff>388620</xdr:colOff>
                    <xdr:row>74</xdr:row>
                    <xdr:rowOff>7620</xdr:rowOff>
                  </from>
                  <to>
                    <xdr:col>3</xdr:col>
                    <xdr:colOff>7620</xdr:colOff>
                    <xdr:row>77</xdr:row>
                    <xdr:rowOff>22860</xdr:rowOff>
                  </to>
                </anchor>
              </controlPr>
            </control>
          </mc:Choice>
        </mc:AlternateContent>
        <mc:AlternateContent xmlns:mc="http://schemas.openxmlformats.org/markup-compatibility/2006">
          <mc:Choice Requires="x14">
            <control shapeId="672829" r:id="rId9" name="Spinner 61">
              <controlPr defaultSize="0" autoPict="0">
                <anchor moveWithCells="1" sizeWithCells="1">
                  <from>
                    <xdr:col>5</xdr:col>
                    <xdr:colOff>0</xdr:colOff>
                    <xdr:row>59</xdr:row>
                    <xdr:rowOff>160020</xdr:rowOff>
                  </from>
                  <to>
                    <xdr:col>5</xdr:col>
                    <xdr:colOff>182880</xdr:colOff>
                    <xdr:row>61</xdr:row>
                    <xdr:rowOff>7620</xdr:rowOff>
                  </to>
                </anchor>
              </controlPr>
            </control>
          </mc:Choice>
        </mc:AlternateContent>
        <mc:AlternateContent xmlns:mc="http://schemas.openxmlformats.org/markup-compatibility/2006">
          <mc:Choice Requires="x14">
            <control shapeId="672830" r:id="rId10" name="Spinner 62">
              <controlPr defaultSize="0" autoPict="0">
                <anchor moveWithCells="1" sizeWithCells="1">
                  <from>
                    <xdr:col>5</xdr:col>
                    <xdr:colOff>0</xdr:colOff>
                    <xdr:row>66</xdr:row>
                    <xdr:rowOff>0</xdr:rowOff>
                  </from>
                  <to>
                    <xdr:col>5</xdr:col>
                    <xdr:colOff>182880</xdr:colOff>
                    <xdr:row>67</xdr:row>
                    <xdr:rowOff>0</xdr:rowOff>
                  </to>
                </anchor>
              </controlPr>
            </control>
          </mc:Choice>
        </mc:AlternateContent>
        <mc:AlternateContent xmlns:mc="http://schemas.openxmlformats.org/markup-compatibility/2006">
          <mc:Choice Requires="x14">
            <control shapeId="672831" r:id="rId11" name="Spinner 63">
              <controlPr defaultSize="0" autoPict="0">
                <anchor moveWithCells="1" sizeWithCells="1">
                  <from>
                    <xdr:col>5</xdr:col>
                    <xdr:colOff>0</xdr:colOff>
                    <xdr:row>67</xdr:row>
                    <xdr:rowOff>0</xdr:rowOff>
                  </from>
                  <to>
                    <xdr:col>5</xdr:col>
                    <xdr:colOff>182880</xdr:colOff>
                    <xdr:row>67</xdr:row>
                    <xdr:rowOff>190500</xdr:rowOff>
                  </to>
                </anchor>
              </controlPr>
            </control>
          </mc:Choice>
        </mc:AlternateContent>
        <mc:AlternateContent xmlns:mc="http://schemas.openxmlformats.org/markup-compatibility/2006">
          <mc:Choice Requires="x14">
            <control shapeId="672832" r:id="rId12" name="Spinner 64">
              <controlPr defaultSize="0" autoPict="0">
                <anchor moveWithCells="1" sizeWithCells="1">
                  <from>
                    <xdr:col>5</xdr:col>
                    <xdr:colOff>0</xdr:colOff>
                    <xdr:row>68</xdr:row>
                    <xdr:rowOff>0</xdr:rowOff>
                  </from>
                  <to>
                    <xdr:col>5</xdr:col>
                    <xdr:colOff>182880</xdr:colOff>
                    <xdr:row>68</xdr:row>
                    <xdr:rowOff>190500</xdr:rowOff>
                  </to>
                </anchor>
              </controlPr>
            </control>
          </mc:Choice>
        </mc:AlternateContent>
        <mc:AlternateContent xmlns:mc="http://schemas.openxmlformats.org/markup-compatibility/2006">
          <mc:Choice Requires="x14">
            <control shapeId="672833" r:id="rId13" name="Spinner 65">
              <controlPr defaultSize="0" autoPict="0">
                <anchor moveWithCells="1" sizeWithCells="1">
                  <from>
                    <xdr:col>5</xdr:col>
                    <xdr:colOff>0</xdr:colOff>
                    <xdr:row>69</xdr:row>
                    <xdr:rowOff>0</xdr:rowOff>
                  </from>
                  <to>
                    <xdr:col>5</xdr:col>
                    <xdr:colOff>182880</xdr:colOff>
                    <xdr:row>69</xdr:row>
                    <xdr:rowOff>190500</xdr:rowOff>
                  </to>
                </anchor>
              </controlPr>
            </control>
          </mc:Choice>
        </mc:AlternateContent>
        <mc:AlternateContent xmlns:mc="http://schemas.openxmlformats.org/markup-compatibility/2006">
          <mc:Choice Requires="x14">
            <control shapeId="672871" r:id="rId14" name="Drop Down 103">
              <controlPr defaultSize="0" autoLine="0" autoPict="0">
                <anchor moveWithCells="1">
                  <from>
                    <xdr:col>0</xdr:col>
                    <xdr:colOff>7620</xdr:colOff>
                    <xdr:row>23</xdr:row>
                    <xdr:rowOff>0</xdr:rowOff>
                  </from>
                  <to>
                    <xdr:col>1</xdr:col>
                    <xdr:colOff>525780</xdr:colOff>
                    <xdr:row>24</xdr:row>
                    <xdr:rowOff>0</xdr:rowOff>
                  </to>
                </anchor>
              </controlPr>
            </control>
          </mc:Choice>
        </mc:AlternateContent>
        <mc:AlternateContent xmlns:mc="http://schemas.openxmlformats.org/markup-compatibility/2006">
          <mc:Choice Requires="x14">
            <control shapeId="683041" r:id="rId15" name="Drop Down 1057">
              <controlPr locked="0" defaultSize="0" autoLine="0" autoPict="0">
                <anchor moveWithCells="1">
                  <from>
                    <xdr:col>4</xdr:col>
                    <xdr:colOff>38100</xdr:colOff>
                    <xdr:row>3</xdr:row>
                    <xdr:rowOff>175260</xdr:rowOff>
                  </from>
                  <to>
                    <xdr:col>6</xdr:col>
                    <xdr:colOff>0</xdr:colOff>
                    <xdr:row>4</xdr:row>
                    <xdr:rowOff>236220</xdr:rowOff>
                  </to>
                </anchor>
              </controlPr>
            </control>
          </mc:Choice>
        </mc:AlternateContent>
        <mc:AlternateContent xmlns:mc="http://schemas.openxmlformats.org/markup-compatibility/2006">
          <mc:Choice Requires="x14">
            <control shapeId="683134" r:id="rId16" name="Drop Down 1150">
              <controlPr defaultSize="0" autoLine="0" autoPict="0">
                <anchor moveWithCells="1">
                  <from>
                    <xdr:col>0</xdr:col>
                    <xdr:colOff>22860</xdr:colOff>
                    <xdr:row>108</xdr:row>
                    <xdr:rowOff>0</xdr:rowOff>
                  </from>
                  <to>
                    <xdr:col>2</xdr:col>
                    <xdr:colOff>198120</xdr:colOff>
                    <xdr:row>109</xdr:row>
                    <xdr:rowOff>15240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7A020C5F-9345-43EA-822E-8A1B038AD51E}">
            <xm:f>'Variable Management'!$B$18&lt;140</xm:f>
            <x14:dxf>
              <font>
                <color rgb="FFFF0000"/>
              </font>
            </x14:dxf>
          </x14:cfRule>
          <xm:sqref>E6</xm:sqref>
        </x14:conditionalFormatting>
        <x14:conditionalFormatting xmlns:xm="http://schemas.microsoft.com/office/excel/2006/main">
          <x14:cfRule type="expression" priority="1" id="{A84700B2-9D6A-4FAA-BAEF-6285CF5F700C}">
            <xm:f>'Variable Management'!$B$17&lt;40</xm:f>
            <x14:dxf>
              <font>
                <color rgb="FFFF0000"/>
              </font>
            </x14:dxf>
          </x14:cfRule>
          <xm:sqref>E8</xm:sqref>
        </x14:conditionalFormatting>
        <x14:conditionalFormatting xmlns:xm="http://schemas.microsoft.com/office/excel/2006/main">
          <x14:cfRule type="expression" priority="30" id="{07A203AC-6DB1-4954-A98A-B7A4EB5F4CBB}">
            <xm:f>'Variable Management'!$M$56=1</xm:f>
            <x14:dxf>
              <font>
                <color theme="0"/>
              </font>
            </x14:dxf>
          </x14:cfRule>
          <xm:sqref>D28:F28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00FF"/>
  </sheetPr>
  <dimension ref="A1:S455"/>
  <sheetViews>
    <sheetView topLeftCell="A5" zoomScaleNormal="100" workbookViewId="0">
      <selection activeCell="C63" sqref="C63"/>
    </sheetView>
  </sheetViews>
  <sheetFormatPr defaultRowHeight="13.2" x14ac:dyDescent="0.25"/>
  <cols>
    <col min="1" max="1" width="8.6640625" style="310" bestFit="1" customWidth="1"/>
    <col min="2" max="2" width="14.88671875" style="310" customWidth="1"/>
    <col min="3" max="3" width="16.109375" style="310" bestFit="1" customWidth="1"/>
    <col min="4" max="4" width="20.109375" style="310" customWidth="1"/>
    <col min="5" max="5" width="17.33203125" style="310" customWidth="1"/>
    <col min="6" max="6" width="20.5546875" style="310" bestFit="1" customWidth="1"/>
    <col min="7" max="7" width="9.6640625" style="310" customWidth="1"/>
    <col min="8" max="8" width="16.109375" style="310" customWidth="1"/>
    <col min="9" max="9" width="18.6640625" style="310" customWidth="1"/>
    <col min="10" max="10" width="12.6640625" style="310" customWidth="1"/>
    <col min="11" max="11" width="17.109375" style="310" customWidth="1"/>
    <col min="12" max="12" width="13.88671875" style="310" customWidth="1"/>
    <col min="13" max="13" width="9.109375" style="311"/>
    <col min="14" max="16" width="9.109375" style="310"/>
    <col min="17" max="17" width="4.88671875" style="310" customWidth="1"/>
    <col min="18" max="256" width="9.109375" style="310"/>
    <col min="257" max="257" width="8.6640625" style="310" bestFit="1" customWidth="1"/>
    <col min="258" max="258" width="13.33203125" style="310" customWidth="1"/>
    <col min="259" max="259" width="16.109375" style="310" bestFit="1" customWidth="1"/>
    <col min="260" max="260" width="23.5546875" style="310" customWidth="1"/>
    <col min="261" max="261" width="17.33203125" style="310" customWidth="1"/>
    <col min="262" max="262" width="20.5546875" style="310" bestFit="1" customWidth="1"/>
    <col min="263" max="263" width="17.109375" style="310" customWidth="1"/>
    <col min="264" max="264" width="21.88671875" style="310" bestFit="1" customWidth="1"/>
    <col min="265" max="265" width="17.109375" style="310" bestFit="1" customWidth="1"/>
    <col min="266" max="266" width="18.109375" style="310" bestFit="1" customWidth="1"/>
    <col min="267" max="267" width="26.44140625" style="310" customWidth="1"/>
    <col min="268" max="512" width="9.109375" style="310"/>
    <col min="513" max="513" width="8.6640625" style="310" bestFit="1" customWidth="1"/>
    <col min="514" max="514" width="13.33203125" style="310" customWidth="1"/>
    <col min="515" max="515" width="16.109375" style="310" bestFit="1" customWidth="1"/>
    <col min="516" max="516" width="23.5546875" style="310" customWidth="1"/>
    <col min="517" max="517" width="17.33203125" style="310" customWidth="1"/>
    <col min="518" max="518" width="20.5546875" style="310" bestFit="1" customWidth="1"/>
    <col min="519" max="519" width="17.109375" style="310" customWidth="1"/>
    <col min="520" max="520" width="21.88671875" style="310" bestFit="1" customWidth="1"/>
    <col min="521" max="521" width="17.109375" style="310" bestFit="1" customWidth="1"/>
    <col min="522" max="522" width="18.109375" style="310" bestFit="1" customWidth="1"/>
    <col min="523" max="523" width="26.44140625" style="310" customWidth="1"/>
    <col min="524" max="768" width="9.109375" style="310"/>
    <col min="769" max="769" width="8.6640625" style="310" bestFit="1" customWidth="1"/>
    <col min="770" max="770" width="13.33203125" style="310" customWidth="1"/>
    <col min="771" max="771" width="16.109375" style="310" bestFit="1" customWidth="1"/>
    <col min="772" max="772" width="23.5546875" style="310" customWidth="1"/>
    <col min="773" max="773" width="17.33203125" style="310" customWidth="1"/>
    <col min="774" max="774" width="20.5546875" style="310" bestFit="1" customWidth="1"/>
    <col min="775" max="775" width="17.109375" style="310" customWidth="1"/>
    <col min="776" max="776" width="21.88671875" style="310" bestFit="1" customWidth="1"/>
    <col min="777" max="777" width="17.109375" style="310" bestFit="1" customWidth="1"/>
    <col min="778" max="778" width="18.109375" style="310" bestFit="1" customWidth="1"/>
    <col min="779" max="779" width="26.44140625" style="310" customWidth="1"/>
    <col min="780" max="1024" width="9.109375" style="310"/>
    <col min="1025" max="1025" width="8.6640625" style="310" bestFit="1" customWidth="1"/>
    <col min="1026" max="1026" width="13.33203125" style="310" customWidth="1"/>
    <col min="1027" max="1027" width="16.109375" style="310" bestFit="1" customWidth="1"/>
    <col min="1028" max="1028" width="23.5546875" style="310" customWidth="1"/>
    <col min="1029" max="1029" width="17.33203125" style="310" customWidth="1"/>
    <col min="1030" max="1030" width="20.5546875" style="310" bestFit="1" customWidth="1"/>
    <col min="1031" max="1031" width="17.109375" style="310" customWidth="1"/>
    <col min="1032" max="1032" width="21.88671875" style="310" bestFit="1" customWidth="1"/>
    <col min="1033" max="1033" width="17.109375" style="310" bestFit="1" customWidth="1"/>
    <col min="1034" max="1034" width="18.109375" style="310" bestFit="1" customWidth="1"/>
    <col min="1035" max="1035" width="26.44140625" style="310" customWidth="1"/>
    <col min="1036" max="1280" width="9.109375" style="310"/>
    <col min="1281" max="1281" width="8.6640625" style="310" bestFit="1" customWidth="1"/>
    <col min="1282" max="1282" width="13.33203125" style="310" customWidth="1"/>
    <col min="1283" max="1283" width="16.109375" style="310" bestFit="1" customWidth="1"/>
    <col min="1284" max="1284" width="23.5546875" style="310" customWidth="1"/>
    <col min="1285" max="1285" width="17.33203125" style="310" customWidth="1"/>
    <col min="1286" max="1286" width="20.5546875" style="310" bestFit="1" customWidth="1"/>
    <col min="1287" max="1287" width="17.109375" style="310" customWidth="1"/>
    <col min="1288" max="1288" width="21.88671875" style="310" bestFit="1" customWidth="1"/>
    <col min="1289" max="1289" width="17.109375" style="310" bestFit="1" customWidth="1"/>
    <col min="1290" max="1290" width="18.109375" style="310" bestFit="1" customWidth="1"/>
    <col min="1291" max="1291" width="26.44140625" style="310" customWidth="1"/>
    <col min="1292" max="1536" width="9.109375" style="310"/>
    <col min="1537" max="1537" width="8.6640625" style="310" bestFit="1" customWidth="1"/>
    <col min="1538" max="1538" width="13.33203125" style="310" customWidth="1"/>
    <col min="1539" max="1539" width="16.109375" style="310" bestFit="1" customWidth="1"/>
    <col min="1540" max="1540" width="23.5546875" style="310" customWidth="1"/>
    <col min="1541" max="1541" width="17.33203125" style="310" customWidth="1"/>
    <col min="1542" max="1542" width="20.5546875" style="310" bestFit="1" customWidth="1"/>
    <col min="1543" max="1543" width="17.109375" style="310" customWidth="1"/>
    <col min="1544" max="1544" width="21.88671875" style="310" bestFit="1" customWidth="1"/>
    <col min="1545" max="1545" width="17.109375" style="310" bestFit="1" customWidth="1"/>
    <col min="1546" max="1546" width="18.109375" style="310" bestFit="1" customWidth="1"/>
    <col min="1547" max="1547" width="26.44140625" style="310" customWidth="1"/>
    <col min="1548" max="1792" width="9.109375" style="310"/>
    <col min="1793" max="1793" width="8.6640625" style="310" bestFit="1" customWidth="1"/>
    <col min="1794" max="1794" width="13.33203125" style="310" customWidth="1"/>
    <col min="1795" max="1795" width="16.109375" style="310" bestFit="1" customWidth="1"/>
    <col min="1796" max="1796" width="23.5546875" style="310" customWidth="1"/>
    <col min="1797" max="1797" width="17.33203125" style="310" customWidth="1"/>
    <col min="1798" max="1798" width="20.5546875" style="310" bestFit="1" customWidth="1"/>
    <col min="1799" max="1799" width="17.109375" style="310" customWidth="1"/>
    <col min="1800" max="1800" width="21.88671875" style="310" bestFit="1" customWidth="1"/>
    <col min="1801" max="1801" width="17.109375" style="310" bestFit="1" customWidth="1"/>
    <col min="1802" max="1802" width="18.109375" style="310" bestFit="1" customWidth="1"/>
    <col min="1803" max="1803" width="26.44140625" style="310" customWidth="1"/>
    <col min="1804" max="2048" width="9.109375" style="310"/>
    <col min="2049" max="2049" width="8.6640625" style="310" bestFit="1" customWidth="1"/>
    <col min="2050" max="2050" width="13.33203125" style="310" customWidth="1"/>
    <col min="2051" max="2051" width="16.109375" style="310" bestFit="1" customWidth="1"/>
    <col min="2052" max="2052" width="23.5546875" style="310" customWidth="1"/>
    <col min="2053" max="2053" width="17.33203125" style="310" customWidth="1"/>
    <col min="2054" max="2054" width="20.5546875" style="310" bestFit="1" customWidth="1"/>
    <col min="2055" max="2055" width="17.109375" style="310" customWidth="1"/>
    <col min="2056" max="2056" width="21.88671875" style="310" bestFit="1" customWidth="1"/>
    <col min="2057" max="2057" width="17.109375" style="310" bestFit="1" customWidth="1"/>
    <col min="2058" max="2058" width="18.109375" style="310" bestFit="1" customWidth="1"/>
    <col min="2059" max="2059" width="26.44140625" style="310" customWidth="1"/>
    <col min="2060" max="2304" width="9.109375" style="310"/>
    <col min="2305" max="2305" width="8.6640625" style="310" bestFit="1" customWidth="1"/>
    <col min="2306" max="2306" width="13.33203125" style="310" customWidth="1"/>
    <col min="2307" max="2307" width="16.109375" style="310" bestFit="1" customWidth="1"/>
    <col min="2308" max="2308" width="23.5546875" style="310" customWidth="1"/>
    <col min="2309" max="2309" width="17.33203125" style="310" customWidth="1"/>
    <col min="2310" max="2310" width="20.5546875" style="310" bestFit="1" customWidth="1"/>
    <col min="2311" max="2311" width="17.109375" style="310" customWidth="1"/>
    <col min="2312" max="2312" width="21.88671875" style="310" bestFit="1" customWidth="1"/>
    <col min="2313" max="2313" width="17.109375" style="310" bestFit="1" customWidth="1"/>
    <col min="2314" max="2314" width="18.109375" style="310" bestFit="1" customWidth="1"/>
    <col min="2315" max="2315" width="26.44140625" style="310" customWidth="1"/>
    <col min="2316" max="2560" width="9.109375" style="310"/>
    <col min="2561" max="2561" width="8.6640625" style="310" bestFit="1" customWidth="1"/>
    <col min="2562" max="2562" width="13.33203125" style="310" customWidth="1"/>
    <col min="2563" max="2563" width="16.109375" style="310" bestFit="1" customWidth="1"/>
    <col min="2564" max="2564" width="23.5546875" style="310" customWidth="1"/>
    <col min="2565" max="2565" width="17.33203125" style="310" customWidth="1"/>
    <col min="2566" max="2566" width="20.5546875" style="310" bestFit="1" customWidth="1"/>
    <col min="2567" max="2567" width="17.109375" style="310" customWidth="1"/>
    <col min="2568" max="2568" width="21.88671875" style="310" bestFit="1" customWidth="1"/>
    <col min="2569" max="2569" width="17.109375" style="310" bestFit="1" customWidth="1"/>
    <col min="2570" max="2570" width="18.109375" style="310" bestFit="1" customWidth="1"/>
    <col min="2571" max="2571" width="26.44140625" style="310" customWidth="1"/>
    <col min="2572" max="2816" width="9.109375" style="310"/>
    <col min="2817" max="2817" width="8.6640625" style="310" bestFit="1" customWidth="1"/>
    <col min="2818" max="2818" width="13.33203125" style="310" customWidth="1"/>
    <col min="2819" max="2819" width="16.109375" style="310" bestFit="1" customWidth="1"/>
    <col min="2820" max="2820" width="23.5546875" style="310" customWidth="1"/>
    <col min="2821" max="2821" width="17.33203125" style="310" customWidth="1"/>
    <col min="2822" max="2822" width="20.5546875" style="310" bestFit="1" customWidth="1"/>
    <col min="2823" max="2823" width="17.109375" style="310" customWidth="1"/>
    <col min="2824" max="2824" width="21.88671875" style="310" bestFit="1" customWidth="1"/>
    <col min="2825" max="2825" width="17.109375" style="310" bestFit="1" customWidth="1"/>
    <col min="2826" max="2826" width="18.109375" style="310" bestFit="1" customWidth="1"/>
    <col min="2827" max="2827" width="26.44140625" style="310" customWidth="1"/>
    <col min="2828" max="3072" width="9.109375" style="310"/>
    <col min="3073" max="3073" width="8.6640625" style="310" bestFit="1" customWidth="1"/>
    <col min="3074" max="3074" width="13.33203125" style="310" customWidth="1"/>
    <col min="3075" max="3075" width="16.109375" style="310" bestFit="1" customWidth="1"/>
    <col min="3076" max="3076" width="23.5546875" style="310" customWidth="1"/>
    <col min="3077" max="3077" width="17.33203125" style="310" customWidth="1"/>
    <col min="3078" max="3078" width="20.5546875" style="310" bestFit="1" customWidth="1"/>
    <col min="3079" max="3079" width="17.109375" style="310" customWidth="1"/>
    <col min="3080" max="3080" width="21.88671875" style="310" bestFit="1" customWidth="1"/>
    <col min="3081" max="3081" width="17.109375" style="310" bestFit="1" customWidth="1"/>
    <col min="3082" max="3082" width="18.109375" style="310" bestFit="1" customWidth="1"/>
    <col min="3083" max="3083" width="26.44140625" style="310" customWidth="1"/>
    <col min="3084" max="3328" width="9.109375" style="310"/>
    <col min="3329" max="3329" width="8.6640625" style="310" bestFit="1" customWidth="1"/>
    <col min="3330" max="3330" width="13.33203125" style="310" customWidth="1"/>
    <col min="3331" max="3331" width="16.109375" style="310" bestFit="1" customWidth="1"/>
    <col min="3332" max="3332" width="23.5546875" style="310" customWidth="1"/>
    <col min="3333" max="3333" width="17.33203125" style="310" customWidth="1"/>
    <col min="3334" max="3334" width="20.5546875" style="310" bestFit="1" customWidth="1"/>
    <col min="3335" max="3335" width="17.109375" style="310" customWidth="1"/>
    <col min="3336" max="3336" width="21.88671875" style="310" bestFit="1" customWidth="1"/>
    <col min="3337" max="3337" width="17.109375" style="310" bestFit="1" customWidth="1"/>
    <col min="3338" max="3338" width="18.109375" style="310" bestFit="1" customWidth="1"/>
    <col min="3339" max="3339" width="26.44140625" style="310" customWidth="1"/>
    <col min="3340" max="3584" width="9.109375" style="310"/>
    <col min="3585" max="3585" width="8.6640625" style="310" bestFit="1" customWidth="1"/>
    <col min="3586" max="3586" width="13.33203125" style="310" customWidth="1"/>
    <col min="3587" max="3587" width="16.109375" style="310" bestFit="1" customWidth="1"/>
    <col min="3588" max="3588" width="23.5546875" style="310" customWidth="1"/>
    <col min="3589" max="3589" width="17.33203125" style="310" customWidth="1"/>
    <col min="3590" max="3590" width="20.5546875" style="310" bestFit="1" customWidth="1"/>
    <col min="3591" max="3591" width="17.109375" style="310" customWidth="1"/>
    <col min="3592" max="3592" width="21.88671875" style="310" bestFit="1" customWidth="1"/>
    <col min="3593" max="3593" width="17.109375" style="310" bestFit="1" customWidth="1"/>
    <col min="3594" max="3594" width="18.109375" style="310" bestFit="1" customWidth="1"/>
    <col min="3595" max="3595" width="26.44140625" style="310" customWidth="1"/>
    <col min="3596" max="3840" width="9.109375" style="310"/>
    <col min="3841" max="3841" width="8.6640625" style="310" bestFit="1" customWidth="1"/>
    <col min="3842" max="3842" width="13.33203125" style="310" customWidth="1"/>
    <col min="3843" max="3843" width="16.109375" style="310" bestFit="1" customWidth="1"/>
    <col min="3844" max="3844" width="23.5546875" style="310" customWidth="1"/>
    <col min="3845" max="3845" width="17.33203125" style="310" customWidth="1"/>
    <col min="3846" max="3846" width="20.5546875" style="310" bestFit="1" customWidth="1"/>
    <col min="3847" max="3847" width="17.109375" style="310" customWidth="1"/>
    <col min="3848" max="3848" width="21.88671875" style="310" bestFit="1" customWidth="1"/>
    <col min="3849" max="3849" width="17.109375" style="310" bestFit="1" customWidth="1"/>
    <col min="3850" max="3850" width="18.109375" style="310" bestFit="1" customWidth="1"/>
    <col min="3851" max="3851" width="26.44140625" style="310" customWidth="1"/>
    <col min="3852" max="4096" width="9.109375" style="310"/>
    <col min="4097" max="4097" width="8.6640625" style="310" bestFit="1" customWidth="1"/>
    <col min="4098" max="4098" width="13.33203125" style="310" customWidth="1"/>
    <col min="4099" max="4099" width="16.109375" style="310" bestFit="1" customWidth="1"/>
    <col min="4100" max="4100" width="23.5546875" style="310" customWidth="1"/>
    <col min="4101" max="4101" width="17.33203125" style="310" customWidth="1"/>
    <col min="4102" max="4102" width="20.5546875" style="310" bestFit="1" customWidth="1"/>
    <col min="4103" max="4103" width="17.109375" style="310" customWidth="1"/>
    <col min="4104" max="4104" width="21.88671875" style="310" bestFit="1" customWidth="1"/>
    <col min="4105" max="4105" width="17.109375" style="310" bestFit="1" customWidth="1"/>
    <col min="4106" max="4106" width="18.109375" style="310" bestFit="1" customWidth="1"/>
    <col min="4107" max="4107" width="26.44140625" style="310" customWidth="1"/>
    <col min="4108" max="4352" width="9.109375" style="310"/>
    <col min="4353" max="4353" width="8.6640625" style="310" bestFit="1" customWidth="1"/>
    <col min="4354" max="4354" width="13.33203125" style="310" customWidth="1"/>
    <col min="4355" max="4355" width="16.109375" style="310" bestFit="1" customWidth="1"/>
    <col min="4356" max="4356" width="23.5546875" style="310" customWidth="1"/>
    <col min="4357" max="4357" width="17.33203125" style="310" customWidth="1"/>
    <col min="4358" max="4358" width="20.5546875" style="310" bestFit="1" customWidth="1"/>
    <col min="4359" max="4359" width="17.109375" style="310" customWidth="1"/>
    <col min="4360" max="4360" width="21.88671875" style="310" bestFit="1" customWidth="1"/>
    <col min="4361" max="4361" width="17.109375" style="310" bestFit="1" customWidth="1"/>
    <col min="4362" max="4362" width="18.109375" style="310" bestFit="1" customWidth="1"/>
    <col min="4363" max="4363" width="26.44140625" style="310" customWidth="1"/>
    <col min="4364" max="4608" width="9.109375" style="310"/>
    <col min="4609" max="4609" width="8.6640625" style="310" bestFit="1" customWidth="1"/>
    <col min="4610" max="4610" width="13.33203125" style="310" customWidth="1"/>
    <col min="4611" max="4611" width="16.109375" style="310" bestFit="1" customWidth="1"/>
    <col min="4612" max="4612" width="23.5546875" style="310" customWidth="1"/>
    <col min="4613" max="4613" width="17.33203125" style="310" customWidth="1"/>
    <col min="4614" max="4614" width="20.5546875" style="310" bestFit="1" customWidth="1"/>
    <col min="4615" max="4615" width="17.109375" style="310" customWidth="1"/>
    <col min="4616" max="4616" width="21.88671875" style="310" bestFit="1" customWidth="1"/>
    <col min="4617" max="4617" width="17.109375" style="310" bestFit="1" customWidth="1"/>
    <col min="4618" max="4618" width="18.109375" style="310" bestFit="1" customWidth="1"/>
    <col min="4619" max="4619" width="26.44140625" style="310" customWidth="1"/>
    <col min="4620" max="4864" width="9.109375" style="310"/>
    <col min="4865" max="4865" width="8.6640625" style="310" bestFit="1" customWidth="1"/>
    <col min="4866" max="4866" width="13.33203125" style="310" customWidth="1"/>
    <col min="4867" max="4867" width="16.109375" style="310" bestFit="1" customWidth="1"/>
    <col min="4868" max="4868" width="23.5546875" style="310" customWidth="1"/>
    <col min="4869" max="4869" width="17.33203125" style="310" customWidth="1"/>
    <col min="4870" max="4870" width="20.5546875" style="310" bestFit="1" customWidth="1"/>
    <col min="4871" max="4871" width="17.109375" style="310" customWidth="1"/>
    <col min="4872" max="4872" width="21.88671875" style="310" bestFit="1" customWidth="1"/>
    <col min="4873" max="4873" width="17.109375" style="310" bestFit="1" customWidth="1"/>
    <col min="4874" max="4874" width="18.109375" style="310" bestFit="1" customWidth="1"/>
    <col min="4875" max="4875" width="26.44140625" style="310" customWidth="1"/>
    <col min="4876" max="5120" width="9.109375" style="310"/>
    <col min="5121" max="5121" width="8.6640625" style="310" bestFit="1" customWidth="1"/>
    <col min="5122" max="5122" width="13.33203125" style="310" customWidth="1"/>
    <col min="5123" max="5123" width="16.109375" style="310" bestFit="1" customWidth="1"/>
    <col min="5124" max="5124" width="23.5546875" style="310" customWidth="1"/>
    <col min="5125" max="5125" width="17.33203125" style="310" customWidth="1"/>
    <col min="5126" max="5126" width="20.5546875" style="310" bestFit="1" customWidth="1"/>
    <col min="5127" max="5127" width="17.109375" style="310" customWidth="1"/>
    <col min="5128" max="5128" width="21.88671875" style="310" bestFit="1" customWidth="1"/>
    <col min="5129" max="5129" width="17.109375" style="310" bestFit="1" customWidth="1"/>
    <col min="5130" max="5130" width="18.109375" style="310" bestFit="1" customWidth="1"/>
    <col min="5131" max="5131" width="26.44140625" style="310" customWidth="1"/>
    <col min="5132" max="5376" width="9.109375" style="310"/>
    <col min="5377" max="5377" width="8.6640625" style="310" bestFit="1" customWidth="1"/>
    <col min="5378" max="5378" width="13.33203125" style="310" customWidth="1"/>
    <col min="5379" max="5379" width="16.109375" style="310" bestFit="1" customWidth="1"/>
    <col min="5380" max="5380" width="23.5546875" style="310" customWidth="1"/>
    <col min="5381" max="5381" width="17.33203125" style="310" customWidth="1"/>
    <col min="5382" max="5382" width="20.5546875" style="310" bestFit="1" customWidth="1"/>
    <col min="5383" max="5383" width="17.109375" style="310" customWidth="1"/>
    <col min="5384" max="5384" width="21.88671875" style="310" bestFit="1" customWidth="1"/>
    <col min="5385" max="5385" width="17.109375" style="310" bestFit="1" customWidth="1"/>
    <col min="5386" max="5386" width="18.109375" style="310" bestFit="1" customWidth="1"/>
    <col min="5387" max="5387" width="26.44140625" style="310" customWidth="1"/>
    <col min="5388" max="5632" width="9.109375" style="310"/>
    <col min="5633" max="5633" width="8.6640625" style="310" bestFit="1" customWidth="1"/>
    <col min="5634" max="5634" width="13.33203125" style="310" customWidth="1"/>
    <col min="5635" max="5635" width="16.109375" style="310" bestFit="1" customWidth="1"/>
    <col min="5636" max="5636" width="23.5546875" style="310" customWidth="1"/>
    <col min="5637" max="5637" width="17.33203125" style="310" customWidth="1"/>
    <col min="5638" max="5638" width="20.5546875" style="310" bestFit="1" customWidth="1"/>
    <col min="5639" max="5639" width="17.109375" style="310" customWidth="1"/>
    <col min="5640" max="5640" width="21.88671875" style="310" bestFit="1" customWidth="1"/>
    <col min="5641" max="5641" width="17.109375" style="310" bestFit="1" customWidth="1"/>
    <col min="5642" max="5642" width="18.109375" style="310" bestFit="1" customWidth="1"/>
    <col min="5643" max="5643" width="26.44140625" style="310" customWidth="1"/>
    <col min="5644" max="5888" width="9.109375" style="310"/>
    <col min="5889" max="5889" width="8.6640625" style="310" bestFit="1" customWidth="1"/>
    <col min="5890" max="5890" width="13.33203125" style="310" customWidth="1"/>
    <col min="5891" max="5891" width="16.109375" style="310" bestFit="1" customWidth="1"/>
    <col min="5892" max="5892" width="23.5546875" style="310" customWidth="1"/>
    <col min="5893" max="5893" width="17.33203125" style="310" customWidth="1"/>
    <col min="5894" max="5894" width="20.5546875" style="310" bestFit="1" customWidth="1"/>
    <col min="5895" max="5895" width="17.109375" style="310" customWidth="1"/>
    <col min="5896" max="5896" width="21.88671875" style="310" bestFit="1" customWidth="1"/>
    <col min="5897" max="5897" width="17.109375" style="310" bestFit="1" customWidth="1"/>
    <col min="5898" max="5898" width="18.109375" style="310" bestFit="1" customWidth="1"/>
    <col min="5899" max="5899" width="26.44140625" style="310" customWidth="1"/>
    <col min="5900" max="6144" width="9.109375" style="310"/>
    <col min="6145" max="6145" width="8.6640625" style="310" bestFit="1" customWidth="1"/>
    <col min="6146" max="6146" width="13.33203125" style="310" customWidth="1"/>
    <col min="6147" max="6147" width="16.109375" style="310" bestFit="1" customWidth="1"/>
    <col min="6148" max="6148" width="23.5546875" style="310" customWidth="1"/>
    <col min="6149" max="6149" width="17.33203125" style="310" customWidth="1"/>
    <col min="6150" max="6150" width="20.5546875" style="310" bestFit="1" customWidth="1"/>
    <col min="6151" max="6151" width="17.109375" style="310" customWidth="1"/>
    <col min="6152" max="6152" width="21.88671875" style="310" bestFit="1" customWidth="1"/>
    <col min="6153" max="6153" width="17.109375" style="310" bestFit="1" customWidth="1"/>
    <col min="6154" max="6154" width="18.109375" style="310" bestFit="1" customWidth="1"/>
    <col min="6155" max="6155" width="26.44140625" style="310" customWidth="1"/>
    <col min="6156" max="6400" width="9.109375" style="310"/>
    <col min="6401" max="6401" width="8.6640625" style="310" bestFit="1" customWidth="1"/>
    <col min="6402" max="6402" width="13.33203125" style="310" customWidth="1"/>
    <col min="6403" max="6403" width="16.109375" style="310" bestFit="1" customWidth="1"/>
    <col min="6404" max="6404" width="23.5546875" style="310" customWidth="1"/>
    <col min="6405" max="6405" width="17.33203125" style="310" customWidth="1"/>
    <col min="6406" max="6406" width="20.5546875" style="310" bestFit="1" customWidth="1"/>
    <col min="6407" max="6407" width="17.109375" style="310" customWidth="1"/>
    <col min="6408" max="6408" width="21.88671875" style="310" bestFit="1" customWidth="1"/>
    <col min="6409" max="6409" width="17.109375" style="310" bestFit="1" customWidth="1"/>
    <col min="6410" max="6410" width="18.109375" style="310" bestFit="1" customWidth="1"/>
    <col min="6411" max="6411" width="26.44140625" style="310" customWidth="1"/>
    <col min="6412" max="6656" width="9.109375" style="310"/>
    <col min="6657" max="6657" width="8.6640625" style="310" bestFit="1" customWidth="1"/>
    <col min="6658" max="6658" width="13.33203125" style="310" customWidth="1"/>
    <col min="6659" max="6659" width="16.109375" style="310" bestFit="1" customWidth="1"/>
    <col min="6660" max="6660" width="23.5546875" style="310" customWidth="1"/>
    <col min="6661" max="6661" width="17.33203125" style="310" customWidth="1"/>
    <col min="6662" max="6662" width="20.5546875" style="310" bestFit="1" customWidth="1"/>
    <col min="6663" max="6663" width="17.109375" style="310" customWidth="1"/>
    <col min="6664" max="6664" width="21.88671875" style="310" bestFit="1" customWidth="1"/>
    <col min="6665" max="6665" width="17.109375" style="310" bestFit="1" customWidth="1"/>
    <col min="6666" max="6666" width="18.109375" style="310" bestFit="1" customWidth="1"/>
    <col min="6667" max="6667" width="26.44140625" style="310" customWidth="1"/>
    <col min="6668" max="6912" width="9.109375" style="310"/>
    <col min="6913" max="6913" width="8.6640625" style="310" bestFit="1" customWidth="1"/>
    <col min="6914" max="6914" width="13.33203125" style="310" customWidth="1"/>
    <col min="6915" max="6915" width="16.109375" style="310" bestFit="1" customWidth="1"/>
    <col min="6916" max="6916" width="23.5546875" style="310" customWidth="1"/>
    <col min="6917" max="6917" width="17.33203125" style="310" customWidth="1"/>
    <col min="6918" max="6918" width="20.5546875" style="310" bestFit="1" customWidth="1"/>
    <col min="6919" max="6919" width="17.109375" style="310" customWidth="1"/>
    <col min="6920" max="6920" width="21.88671875" style="310" bestFit="1" customWidth="1"/>
    <col min="6921" max="6921" width="17.109375" style="310" bestFit="1" customWidth="1"/>
    <col min="6922" max="6922" width="18.109375" style="310" bestFit="1" customWidth="1"/>
    <col min="6923" max="6923" width="26.44140625" style="310" customWidth="1"/>
    <col min="6924" max="7168" width="9.109375" style="310"/>
    <col min="7169" max="7169" width="8.6640625" style="310" bestFit="1" customWidth="1"/>
    <col min="7170" max="7170" width="13.33203125" style="310" customWidth="1"/>
    <col min="7171" max="7171" width="16.109375" style="310" bestFit="1" customWidth="1"/>
    <col min="7172" max="7172" width="23.5546875" style="310" customWidth="1"/>
    <col min="7173" max="7173" width="17.33203125" style="310" customWidth="1"/>
    <col min="7174" max="7174" width="20.5546875" style="310" bestFit="1" customWidth="1"/>
    <col min="7175" max="7175" width="17.109375" style="310" customWidth="1"/>
    <col min="7176" max="7176" width="21.88671875" style="310" bestFit="1" customWidth="1"/>
    <col min="7177" max="7177" width="17.109375" style="310" bestFit="1" customWidth="1"/>
    <col min="7178" max="7178" width="18.109375" style="310" bestFit="1" customWidth="1"/>
    <col min="7179" max="7179" width="26.44140625" style="310" customWidth="1"/>
    <col min="7180" max="7424" width="9.109375" style="310"/>
    <col min="7425" max="7425" width="8.6640625" style="310" bestFit="1" customWidth="1"/>
    <col min="7426" max="7426" width="13.33203125" style="310" customWidth="1"/>
    <col min="7427" max="7427" width="16.109375" style="310" bestFit="1" customWidth="1"/>
    <col min="7428" max="7428" width="23.5546875" style="310" customWidth="1"/>
    <col min="7429" max="7429" width="17.33203125" style="310" customWidth="1"/>
    <col min="7430" max="7430" width="20.5546875" style="310" bestFit="1" customWidth="1"/>
    <col min="7431" max="7431" width="17.109375" style="310" customWidth="1"/>
    <col min="7432" max="7432" width="21.88671875" style="310" bestFit="1" customWidth="1"/>
    <col min="7433" max="7433" width="17.109375" style="310" bestFit="1" customWidth="1"/>
    <col min="7434" max="7434" width="18.109375" style="310" bestFit="1" customWidth="1"/>
    <col min="7435" max="7435" width="26.44140625" style="310" customWidth="1"/>
    <col min="7436" max="7680" width="9.109375" style="310"/>
    <col min="7681" max="7681" width="8.6640625" style="310" bestFit="1" customWidth="1"/>
    <col min="7682" max="7682" width="13.33203125" style="310" customWidth="1"/>
    <col min="7683" max="7683" width="16.109375" style="310" bestFit="1" customWidth="1"/>
    <col min="7684" max="7684" width="23.5546875" style="310" customWidth="1"/>
    <col min="7685" max="7685" width="17.33203125" style="310" customWidth="1"/>
    <col min="7686" max="7686" width="20.5546875" style="310" bestFit="1" customWidth="1"/>
    <col min="7687" max="7687" width="17.109375" style="310" customWidth="1"/>
    <col min="7688" max="7688" width="21.88671875" style="310" bestFit="1" customWidth="1"/>
    <col min="7689" max="7689" width="17.109375" style="310" bestFit="1" customWidth="1"/>
    <col min="7690" max="7690" width="18.109375" style="310" bestFit="1" customWidth="1"/>
    <col min="7691" max="7691" width="26.44140625" style="310" customWidth="1"/>
    <col min="7692" max="7936" width="9.109375" style="310"/>
    <col min="7937" max="7937" width="8.6640625" style="310" bestFit="1" customWidth="1"/>
    <col min="7938" max="7938" width="13.33203125" style="310" customWidth="1"/>
    <col min="7939" max="7939" width="16.109375" style="310" bestFit="1" customWidth="1"/>
    <col min="7940" max="7940" width="23.5546875" style="310" customWidth="1"/>
    <col min="7941" max="7941" width="17.33203125" style="310" customWidth="1"/>
    <col min="7942" max="7942" width="20.5546875" style="310" bestFit="1" customWidth="1"/>
    <col min="7943" max="7943" width="17.109375" style="310" customWidth="1"/>
    <col min="7944" max="7944" width="21.88671875" style="310" bestFit="1" customWidth="1"/>
    <col min="7945" max="7945" width="17.109375" style="310" bestFit="1" customWidth="1"/>
    <col min="7946" max="7946" width="18.109375" style="310" bestFit="1" customWidth="1"/>
    <col min="7947" max="7947" width="26.44140625" style="310" customWidth="1"/>
    <col min="7948" max="8192" width="9.109375" style="310"/>
    <col min="8193" max="8193" width="8.6640625" style="310" bestFit="1" customWidth="1"/>
    <col min="8194" max="8194" width="13.33203125" style="310" customWidth="1"/>
    <col min="8195" max="8195" width="16.109375" style="310" bestFit="1" customWidth="1"/>
    <col min="8196" max="8196" width="23.5546875" style="310" customWidth="1"/>
    <col min="8197" max="8197" width="17.33203125" style="310" customWidth="1"/>
    <col min="8198" max="8198" width="20.5546875" style="310" bestFit="1" customWidth="1"/>
    <col min="8199" max="8199" width="17.109375" style="310" customWidth="1"/>
    <col min="8200" max="8200" width="21.88671875" style="310" bestFit="1" customWidth="1"/>
    <col min="8201" max="8201" width="17.109375" style="310" bestFit="1" customWidth="1"/>
    <col min="8202" max="8202" width="18.109375" style="310" bestFit="1" customWidth="1"/>
    <col min="8203" max="8203" width="26.44140625" style="310" customWidth="1"/>
    <col min="8204" max="8448" width="9.109375" style="310"/>
    <col min="8449" max="8449" width="8.6640625" style="310" bestFit="1" customWidth="1"/>
    <col min="8450" max="8450" width="13.33203125" style="310" customWidth="1"/>
    <col min="8451" max="8451" width="16.109375" style="310" bestFit="1" customWidth="1"/>
    <col min="8452" max="8452" width="23.5546875" style="310" customWidth="1"/>
    <col min="8453" max="8453" width="17.33203125" style="310" customWidth="1"/>
    <col min="8454" max="8454" width="20.5546875" style="310" bestFit="1" customWidth="1"/>
    <col min="8455" max="8455" width="17.109375" style="310" customWidth="1"/>
    <col min="8456" max="8456" width="21.88671875" style="310" bestFit="1" customWidth="1"/>
    <col min="8457" max="8457" width="17.109375" style="310" bestFit="1" customWidth="1"/>
    <col min="8458" max="8458" width="18.109375" style="310" bestFit="1" customWidth="1"/>
    <col min="8459" max="8459" width="26.44140625" style="310" customWidth="1"/>
    <col min="8460" max="8704" width="9.109375" style="310"/>
    <col min="8705" max="8705" width="8.6640625" style="310" bestFit="1" customWidth="1"/>
    <col min="8706" max="8706" width="13.33203125" style="310" customWidth="1"/>
    <col min="8707" max="8707" width="16.109375" style="310" bestFit="1" customWidth="1"/>
    <col min="8708" max="8708" width="23.5546875" style="310" customWidth="1"/>
    <col min="8709" max="8709" width="17.33203125" style="310" customWidth="1"/>
    <col min="8710" max="8710" width="20.5546875" style="310" bestFit="1" customWidth="1"/>
    <col min="8711" max="8711" width="17.109375" style="310" customWidth="1"/>
    <col min="8712" max="8712" width="21.88671875" style="310" bestFit="1" customWidth="1"/>
    <col min="8713" max="8713" width="17.109375" style="310" bestFit="1" customWidth="1"/>
    <col min="8714" max="8714" width="18.109375" style="310" bestFit="1" customWidth="1"/>
    <col min="8715" max="8715" width="26.44140625" style="310" customWidth="1"/>
    <col min="8716" max="8960" width="9.109375" style="310"/>
    <col min="8961" max="8961" width="8.6640625" style="310" bestFit="1" customWidth="1"/>
    <col min="8962" max="8962" width="13.33203125" style="310" customWidth="1"/>
    <col min="8963" max="8963" width="16.109375" style="310" bestFit="1" customWidth="1"/>
    <col min="8964" max="8964" width="23.5546875" style="310" customWidth="1"/>
    <col min="8965" max="8965" width="17.33203125" style="310" customWidth="1"/>
    <col min="8966" max="8966" width="20.5546875" style="310" bestFit="1" customWidth="1"/>
    <col min="8967" max="8967" width="17.109375" style="310" customWidth="1"/>
    <col min="8968" max="8968" width="21.88671875" style="310" bestFit="1" customWidth="1"/>
    <col min="8969" max="8969" width="17.109375" style="310" bestFit="1" customWidth="1"/>
    <col min="8970" max="8970" width="18.109375" style="310" bestFit="1" customWidth="1"/>
    <col min="8971" max="8971" width="26.44140625" style="310" customWidth="1"/>
    <col min="8972" max="9216" width="9.109375" style="310"/>
    <col min="9217" max="9217" width="8.6640625" style="310" bestFit="1" customWidth="1"/>
    <col min="9218" max="9218" width="13.33203125" style="310" customWidth="1"/>
    <col min="9219" max="9219" width="16.109375" style="310" bestFit="1" customWidth="1"/>
    <col min="9220" max="9220" width="23.5546875" style="310" customWidth="1"/>
    <col min="9221" max="9221" width="17.33203125" style="310" customWidth="1"/>
    <col min="9222" max="9222" width="20.5546875" style="310" bestFit="1" customWidth="1"/>
    <col min="9223" max="9223" width="17.109375" style="310" customWidth="1"/>
    <col min="9224" max="9224" width="21.88671875" style="310" bestFit="1" customWidth="1"/>
    <col min="9225" max="9225" width="17.109375" style="310" bestFit="1" customWidth="1"/>
    <col min="9226" max="9226" width="18.109375" style="310" bestFit="1" customWidth="1"/>
    <col min="9227" max="9227" width="26.44140625" style="310" customWidth="1"/>
    <col min="9228" max="9472" width="9.109375" style="310"/>
    <col min="9473" max="9473" width="8.6640625" style="310" bestFit="1" customWidth="1"/>
    <col min="9474" max="9474" width="13.33203125" style="310" customWidth="1"/>
    <col min="9475" max="9475" width="16.109375" style="310" bestFit="1" customWidth="1"/>
    <col min="9476" max="9476" width="23.5546875" style="310" customWidth="1"/>
    <col min="9477" max="9477" width="17.33203125" style="310" customWidth="1"/>
    <col min="9478" max="9478" width="20.5546875" style="310" bestFit="1" customWidth="1"/>
    <col min="9479" max="9479" width="17.109375" style="310" customWidth="1"/>
    <col min="9480" max="9480" width="21.88671875" style="310" bestFit="1" customWidth="1"/>
    <col min="9481" max="9481" width="17.109375" style="310" bestFit="1" customWidth="1"/>
    <col min="9482" max="9482" width="18.109375" style="310" bestFit="1" customWidth="1"/>
    <col min="9483" max="9483" width="26.44140625" style="310" customWidth="1"/>
    <col min="9484" max="9728" width="9.109375" style="310"/>
    <col min="9729" max="9729" width="8.6640625" style="310" bestFit="1" customWidth="1"/>
    <col min="9730" max="9730" width="13.33203125" style="310" customWidth="1"/>
    <col min="9731" max="9731" width="16.109375" style="310" bestFit="1" customWidth="1"/>
    <col min="9732" max="9732" width="23.5546875" style="310" customWidth="1"/>
    <col min="9733" max="9733" width="17.33203125" style="310" customWidth="1"/>
    <col min="9734" max="9734" width="20.5546875" style="310" bestFit="1" customWidth="1"/>
    <col min="9735" max="9735" width="17.109375" style="310" customWidth="1"/>
    <col min="9736" max="9736" width="21.88671875" style="310" bestFit="1" customWidth="1"/>
    <col min="9737" max="9737" width="17.109375" style="310" bestFit="1" customWidth="1"/>
    <col min="9738" max="9738" width="18.109375" style="310" bestFit="1" customWidth="1"/>
    <col min="9739" max="9739" width="26.44140625" style="310" customWidth="1"/>
    <col min="9740" max="9984" width="9.109375" style="310"/>
    <col min="9985" max="9985" width="8.6640625" style="310" bestFit="1" customWidth="1"/>
    <col min="9986" max="9986" width="13.33203125" style="310" customWidth="1"/>
    <col min="9987" max="9987" width="16.109375" style="310" bestFit="1" customWidth="1"/>
    <col min="9988" max="9988" width="23.5546875" style="310" customWidth="1"/>
    <col min="9989" max="9989" width="17.33203125" style="310" customWidth="1"/>
    <col min="9990" max="9990" width="20.5546875" style="310" bestFit="1" customWidth="1"/>
    <col min="9991" max="9991" width="17.109375" style="310" customWidth="1"/>
    <col min="9992" max="9992" width="21.88671875" style="310" bestFit="1" customWidth="1"/>
    <col min="9993" max="9993" width="17.109375" style="310" bestFit="1" customWidth="1"/>
    <col min="9994" max="9994" width="18.109375" style="310" bestFit="1" customWidth="1"/>
    <col min="9995" max="9995" width="26.44140625" style="310" customWidth="1"/>
    <col min="9996" max="10240" width="9.109375" style="310"/>
    <col min="10241" max="10241" width="8.6640625" style="310" bestFit="1" customWidth="1"/>
    <col min="10242" max="10242" width="13.33203125" style="310" customWidth="1"/>
    <col min="10243" max="10243" width="16.109375" style="310" bestFit="1" customWidth="1"/>
    <col min="10244" max="10244" width="23.5546875" style="310" customWidth="1"/>
    <col min="10245" max="10245" width="17.33203125" style="310" customWidth="1"/>
    <col min="10246" max="10246" width="20.5546875" style="310" bestFit="1" customWidth="1"/>
    <col min="10247" max="10247" width="17.109375" style="310" customWidth="1"/>
    <col min="10248" max="10248" width="21.88671875" style="310" bestFit="1" customWidth="1"/>
    <col min="10249" max="10249" width="17.109375" style="310" bestFit="1" customWidth="1"/>
    <col min="10250" max="10250" width="18.109375" style="310" bestFit="1" customWidth="1"/>
    <col min="10251" max="10251" width="26.44140625" style="310" customWidth="1"/>
    <col min="10252" max="10496" width="9.109375" style="310"/>
    <col min="10497" max="10497" width="8.6640625" style="310" bestFit="1" customWidth="1"/>
    <col min="10498" max="10498" width="13.33203125" style="310" customWidth="1"/>
    <col min="10499" max="10499" width="16.109375" style="310" bestFit="1" customWidth="1"/>
    <col min="10500" max="10500" width="23.5546875" style="310" customWidth="1"/>
    <col min="10501" max="10501" width="17.33203125" style="310" customWidth="1"/>
    <col min="10502" max="10502" width="20.5546875" style="310" bestFit="1" customWidth="1"/>
    <col min="10503" max="10503" width="17.109375" style="310" customWidth="1"/>
    <col min="10504" max="10504" width="21.88671875" style="310" bestFit="1" customWidth="1"/>
    <col min="10505" max="10505" width="17.109375" style="310" bestFit="1" customWidth="1"/>
    <col min="10506" max="10506" width="18.109375" style="310" bestFit="1" customWidth="1"/>
    <col min="10507" max="10507" width="26.44140625" style="310" customWidth="1"/>
    <col min="10508" max="10752" width="9.109375" style="310"/>
    <col min="10753" max="10753" width="8.6640625" style="310" bestFit="1" customWidth="1"/>
    <col min="10754" max="10754" width="13.33203125" style="310" customWidth="1"/>
    <col min="10755" max="10755" width="16.109375" style="310" bestFit="1" customWidth="1"/>
    <col min="10756" max="10756" width="23.5546875" style="310" customWidth="1"/>
    <col min="10757" max="10757" width="17.33203125" style="310" customWidth="1"/>
    <col min="10758" max="10758" width="20.5546875" style="310" bestFit="1" customWidth="1"/>
    <col min="10759" max="10759" width="17.109375" style="310" customWidth="1"/>
    <col min="10760" max="10760" width="21.88671875" style="310" bestFit="1" customWidth="1"/>
    <col min="10761" max="10761" width="17.109375" style="310" bestFit="1" customWidth="1"/>
    <col min="10762" max="10762" width="18.109375" style="310" bestFit="1" customWidth="1"/>
    <col min="10763" max="10763" width="26.44140625" style="310" customWidth="1"/>
    <col min="10764" max="11008" width="9.109375" style="310"/>
    <col min="11009" max="11009" width="8.6640625" style="310" bestFit="1" customWidth="1"/>
    <col min="11010" max="11010" width="13.33203125" style="310" customWidth="1"/>
    <col min="11011" max="11011" width="16.109375" style="310" bestFit="1" customWidth="1"/>
    <col min="11012" max="11012" width="23.5546875" style="310" customWidth="1"/>
    <col min="11013" max="11013" width="17.33203125" style="310" customWidth="1"/>
    <col min="11014" max="11014" width="20.5546875" style="310" bestFit="1" customWidth="1"/>
    <col min="11015" max="11015" width="17.109375" style="310" customWidth="1"/>
    <col min="11016" max="11016" width="21.88671875" style="310" bestFit="1" customWidth="1"/>
    <col min="11017" max="11017" width="17.109375" style="310" bestFit="1" customWidth="1"/>
    <col min="11018" max="11018" width="18.109375" style="310" bestFit="1" customWidth="1"/>
    <col min="11019" max="11019" width="26.44140625" style="310" customWidth="1"/>
    <col min="11020" max="11264" width="9.109375" style="310"/>
    <col min="11265" max="11265" width="8.6640625" style="310" bestFit="1" customWidth="1"/>
    <col min="11266" max="11266" width="13.33203125" style="310" customWidth="1"/>
    <col min="11267" max="11267" width="16.109375" style="310" bestFit="1" customWidth="1"/>
    <col min="11268" max="11268" width="23.5546875" style="310" customWidth="1"/>
    <col min="11269" max="11269" width="17.33203125" style="310" customWidth="1"/>
    <col min="11270" max="11270" width="20.5546875" style="310" bestFit="1" customWidth="1"/>
    <col min="11271" max="11271" width="17.109375" style="310" customWidth="1"/>
    <col min="11272" max="11272" width="21.88671875" style="310" bestFit="1" customWidth="1"/>
    <col min="11273" max="11273" width="17.109375" style="310" bestFit="1" customWidth="1"/>
    <col min="11274" max="11274" width="18.109375" style="310" bestFit="1" customWidth="1"/>
    <col min="11275" max="11275" width="26.44140625" style="310" customWidth="1"/>
    <col min="11276" max="11520" width="9.109375" style="310"/>
    <col min="11521" max="11521" width="8.6640625" style="310" bestFit="1" customWidth="1"/>
    <col min="11522" max="11522" width="13.33203125" style="310" customWidth="1"/>
    <col min="11523" max="11523" width="16.109375" style="310" bestFit="1" customWidth="1"/>
    <col min="11524" max="11524" width="23.5546875" style="310" customWidth="1"/>
    <col min="11525" max="11525" width="17.33203125" style="310" customWidth="1"/>
    <col min="11526" max="11526" width="20.5546875" style="310" bestFit="1" customWidth="1"/>
    <col min="11527" max="11527" width="17.109375" style="310" customWidth="1"/>
    <col min="11528" max="11528" width="21.88671875" style="310" bestFit="1" customWidth="1"/>
    <col min="11529" max="11529" width="17.109375" style="310" bestFit="1" customWidth="1"/>
    <col min="11530" max="11530" width="18.109375" style="310" bestFit="1" customWidth="1"/>
    <col min="11531" max="11531" width="26.44140625" style="310" customWidth="1"/>
    <col min="11532" max="11776" width="9.109375" style="310"/>
    <col min="11777" max="11777" width="8.6640625" style="310" bestFit="1" customWidth="1"/>
    <col min="11778" max="11778" width="13.33203125" style="310" customWidth="1"/>
    <col min="11779" max="11779" width="16.109375" style="310" bestFit="1" customWidth="1"/>
    <col min="11780" max="11780" width="23.5546875" style="310" customWidth="1"/>
    <col min="11781" max="11781" width="17.33203125" style="310" customWidth="1"/>
    <col min="11782" max="11782" width="20.5546875" style="310" bestFit="1" customWidth="1"/>
    <col min="11783" max="11783" width="17.109375" style="310" customWidth="1"/>
    <col min="11784" max="11784" width="21.88671875" style="310" bestFit="1" customWidth="1"/>
    <col min="11785" max="11785" width="17.109375" style="310" bestFit="1" customWidth="1"/>
    <col min="11786" max="11786" width="18.109375" style="310" bestFit="1" customWidth="1"/>
    <col min="11787" max="11787" width="26.44140625" style="310" customWidth="1"/>
    <col min="11788" max="12032" width="9.109375" style="310"/>
    <col min="12033" max="12033" width="8.6640625" style="310" bestFit="1" customWidth="1"/>
    <col min="12034" max="12034" width="13.33203125" style="310" customWidth="1"/>
    <col min="12035" max="12035" width="16.109375" style="310" bestFit="1" customWidth="1"/>
    <col min="12036" max="12036" width="23.5546875" style="310" customWidth="1"/>
    <col min="12037" max="12037" width="17.33203125" style="310" customWidth="1"/>
    <col min="12038" max="12038" width="20.5546875" style="310" bestFit="1" customWidth="1"/>
    <col min="12039" max="12039" width="17.109375" style="310" customWidth="1"/>
    <col min="12040" max="12040" width="21.88671875" style="310" bestFit="1" customWidth="1"/>
    <col min="12041" max="12041" width="17.109375" style="310" bestFit="1" customWidth="1"/>
    <col min="12042" max="12042" width="18.109375" style="310" bestFit="1" customWidth="1"/>
    <col min="12043" max="12043" width="26.44140625" style="310" customWidth="1"/>
    <col min="12044" max="12288" width="9.109375" style="310"/>
    <col min="12289" max="12289" width="8.6640625" style="310" bestFit="1" customWidth="1"/>
    <col min="12290" max="12290" width="13.33203125" style="310" customWidth="1"/>
    <col min="12291" max="12291" width="16.109375" style="310" bestFit="1" customWidth="1"/>
    <col min="12292" max="12292" width="23.5546875" style="310" customWidth="1"/>
    <col min="12293" max="12293" width="17.33203125" style="310" customWidth="1"/>
    <col min="12294" max="12294" width="20.5546875" style="310" bestFit="1" customWidth="1"/>
    <col min="12295" max="12295" width="17.109375" style="310" customWidth="1"/>
    <col min="12296" max="12296" width="21.88671875" style="310" bestFit="1" customWidth="1"/>
    <col min="12297" max="12297" width="17.109375" style="310" bestFit="1" customWidth="1"/>
    <col min="12298" max="12298" width="18.109375" style="310" bestFit="1" customWidth="1"/>
    <col min="12299" max="12299" width="26.44140625" style="310" customWidth="1"/>
    <col min="12300" max="12544" width="9.109375" style="310"/>
    <col min="12545" max="12545" width="8.6640625" style="310" bestFit="1" customWidth="1"/>
    <col min="12546" max="12546" width="13.33203125" style="310" customWidth="1"/>
    <col min="12547" max="12547" width="16.109375" style="310" bestFit="1" customWidth="1"/>
    <col min="12548" max="12548" width="23.5546875" style="310" customWidth="1"/>
    <col min="12549" max="12549" width="17.33203125" style="310" customWidth="1"/>
    <col min="12550" max="12550" width="20.5546875" style="310" bestFit="1" customWidth="1"/>
    <col min="12551" max="12551" width="17.109375" style="310" customWidth="1"/>
    <col min="12552" max="12552" width="21.88671875" style="310" bestFit="1" customWidth="1"/>
    <col min="12553" max="12553" width="17.109375" style="310" bestFit="1" customWidth="1"/>
    <col min="12554" max="12554" width="18.109375" style="310" bestFit="1" customWidth="1"/>
    <col min="12555" max="12555" width="26.44140625" style="310" customWidth="1"/>
    <col min="12556" max="12800" width="9.109375" style="310"/>
    <col min="12801" max="12801" width="8.6640625" style="310" bestFit="1" customWidth="1"/>
    <col min="12802" max="12802" width="13.33203125" style="310" customWidth="1"/>
    <col min="12803" max="12803" width="16.109375" style="310" bestFit="1" customWidth="1"/>
    <col min="12804" max="12804" width="23.5546875" style="310" customWidth="1"/>
    <col min="12805" max="12805" width="17.33203125" style="310" customWidth="1"/>
    <col min="12806" max="12806" width="20.5546875" style="310" bestFit="1" customWidth="1"/>
    <col min="12807" max="12807" width="17.109375" style="310" customWidth="1"/>
    <col min="12808" max="12808" width="21.88671875" style="310" bestFit="1" customWidth="1"/>
    <col min="12809" max="12809" width="17.109375" style="310" bestFit="1" customWidth="1"/>
    <col min="12810" max="12810" width="18.109375" style="310" bestFit="1" customWidth="1"/>
    <col min="12811" max="12811" width="26.44140625" style="310" customWidth="1"/>
    <col min="12812" max="13056" width="9.109375" style="310"/>
    <col min="13057" max="13057" width="8.6640625" style="310" bestFit="1" customWidth="1"/>
    <col min="13058" max="13058" width="13.33203125" style="310" customWidth="1"/>
    <col min="13059" max="13059" width="16.109375" style="310" bestFit="1" customWidth="1"/>
    <col min="13060" max="13060" width="23.5546875" style="310" customWidth="1"/>
    <col min="13061" max="13061" width="17.33203125" style="310" customWidth="1"/>
    <col min="13062" max="13062" width="20.5546875" style="310" bestFit="1" customWidth="1"/>
    <col min="13063" max="13063" width="17.109375" style="310" customWidth="1"/>
    <col min="13064" max="13064" width="21.88671875" style="310" bestFit="1" customWidth="1"/>
    <col min="13065" max="13065" width="17.109375" style="310" bestFit="1" customWidth="1"/>
    <col min="13066" max="13066" width="18.109375" style="310" bestFit="1" customWidth="1"/>
    <col min="13067" max="13067" width="26.44140625" style="310" customWidth="1"/>
    <col min="13068" max="13312" width="9.109375" style="310"/>
    <col min="13313" max="13313" width="8.6640625" style="310" bestFit="1" customWidth="1"/>
    <col min="13314" max="13314" width="13.33203125" style="310" customWidth="1"/>
    <col min="13315" max="13315" width="16.109375" style="310" bestFit="1" customWidth="1"/>
    <col min="13316" max="13316" width="23.5546875" style="310" customWidth="1"/>
    <col min="13317" max="13317" width="17.33203125" style="310" customWidth="1"/>
    <col min="13318" max="13318" width="20.5546875" style="310" bestFit="1" customWidth="1"/>
    <col min="13319" max="13319" width="17.109375" style="310" customWidth="1"/>
    <col min="13320" max="13320" width="21.88671875" style="310" bestFit="1" customWidth="1"/>
    <col min="13321" max="13321" width="17.109375" style="310" bestFit="1" customWidth="1"/>
    <col min="13322" max="13322" width="18.109375" style="310" bestFit="1" customWidth="1"/>
    <col min="13323" max="13323" width="26.44140625" style="310" customWidth="1"/>
    <col min="13324" max="13568" width="9.109375" style="310"/>
    <col min="13569" max="13569" width="8.6640625" style="310" bestFit="1" customWidth="1"/>
    <col min="13570" max="13570" width="13.33203125" style="310" customWidth="1"/>
    <col min="13571" max="13571" width="16.109375" style="310" bestFit="1" customWidth="1"/>
    <col min="13572" max="13572" width="23.5546875" style="310" customWidth="1"/>
    <col min="13573" max="13573" width="17.33203125" style="310" customWidth="1"/>
    <col min="13574" max="13574" width="20.5546875" style="310" bestFit="1" customWidth="1"/>
    <col min="13575" max="13575" width="17.109375" style="310" customWidth="1"/>
    <col min="13576" max="13576" width="21.88671875" style="310" bestFit="1" customWidth="1"/>
    <col min="13577" max="13577" width="17.109375" style="310" bestFit="1" customWidth="1"/>
    <col min="13578" max="13578" width="18.109375" style="310" bestFit="1" customWidth="1"/>
    <col min="13579" max="13579" width="26.44140625" style="310" customWidth="1"/>
    <col min="13580" max="13824" width="9.109375" style="310"/>
    <col min="13825" max="13825" width="8.6640625" style="310" bestFit="1" customWidth="1"/>
    <col min="13826" max="13826" width="13.33203125" style="310" customWidth="1"/>
    <col min="13827" max="13827" width="16.109375" style="310" bestFit="1" customWidth="1"/>
    <col min="13828" max="13828" width="23.5546875" style="310" customWidth="1"/>
    <col min="13829" max="13829" width="17.33203125" style="310" customWidth="1"/>
    <col min="13830" max="13830" width="20.5546875" style="310" bestFit="1" customWidth="1"/>
    <col min="13831" max="13831" width="17.109375" style="310" customWidth="1"/>
    <col min="13832" max="13832" width="21.88671875" style="310" bestFit="1" customWidth="1"/>
    <col min="13833" max="13833" width="17.109375" style="310" bestFit="1" customWidth="1"/>
    <col min="13834" max="13834" width="18.109375" style="310" bestFit="1" customWidth="1"/>
    <col min="13835" max="13835" width="26.44140625" style="310" customWidth="1"/>
    <col min="13836" max="14080" width="9.109375" style="310"/>
    <col min="14081" max="14081" width="8.6640625" style="310" bestFit="1" customWidth="1"/>
    <col min="14082" max="14082" width="13.33203125" style="310" customWidth="1"/>
    <col min="14083" max="14083" width="16.109375" style="310" bestFit="1" customWidth="1"/>
    <col min="14084" max="14084" width="23.5546875" style="310" customWidth="1"/>
    <col min="14085" max="14085" width="17.33203125" style="310" customWidth="1"/>
    <col min="14086" max="14086" width="20.5546875" style="310" bestFit="1" customWidth="1"/>
    <col min="14087" max="14087" width="17.109375" style="310" customWidth="1"/>
    <col min="14088" max="14088" width="21.88671875" style="310" bestFit="1" customWidth="1"/>
    <col min="14089" max="14089" width="17.109375" style="310" bestFit="1" customWidth="1"/>
    <col min="14090" max="14090" width="18.109375" style="310" bestFit="1" customWidth="1"/>
    <col min="14091" max="14091" width="26.44140625" style="310" customWidth="1"/>
    <col min="14092" max="14336" width="9.109375" style="310"/>
    <col min="14337" max="14337" width="8.6640625" style="310" bestFit="1" customWidth="1"/>
    <col min="14338" max="14338" width="13.33203125" style="310" customWidth="1"/>
    <col min="14339" max="14339" width="16.109375" style="310" bestFit="1" customWidth="1"/>
    <col min="14340" max="14340" width="23.5546875" style="310" customWidth="1"/>
    <col min="14341" max="14341" width="17.33203125" style="310" customWidth="1"/>
    <col min="14342" max="14342" width="20.5546875" style="310" bestFit="1" customWidth="1"/>
    <col min="14343" max="14343" width="17.109375" style="310" customWidth="1"/>
    <col min="14344" max="14344" width="21.88671875" style="310" bestFit="1" customWidth="1"/>
    <col min="14345" max="14345" width="17.109375" style="310" bestFit="1" customWidth="1"/>
    <col min="14346" max="14346" width="18.109375" style="310" bestFit="1" customWidth="1"/>
    <col min="14347" max="14347" width="26.44140625" style="310" customWidth="1"/>
    <col min="14348" max="14592" width="9.109375" style="310"/>
    <col min="14593" max="14593" width="8.6640625" style="310" bestFit="1" customWidth="1"/>
    <col min="14594" max="14594" width="13.33203125" style="310" customWidth="1"/>
    <col min="14595" max="14595" width="16.109375" style="310" bestFit="1" customWidth="1"/>
    <col min="14596" max="14596" width="23.5546875" style="310" customWidth="1"/>
    <col min="14597" max="14597" width="17.33203125" style="310" customWidth="1"/>
    <col min="14598" max="14598" width="20.5546875" style="310" bestFit="1" customWidth="1"/>
    <col min="14599" max="14599" width="17.109375" style="310" customWidth="1"/>
    <col min="14600" max="14600" width="21.88671875" style="310" bestFit="1" customWidth="1"/>
    <col min="14601" max="14601" width="17.109375" style="310" bestFit="1" customWidth="1"/>
    <col min="14602" max="14602" width="18.109375" style="310" bestFit="1" customWidth="1"/>
    <col min="14603" max="14603" width="26.44140625" style="310" customWidth="1"/>
    <col min="14604" max="14848" width="9.109375" style="310"/>
    <col min="14849" max="14849" width="8.6640625" style="310" bestFit="1" customWidth="1"/>
    <col min="14850" max="14850" width="13.33203125" style="310" customWidth="1"/>
    <col min="14851" max="14851" width="16.109375" style="310" bestFit="1" customWidth="1"/>
    <col min="14852" max="14852" width="23.5546875" style="310" customWidth="1"/>
    <col min="14853" max="14853" width="17.33203125" style="310" customWidth="1"/>
    <col min="14854" max="14854" width="20.5546875" style="310" bestFit="1" customWidth="1"/>
    <col min="14855" max="14855" width="17.109375" style="310" customWidth="1"/>
    <col min="14856" max="14856" width="21.88671875" style="310" bestFit="1" customWidth="1"/>
    <col min="14857" max="14857" width="17.109375" style="310" bestFit="1" customWidth="1"/>
    <col min="14858" max="14858" width="18.109375" style="310" bestFit="1" customWidth="1"/>
    <col min="14859" max="14859" width="26.44140625" style="310" customWidth="1"/>
    <col min="14860" max="15104" width="9.109375" style="310"/>
    <col min="15105" max="15105" width="8.6640625" style="310" bestFit="1" customWidth="1"/>
    <col min="15106" max="15106" width="13.33203125" style="310" customWidth="1"/>
    <col min="15107" max="15107" width="16.109375" style="310" bestFit="1" customWidth="1"/>
    <col min="15108" max="15108" width="23.5546875" style="310" customWidth="1"/>
    <col min="15109" max="15109" width="17.33203125" style="310" customWidth="1"/>
    <col min="15110" max="15110" width="20.5546875" style="310" bestFit="1" customWidth="1"/>
    <col min="15111" max="15111" width="17.109375" style="310" customWidth="1"/>
    <col min="15112" max="15112" width="21.88671875" style="310" bestFit="1" customWidth="1"/>
    <col min="15113" max="15113" width="17.109375" style="310" bestFit="1" customWidth="1"/>
    <col min="15114" max="15114" width="18.109375" style="310" bestFit="1" customWidth="1"/>
    <col min="15115" max="15115" width="26.44140625" style="310" customWidth="1"/>
    <col min="15116" max="15360" width="9.109375" style="310"/>
    <col min="15361" max="15361" width="8.6640625" style="310" bestFit="1" customWidth="1"/>
    <col min="15362" max="15362" width="13.33203125" style="310" customWidth="1"/>
    <col min="15363" max="15363" width="16.109375" style="310" bestFit="1" customWidth="1"/>
    <col min="15364" max="15364" width="23.5546875" style="310" customWidth="1"/>
    <col min="15365" max="15365" width="17.33203125" style="310" customWidth="1"/>
    <col min="15366" max="15366" width="20.5546875" style="310" bestFit="1" customWidth="1"/>
    <col min="15367" max="15367" width="17.109375" style="310" customWidth="1"/>
    <col min="15368" max="15368" width="21.88671875" style="310" bestFit="1" customWidth="1"/>
    <col min="15369" max="15369" width="17.109375" style="310" bestFit="1" customWidth="1"/>
    <col min="15370" max="15370" width="18.109375" style="310" bestFit="1" customWidth="1"/>
    <col min="15371" max="15371" width="26.44140625" style="310" customWidth="1"/>
    <col min="15372" max="15616" width="9.109375" style="310"/>
    <col min="15617" max="15617" width="8.6640625" style="310" bestFit="1" customWidth="1"/>
    <col min="15618" max="15618" width="13.33203125" style="310" customWidth="1"/>
    <col min="15619" max="15619" width="16.109375" style="310" bestFit="1" customWidth="1"/>
    <col min="15620" max="15620" width="23.5546875" style="310" customWidth="1"/>
    <col min="15621" max="15621" width="17.33203125" style="310" customWidth="1"/>
    <col min="15622" max="15622" width="20.5546875" style="310" bestFit="1" customWidth="1"/>
    <col min="15623" max="15623" width="17.109375" style="310" customWidth="1"/>
    <col min="15624" max="15624" width="21.88671875" style="310" bestFit="1" customWidth="1"/>
    <col min="15625" max="15625" width="17.109375" style="310" bestFit="1" customWidth="1"/>
    <col min="15626" max="15626" width="18.109375" style="310" bestFit="1" customWidth="1"/>
    <col min="15627" max="15627" width="26.44140625" style="310" customWidth="1"/>
    <col min="15628" max="15872" width="9.109375" style="310"/>
    <col min="15873" max="15873" width="8.6640625" style="310" bestFit="1" customWidth="1"/>
    <col min="15874" max="15874" width="13.33203125" style="310" customWidth="1"/>
    <col min="15875" max="15875" width="16.109375" style="310" bestFit="1" customWidth="1"/>
    <col min="15876" max="15876" width="23.5546875" style="310" customWidth="1"/>
    <col min="15877" max="15877" width="17.33203125" style="310" customWidth="1"/>
    <col min="15878" max="15878" width="20.5546875" style="310" bestFit="1" customWidth="1"/>
    <col min="15879" max="15879" width="17.109375" style="310" customWidth="1"/>
    <col min="15880" max="15880" width="21.88671875" style="310" bestFit="1" customWidth="1"/>
    <col min="15881" max="15881" width="17.109375" style="310" bestFit="1" customWidth="1"/>
    <col min="15882" max="15882" width="18.109375" style="310" bestFit="1" customWidth="1"/>
    <col min="15883" max="15883" width="26.44140625" style="310" customWidth="1"/>
    <col min="15884" max="16128" width="9.109375" style="310"/>
    <col min="16129" max="16129" width="8.6640625" style="310" bestFit="1" customWidth="1"/>
    <col min="16130" max="16130" width="13.33203125" style="310" customWidth="1"/>
    <col min="16131" max="16131" width="16.109375" style="310" bestFit="1" customWidth="1"/>
    <col min="16132" max="16132" width="23.5546875" style="310" customWidth="1"/>
    <col min="16133" max="16133" width="17.33203125" style="310" customWidth="1"/>
    <col min="16134" max="16134" width="20.5546875" style="310" bestFit="1" customWidth="1"/>
    <col min="16135" max="16135" width="17.109375" style="310" customWidth="1"/>
    <col min="16136" max="16136" width="21.88671875" style="310" bestFit="1" customWidth="1"/>
    <col min="16137" max="16137" width="17.109375" style="310" bestFit="1" customWidth="1"/>
    <col min="16138" max="16138" width="18.109375" style="310" bestFit="1" customWidth="1"/>
    <col min="16139" max="16139" width="26.44140625" style="310" customWidth="1"/>
    <col min="16140" max="16384" width="9.109375" style="310"/>
  </cols>
  <sheetData>
    <row r="1" spans="13:13" s="346" customFormat="1" x14ac:dyDescent="0.25">
      <c r="M1" s="347"/>
    </row>
    <row r="2" spans="13:13" s="346" customFormat="1" x14ac:dyDescent="0.25">
      <c r="M2" s="347"/>
    </row>
    <row r="3" spans="13:13" s="346" customFormat="1" x14ac:dyDescent="0.25">
      <c r="M3" s="347"/>
    </row>
    <row r="4" spans="13:13" s="346" customFormat="1" x14ac:dyDescent="0.25">
      <c r="M4" s="347"/>
    </row>
    <row r="5" spans="13:13" s="346" customFormat="1" x14ac:dyDescent="0.25">
      <c r="M5" s="347"/>
    </row>
    <row r="6" spans="13:13" s="346" customFormat="1" x14ac:dyDescent="0.25">
      <c r="M6" s="347"/>
    </row>
    <row r="7" spans="13:13" s="346" customFormat="1" x14ac:dyDescent="0.25">
      <c r="M7" s="347"/>
    </row>
    <row r="8" spans="13:13" s="346" customFormat="1" x14ac:dyDescent="0.25">
      <c r="M8" s="347"/>
    </row>
    <row r="9" spans="13:13" s="346" customFormat="1" x14ac:dyDescent="0.25">
      <c r="M9" s="347"/>
    </row>
    <row r="10" spans="13:13" s="346" customFormat="1" x14ac:dyDescent="0.25">
      <c r="M10" s="347"/>
    </row>
    <row r="11" spans="13:13" s="346" customFormat="1" x14ac:dyDescent="0.25">
      <c r="M11" s="347"/>
    </row>
    <row r="12" spans="13:13" s="346" customFormat="1" x14ac:dyDescent="0.25">
      <c r="M12" s="347"/>
    </row>
    <row r="13" spans="13:13" s="346" customFormat="1" x14ac:dyDescent="0.25">
      <c r="M13" s="347"/>
    </row>
    <row r="14" spans="13:13" s="346" customFormat="1" x14ac:dyDescent="0.25">
      <c r="M14" s="347"/>
    </row>
    <row r="15" spans="13:13" s="346" customFormat="1" x14ac:dyDescent="0.25">
      <c r="M15" s="347"/>
    </row>
    <row r="16" spans="13:13" s="346" customFormat="1" x14ac:dyDescent="0.25">
      <c r="M16" s="347"/>
    </row>
    <row r="17" spans="13:13" s="346" customFormat="1" x14ac:dyDescent="0.25">
      <c r="M17" s="347"/>
    </row>
    <row r="18" spans="13:13" s="346" customFormat="1" x14ac:dyDescent="0.25">
      <c r="M18" s="347"/>
    </row>
    <row r="19" spans="13:13" s="346" customFormat="1" x14ac:dyDescent="0.25">
      <c r="M19" s="347"/>
    </row>
    <row r="20" spans="13:13" s="346" customFormat="1" x14ac:dyDescent="0.25">
      <c r="M20" s="347"/>
    </row>
    <row r="21" spans="13:13" s="346" customFormat="1" x14ac:dyDescent="0.25">
      <c r="M21" s="347"/>
    </row>
    <row r="22" spans="13:13" s="346" customFormat="1" x14ac:dyDescent="0.25">
      <c r="M22" s="347"/>
    </row>
    <row r="23" spans="13:13" s="346" customFormat="1" x14ac:dyDescent="0.25">
      <c r="M23" s="347"/>
    </row>
    <row r="24" spans="13:13" s="346" customFormat="1" x14ac:dyDescent="0.25">
      <c r="M24" s="347"/>
    </row>
    <row r="25" spans="13:13" s="346" customFormat="1" x14ac:dyDescent="0.25">
      <c r="M25" s="347"/>
    </row>
    <row r="26" spans="13:13" s="346" customFormat="1" x14ac:dyDescent="0.25">
      <c r="M26" s="347"/>
    </row>
    <row r="27" spans="13:13" s="346" customFormat="1" x14ac:dyDescent="0.25">
      <c r="M27" s="347"/>
    </row>
    <row r="28" spans="13:13" s="346" customFormat="1" x14ac:dyDescent="0.25">
      <c r="M28" s="347"/>
    </row>
    <row r="29" spans="13:13" s="346" customFormat="1" x14ac:dyDescent="0.25">
      <c r="M29" s="347"/>
    </row>
    <row r="30" spans="13:13" s="346" customFormat="1" x14ac:dyDescent="0.25">
      <c r="M30" s="347"/>
    </row>
    <row r="31" spans="13:13" s="346" customFormat="1" x14ac:dyDescent="0.25">
      <c r="M31" s="347"/>
    </row>
    <row r="32" spans="13:13" s="346" customFormat="1" x14ac:dyDescent="0.25">
      <c r="M32" s="347"/>
    </row>
    <row r="33" spans="1:19" s="346" customFormat="1" x14ac:dyDescent="0.25">
      <c r="M33" s="347"/>
    </row>
    <row r="34" spans="1:19" s="346" customFormat="1" ht="15.75" customHeight="1" x14ac:dyDescent="0.25">
      <c r="B34" s="346" t="s">
        <v>699</v>
      </c>
    </row>
    <row r="35" spans="1:19" s="346" customFormat="1" ht="24.75" customHeight="1" x14ac:dyDescent="0.3">
      <c r="A35" s="351" t="str">
        <f>"VIN = "&amp;Vin&amp;" V, VOUT = "&amp; Vout &amp;" V, IOUT = " &amp;Iout &amp; " A,  Fsw = " &amp; Fsw/1000 &amp;" kHz, Current Limit = "&amp;ROUNDUP(DC_Current_Limit_Setpoint,0)&amp;" A"</f>
        <v>VIN = 24 V, VOUT = 5.1 V, IOUT = 6 A,  Fsw = 300 kHz, Current Limit = 7 A</v>
      </c>
      <c r="Q35" s="457"/>
    </row>
    <row r="36" spans="1:19" ht="24.75" customHeight="1" thickBot="1" x14ac:dyDescent="0.3">
      <c r="A36" s="312" t="s">
        <v>709</v>
      </c>
      <c r="Q36" s="458"/>
    </row>
    <row r="37" spans="1:19" ht="18" customHeight="1" x14ac:dyDescent="0.25">
      <c r="A37" s="443" t="s">
        <v>510</v>
      </c>
      <c r="B37" s="444" t="s">
        <v>509</v>
      </c>
      <c r="C37" s="444" t="s">
        <v>8</v>
      </c>
      <c r="D37" s="518" t="s">
        <v>188</v>
      </c>
      <c r="E37" s="519"/>
      <c r="F37" s="519"/>
      <c r="G37" s="520"/>
      <c r="H37" s="444" t="s">
        <v>496</v>
      </c>
      <c r="I37" s="444" t="s">
        <v>303</v>
      </c>
      <c r="J37" s="444" t="s">
        <v>497</v>
      </c>
      <c r="K37" s="432" t="s">
        <v>674</v>
      </c>
      <c r="L37" s="433" t="s">
        <v>675</v>
      </c>
      <c r="M37" s="310"/>
      <c r="P37" s="465"/>
      <c r="Q37" s="472"/>
      <c r="R37" s="465"/>
      <c r="S37" s="465"/>
    </row>
    <row r="38" spans="1:19" s="317" customFormat="1" ht="17.100000000000001" customHeight="1" x14ac:dyDescent="0.25">
      <c r="A38" s="314">
        <v>1</v>
      </c>
      <c r="B38" s="315" t="s">
        <v>608</v>
      </c>
      <c r="C38" s="329">
        <v>0.1</v>
      </c>
      <c r="D38" s="539">
        <f t="shared" ref="D38:D47" si="0">C38</f>
        <v>0.1</v>
      </c>
      <c r="E38" s="540"/>
      <c r="F38" s="540"/>
      <c r="G38" s="330"/>
      <c r="H38" s="331"/>
      <c r="I38" s="316" t="s">
        <v>498</v>
      </c>
      <c r="J38" s="436" t="s">
        <v>498</v>
      </c>
      <c r="K38" s="440" t="str">
        <f>CHOOSE(Q38, 'Variable Management'!N69,'Variable Management'!N70,'Variable Management'!N71)</f>
        <v>1.6 x 0.8</v>
      </c>
      <c r="L38" s="434">
        <f>CHOOSE(Q38, 'Variable Management'!O69,'Variable Management'!O70,'Variable Management'!O71)</f>
        <v>1.3</v>
      </c>
      <c r="P38" s="456"/>
      <c r="Q38" s="459">
        <v>2</v>
      </c>
      <c r="R38" s="456"/>
      <c r="S38" s="456"/>
    </row>
    <row r="39" spans="1:19" s="317" customFormat="1" ht="17.100000000000001" customHeight="1" x14ac:dyDescent="0.25">
      <c r="A39" s="313">
        <v>1</v>
      </c>
      <c r="B39" s="332" t="s">
        <v>502</v>
      </c>
      <c r="C39" s="333">
        <f>'Design Regulator'!D75</f>
        <v>4700</v>
      </c>
      <c r="D39" s="541">
        <f t="shared" si="0"/>
        <v>4700</v>
      </c>
      <c r="E39" s="542"/>
      <c r="F39" s="542"/>
      <c r="G39" s="334"/>
      <c r="H39" s="335"/>
      <c r="I39" s="336" t="s">
        <v>498</v>
      </c>
      <c r="J39" s="437" t="s">
        <v>498</v>
      </c>
      <c r="K39" s="441" t="str">
        <f>CHOOSE(Q39, 'Variable Management'!N69,'Variable Management'!N70,'Variable Management'!N71)</f>
        <v>1.0 x 0.5</v>
      </c>
      <c r="L39" s="442">
        <f>CHOOSE(Q39, 'Variable Management'!O69,'Variable Management'!O70,'Variable Management'!O71)</f>
        <v>0.5</v>
      </c>
      <c r="P39" s="456"/>
      <c r="Q39" s="459">
        <v>1</v>
      </c>
      <c r="R39" s="456"/>
      <c r="S39" s="456"/>
    </row>
    <row r="40" spans="1:19" s="317" customFormat="1" ht="17.100000000000001" customHeight="1" x14ac:dyDescent="0.25">
      <c r="A40" s="313">
        <v>1</v>
      </c>
      <c r="B40" s="332" t="s">
        <v>503</v>
      </c>
      <c r="C40" s="333">
        <f>'Design Regulator'!D76</f>
        <v>150</v>
      </c>
      <c r="D40" s="543">
        <f t="shared" si="0"/>
        <v>150</v>
      </c>
      <c r="E40" s="544"/>
      <c r="F40" s="544"/>
      <c r="G40" s="334"/>
      <c r="H40" s="335"/>
      <c r="I40" s="336" t="s">
        <v>498</v>
      </c>
      <c r="J40" s="437" t="s">
        <v>498</v>
      </c>
      <c r="K40" s="441" t="str">
        <f>CHOOSE(Q40, 'Variable Management'!N69,'Variable Management'!N70,'Variable Management'!N71)</f>
        <v>1.0 x 0.5</v>
      </c>
      <c r="L40" s="442">
        <f>CHOOSE(Q40, 'Variable Management'!O69,'Variable Management'!O70,'Variable Management'!O71)</f>
        <v>0.5</v>
      </c>
      <c r="P40" s="456"/>
      <c r="Q40" s="459">
        <v>1</v>
      </c>
      <c r="R40" s="456"/>
      <c r="S40" s="456"/>
    </row>
    <row r="41" spans="1:19" s="317" customFormat="1" ht="17.100000000000001" customHeight="1" x14ac:dyDescent="0.25">
      <c r="A41" s="313">
        <v>1</v>
      </c>
      <c r="B41" s="332" t="s">
        <v>504</v>
      </c>
      <c r="C41" s="333">
        <f>'Design Regulator'!D78</f>
        <v>2200</v>
      </c>
      <c r="D41" s="543">
        <f t="shared" si="0"/>
        <v>2200</v>
      </c>
      <c r="E41" s="544"/>
      <c r="F41" s="544"/>
      <c r="G41" s="334"/>
      <c r="H41" s="335"/>
      <c r="I41" s="336" t="s">
        <v>498</v>
      </c>
      <c r="J41" s="437" t="s">
        <v>498</v>
      </c>
      <c r="K41" s="441" t="str">
        <f>CHOOSE(Q41, 'Variable Management'!N69,'Variable Management'!N70,'Variable Management'!N71)</f>
        <v>1.0 x 0.5</v>
      </c>
      <c r="L41" s="442">
        <f>CHOOSE(Q41, 'Variable Management'!O69,'Variable Management'!O70,'Variable Management'!O71)</f>
        <v>0.5</v>
      </c>
      <c r="P41" s="456"/>
      <c r="Q41" s="459">
        <v>1</v>
      </c>
      <c r="R41" s="456"/>
      <c r="S41" s="456"/>
    </row>
    <row r="42" spans="1:19" s="317" customFormat="1" ht="17.100000000000001" customHeight="1" x14ac:dyDescent="0.25">
      <c r="A42" s="324">
        <v>1</v>
      </c>
      <c r="B42" s="325" t="s">
        <v>717</v>
      </c>
      <c r="C42" s="340" t="str">
        <f>'Variable Management'!B270</f>
        <v>33pF</v>
      </c>
      <c r="D42" s="545" t="str">
        <f>"Capacitor, Ceramic, "&amp;'Variable Management'!B270&amp;", 100V, X7R, 20%"</f>
        <v>Capacitor, Ceramic, 33pF, 100V, X7R, 20%</v>
      </c>
      <c r="E42" s="546"/>
      <c r="F42" s="546"/>
      <c r="G42" s="337"/>
      <c r="H42" s="327"/>
      <c r="I42" s="328" t="s">
        <v>498</v>
      </c>
      <c r="J42" s="438" t="s">
        <v>498</v>
      </c>
      <c r="K42" s="440" t="str">
        <f>CHOOSE(Q42, 'Variable Management'!N69,'Variable Management'!N70,'Variable Management'!N71)</f>
        <v>1.6 x 0.8</v>
      </c>
      <c r="L42" s="434">
        <f>CHOOSE(RDSON_sense,CHOOSE(Q42,'Variable Management'!O69,'Variable Management'!O70,'Variable Management'!O71),0)</f>
        <v>1.3</v>
      </c>
      <c r="P42" s="456"/>
      <c r="Q42" s="459">
        <v>2</v>
      </c>
      <c r="R42" s="456"/>
      <c r="S42" s="456"/>
    </row>
    <row r="43" spans="1:19" s="317" customFormat="1" ht="17.100000000000001" customHeight="1" x14ac:dyDescent="0.25">
      <c r="A43" s="313">
        <f>ROUNDUP('Design Regulator'!E42/10,0)</f>
        <v>11</v>
      </c>
      <c r="B43" s="332" t="s">
        <v>505</v>
      </c>
      <c r="C43" s="339" t="str">
        <f>'Variable Management'!B249</f>
        <v>4.7µF</v>
      </c>
      <c r="D43" s="549" t="str">
        <f>CHOOSE(Cin_Voltage_Rating, "Capacitor, Ceramic, "&amp;'Variable Management'!B249&amp;", 10V, X7R, 10%", "Capacitor, Ceramic, "&amp;'Variable Management'!B249&amp;", 16V, X7R, 10%", "Capacitor, Ceramic, "&amp;'Variable Management'!B249&amp;", 25V, X7R, 10%",  "Capacitor, Ceramic, "&amp;'Variable Management'!B249&amp;", 50V, X7R, 10%",  "Capacitor, Ceramic, "&amp;'Variable Management'!B249&amp;", 100V, X7S, 10%")</f>
        <v>Capacitor, Ceramic, 4.7µF, 50V, X7R, 10%</v>
      </c>
      <c r="E43" s="550"/>
      <c r="F43" s="550"/>
      <c r="G43" s="334"/>
      <c r="H43" s="335"/>
      <c r="I43" s="336" t="s">
        <v>498</v>
      </c>
      <c r="J43" s="437" t="s">
        <v>498</v>
      </c>
      <c r="K43" s="441" t="str">
        <f>CHOOSE(Q43, 'Variable Management'!N69,'Variable Management'!N70,'Variable Management'!N71,'Variable Management'!N72,'Variable Management'!N73)</f>
        <v>3.2 x 2.5</v>
      </c>
      <c r="L43" s="442">
        <f>CHOOSE(Q43, 'Variable Management'!O69,'Variable Management'!O70,'Variable Management'!O71,'Variable Management'!O72,'Variable Management'!O73)*A43</f>
        <v>88</v>
      </c>
      <c r="P43" s="456"/>
      <c r="Q43" s="459">
        <v>5</v>
      </c>
      <c r="R43" s="456"/>
      <c r="S43" s="456"/>
    </row>
    <row r="44" spans="1:19" s="317" customFormat="1" ht="17.100000000000001" customHeight="1" x14ac:dyDescent="0.25">
      <c r="A44" s="313">
        <f>'Variable Management'!D242</f>
        <v>3</v>
      </c>
      <c r="B44" s="332" t="s">
        <v>506</v>
      </c>
      <c r="C44" s="339" t="str">
        <f>'Variable Management'!F243</f>
        <v>47µF</v>
      </c>
      <c r="D44" s="549" t="str">
        <f>CHOOSE(Cout_Voltage_Rating, "Capacitor, Ceramic, "&amp;'Variable Management'!B244&amp;", 6.3V, X7R, 10%", "Capacitor, Ceramic, "&amp;'Variable Management'!B244&amp;", 10V, X7R, 10%", "Capacitor, Ceramic, "&amp;'Variable Management'!B244&amp;", 16V, X7R, 10%", "Capacitor, Ceramic, "&amp;'Variable Management'!B244&amp;", 25V, X7R, 10%",  "Capacitor, Ceramic, "&amp;'Variable Management'!B244&amp;", 50V, X7R, 10%",  "Capacitor, Ceramic, "&amp;'Variable Management'!B244&amp;", 100V, X7R, 10%")</f>
        <v>Capacitor, Ceramic, 47µF, 10V, X7R, 10%</v>
      </c>
      <c r="E44" s="550"/>
      <c r="F44" s="550"/>
      <c r="G44" s="334"/>
      <c r="H44" s="335"/>
      <c r="I44" s="336" t="s">
        <v>498</v>
      </c>
      <c r="J44" s="437" t="s">
        <v>498</v>
      </c>
      <c r="K44" s="441" t="str">
        <f>CHOOSE(Q44, 'Variable Management'!N69,'Variable Management'!N70,'Variable Management'!N71,'Variable Management'!N72,'Variable Management'!N73)</f>
        <v>3.2 x 2.5</v>
      </c>
      <c r="L44" s="442">
        <f>CHOOSE(Q44, 'Variable Management'!O69,'Variable Management'!O70,'Variable Management'!O71,'Variable Management'!O72,'Variable Management'!O73)*A44</f>
        <v>24</v>
      </c>
      <c r="P44" s="456"/>
      <c r="Q44" s="459">
        <v>5</v>
      </c>
      <c r="R44" s="456"/>
      <c r="S44" s="456"/>
    </row>
    <row r="45" spans="1:19" s="317" customFormat="1" ht="17.100000000000001" customHeight="1" x14ac:dyDescent="0.25">
      <c r="A45" s="324">
        <v>1</v>
      </c>
      <c r="B45" s="325" t="s">
        <v>507</v>
      </c>
      <c r="C45" s="450">
        <f>'Design Regulator'!E50</f>
        <v>100</v>
      </c>
      <c r="D45" s="556">
        <f t="shared" ref="D45" si="1">C45</f>
        <v>100</v>
      </c>
      <c r="E45" s="557"/>
      <c r="F45" s="557"/>
      <c r="G45" s="337"/>
      <c r="H45" s="327"/>
      <c r="I45" s="328" t="s">
        <v>498</v>
      </c>
      <c r="J45" s="438" t="s">
        <v>498</v>
      </c>
      <c r="K45" s="451" t="str">
        <f>CHOOSE(Q45, 'Variable Management'!N69,'Variable Management'!N70,'Variable Management'!N71)</f>
        <v>1.6 x 0.8</v>
      </c>
      <c r="L45" s="452">
        <f>CHOOSE(Q45, 'Variable Management'!O69,'Variable Management'!O70,'Variable Management'!O71)</f>
        <v>1.3</v>
      </c>
      <c r="P45" s="456"/>
      <c r="Q45" s="459">
        <v>2</v>
      </c>
      <c r="R45" s="456"/>
      <c r="S45" s="456"/>
    </row>
    <row r="46" spans="1:19" s="317" customFormat="1" ht="17.100000000000001" customHeight="1" x14ac:dyDescent="0.25">
      <c r="A46" s="324">
        <v>1</v>
      </c>
      <c r="B46" s="325" t="s">
        <v>607</v>
      </c>
      <c r="C46" s="338">
        <v>2.2000000000000002</v>
      </c>
      <c r="D46" s="547">
        <f t="shared" si="0"/>
        <v>2.2000000000000002</v>
      </c>
      <c r="E46" s="548"/>
      <c r="F46" s="548"/>
      <c r="G46" s="337"/>
      <c r="H46" s="327"/>
      <c r="I46" s="328" t="s">
        <v>498</v>
      </c>
      <c r="J46" s="438" t="s">
        <v>498</v>
      </c>
      <c r="K46" s="440" t="str">
        <f>CHOOSE(Q46, 'Variable Management'!N69,'Variable Management'!N70,'Variable Management'!N71)</f>
        <v>2.0 x 1.25</v>
      </c>
      <c r="L46" s="434">
        <f>CHOOSE(Q46, 'Variable Management'!O69,'Variable Management'!O70,'Variable Management'!O71)</f>
        <v>2.5</v>
      </c>
      <c r="P46" s="456"/>
      <c r="Q46" s="459">
        <v>3</v>
      </c>
      <c r="R46" s="456"/>
      <c r="S46" s="456"/>
    </row>
    <row r="47" spans="1:19" s="317" customFormat="1" ht="17.100000000000001" customHeight="1" x14ac:dyDescent="0.25">
      <c r="A47" s="324">
        <v>1</v>
      </c>
      <c r="B47" s="325" t="s">
        <v>508</v>
      </c>
      <c r="C47" s="338">
        <v>0.1</v>
      </c>
      <c r="D47" s="558">
        <f t="shared" si="0"/>
        <v>0.1</v>
      </c>
      <c r="E47" s="559"/>
      <c r="F47" s="559"/>
      <c r="G47" s="337"/>
      <c r="H47" s="327"/>
      <c r="I47" s="328" t="s">
        <v>498</v>
      </c>
      <c r="J47" s="438" t="s">
        <v>498</v>
      </c>
      <c r="K47" s="440" t="str">
        <f>CHOOSE(Q47, 'Variable Management'!N69,'Variable Management'!N70,'Variable Management'!N71)</f>
        <v>1.6 x 0.8</v>
      </c>
      <c r="L47" s="434">
        <f>CHOOSE(Q47, 'Variable Management'!O69,'Variable Management'!O70,'Variable Management'!O71)</f>
        <v>1.3</v>
      </c>
      <c r="P47" s="456"/>
      <c r="Q47" s="459">
        <v>2</v>
      </c>
      <c r="R47" s="456"/>
      <c r="S47" s="456"/>
    </row>
    <row r="48" spans="1:19" s="317" customFormat="1" ht="17.100000000000001" customHeight="1" x14ac:dyDescent="0.25">
      <c r="A48" s="313">
        <v>1</v>
      </c>
      <c r="B48" s="332" t="s">
        <v>605</v>
      </c>
      <c r="C48" s="341">
        <f>'Design Regulator'!E17</f>
        <v>10</v>
      </c>
      <c r="D48" s="549" t="str">
        <f>"Inductor, "&amp;Lout2*1000000&amp;"µH, "&amp;Rdcr*1000&amp;"mΩ, &gt;"&amp;ROUNDUP(Ilsat,0)&amp;"A"</f>
        <v>Inductor, 10µH, 5mΩ, &gt;9A</v>
      </c>
      <c r="E48" s="550"/>
      <c r="F48" s="550"/>
      <c r="G48" s="555"/>
      <c r="H48" s="336"/>
      <c r="I48" s="336" t="s">
        <v>511</v>
      </c>
      <c r="J48" s="437" t="s">
        <v>511</v>
      </c>
      <c r="K48" s="441" t="str">
        <f>CHOOSE(Q48, 'Variable Management'!N78,'Variable Management'!N79,'Variable Management'!N80, 'Variable Management'!N81, 'Variable Management'!N82, 'Variable Management'!N83, 'Variable Management'!N84, 'Variable Management'!N85)</f>
        <v>10.0 x 10.0</v>
      </c>
      <c r="L48" s="442">
        <f>CHOOSE(Q48, 'Variable Management'!O78,'Variable Management'!O79,'Variable Management'!O80, 'Variable Management'!O81, 'Variable Management'!O82, 'Variable Management'!O83, 'Variable Management'!O84, 'Variable Management'!O85)</f>
        <v>100</v>
      </c>
      <c r="P48" s="456"/>
      <c r="Q48" s="459">
        <v>7</v>
      </c>
      <c r="R48" s="456"/>
      <c r="S48" s="456"/>
    </row>
    <row r="49" spans="1:19" s="317" customFormat="1" ht="17.100000000000001" customHeight="1" x14ac:dyDescent="0.25">
      <c r="A49" s="324">
        <f>R49</f>
        <v>1</v>
      </c>
      <c r="B49" s="325" t="s">
        <v>512</v>
      </c>
      <c r="C49" s="340" t="s">
        <v>499</v>
      </c>
      <c r="D49" s="530">
        <f>'Design Regulator'!E85</f>
        <v>6</v>
      </c>
      <c r="E49" s="531"/>
      <c r="F49" s="531"/>
      <c r="G49" s="532"/>
      <c r="H49" s="328"/>
      <c r="I49" s="328" t="str">
        <f>'Design Regulator'!E84</f>
        <v>CSD18563Q5D</v>
      </c>
      <c r="J49" s="438" t="s">
        <v>500</v>
      </c>
      <c r="K49" s="440" t="str">
        <f>CHOOSE(Q49, 'Variable Management'!N48,'Variable Management'!N49,'Variable Management'!N50,'Variable Management'!N51)</f>
        <v>5.0 x 6.0</v>
      </c>
      <c r="L49" s="434">
        <f>CHOOSE(Q49, 'Variable Management'!O48,'Variable Management'!O49,'Variable Management'!O50,'Variable Management'!O51)*R49</f>
        <v>30</v>
      </c>
      <c r="P49" s="456"/>
      <c r="Q49" s="459">
        <v>1</v>
      </c>
      <c r="R49" s="459">
        <v>1</v>
      </c>
      <c r="S49" s="456"/>
    </row>
    <row r="50" spans="1:19" s="317" customFormat="1" ht="17.100000000000001" customHeight="1" x14ac:dyDescent="0.25">
      <c r="A50" s="324">
        <f>R50</f>
        <v>1</v>
      </c>
      <c r="B50" s="325" t="s">
        <v>513</v>
      </c>
      <c r="C50" s="340" t="s">
        <v>499</v>
      </c>
      <c r="D50" s="530">
        <f>'Design Regulator'!E97</f>
        <v>6</v>
      </c>
      <c r="E50" s="531"/>
      <c r="F50" s="531"/>
      <c r="G50" s="532"/>
      <c r="H50" s="328"/>
      <c r="I50" s="328" t="str">
        <f>'Design Regulator'!E96</f>
        <v>CSD18563Q5D</v>
      </c>
      <c r="J50" s="438" t="s">
        <v>500</v>
      </c>
      <c r="K50" s="440" t="str">
        <f>CHOOSE(Q50, 'Variable Management'!N48,'Variable Management'!N49,'Variable Management'!N50,'Variable Management'!N51)</f>
        <v>5.0 x 6.0</v>
      </c>
      <c r="L50" s="434">
        <f>CHOOSE(Q50, 'Variable Management'!O48,'Variable Management'!O49,'Variable Management'!O50,'Variable Management'!O51)*R50</f>
        <v>30</v>
      </c>
      <c r="P50" s="456"/>
      <c r="Q50" s="459">
        <v>1</v>
      </c>
      <c r="R50" s="459">
        <v>1</v>
      </c>
      <c r="S50" s="456"/>
    </row>
    <row r="51" spans="1:19" s="317" customFormat="1" ht="17.100000000000001" customHeight="1" x14ac:dyDescent="0.25">
      <c r="A51" s="324"/>
      <c r="B51" s="325"/>
      <c r="C51" s="340"/>
      <c r="D51" s="425"/>
      <c r="E51" s="426"/>
      <c r="F51" s="426"/>
      <c r="G51" s="427"/>
      <c r="H51" s="328"/>
      <c r="I51" s="328"/>
      <c r="J51" s="438"/>
      <c r="K51" s="440"/>
      <c r="L51" s="434"/>
      <c r="P51" s="456"/>
      <c r="Q51" s="459"/>
      <c r="R51" s="456"/>
      <c r="S51" s="456"/>
    </row>
    <row r="52" spans="1:19" s="317" customFormat="1" ht="17.100000000000001" customHeight="1" x14ac:dyDescent="0.25">
      <c r="A52" s="318">
        <v>1</v>
      </c>
      <c r="B52" s="319" t="s">
        <v>514</v>
      </c>
      <c r="C52" s="320">
        <f>'Design Regulator'!D74</f>
        <v>5.6</v>
      </c>
      <c r="D52" s="527">
        <f t="shared" ref="D52:D62" si="2">C52</f>
        <v>5.6</v>
      </c>
      <c r="E52" s="528"/>
      <c r="F52" s="528"/>
      <c r="G52" s="529"/>
      <c r="H52" s="321"/>
      <c r="I52" s="322" t="s">
        <v>498</v>
      </c>
      <c r="J52" s="439" t="s">
        <v>498</v>
      </c>
      <c r="K52" s="441" t="str">
        <f>CHOOSE(Q52, 'Variable Management'!N69,'Variable Management'!N70,'Variable Management'!N71)</f>
        <v>1.0 x 0.5</v>
      </c>
      <c r="L52" s="442">
        <f>CHOOSE(Q52, 'Variable Management'!O69,'Variable Management'!O70,'Variable Management'!O71)</f>
        <v>0.5</v>
      </c>
      <c r="P52" s="456"/>
      <c r="Q52" s="459">
        <v>1</v>
      </c>
      <c r="R52" s="456"/>
      <c r="S52" s="456"/>
    </row>
    <row r="53" spans="1:19" s="317" customFormat="1" ht="17.100000000000001" customHeight="1" x14ac:dyDescent="0.25">
      <c r="A53" s="318">
        <v>1</v>
      </c>
      <c r="B53" s="319" t="s">
        <v>515</v>
      </c>
      <c r="C53" s="323">
        <f>'Design Regulator'!D77</f>
        <v>600</v>
      </c>
      <c r="D53" s="551">
        <f t="shared" si="2"/>
        <v>600</v>
      </c>
      <c r="E53" s="552"/>
      <c r="F53" s="552"/>
      <c r="G53" s="553"/>
      <c r="H53" s="321"/>
      <c r="I53" s="322" t="s">
        <v>498</v>
      </c>
      <c r="J53" s="439" t="s">
        <v>498</v>
      </c>
      <c r="K53" s="441" t="str">
        <f>CHOOSE(Q52, 'Variable Management'!N69,'Variable Management'!N70,'Variable Management'!N71)</f>
        <v>1.0 x 0.5</v>
      </c>
      <c r="L53" s="442">
        <f>CHOOSE(Q53, 'Variable Management'!O69,'Variable Management'!O70,'Variable Management'!O71)</f>
        <v>0.5</v>
      </c>
      <c r="P53" s="456"/>
      <c r="Q53" s="459">
        <v>1</v>
      </c>
      <c r="R53" s="456"/>
      <c r="S53" s="456"/>
    </row>
    <row r="54" spans="1:19" s="317" customFormat="1" ht="17.100000000000001" customHeight="1" x14ac:dyDescent="0.25">
      <c r="A54" s="318">
        <v>1</v>
      </c>
      <c r="B54" s="319" t="s">
        <v>609</v>
      </c>
      <c r="C54" s="323">
        <f>'Design Regulator'!E26</f>
        <v>174</v>
      </c>
      <c r="D54" s="551">
        <f t="shared" si="2"/>
        <v>174</v>
      </c>
      <c r="E54" s="552"/>
      <c r="F54" s="552"/>
      <c r="G54" s="553"/>
      <c r="H54" s="321"/>
      <c r="I54" s="322" t="s">
        <v>498</v>
      </c>
      <c r="J54" s="439" t="s">
        <v>498</v>
      </c>
      <c r="K54" s="441" t="str">
        <f>CHOOSE(Q52, 'Variable Management'!N69,'Variable Management'!N70,'Variable Management'!N71)</f>
        <v>1.0 x 0.5</v>
      </c>
      <c r="L54" s="442">
        <f>CHOOSE(Q54, 'Variable Management'!O69,'Variable Management'!O70,'Variable Management'!O71)</f>
        <v>2.5</v>
      </c>
      <c r="P54" s="456"/>
      <c r="Q54" s="459">
        <v>3</v>
      </c>
      <c r="R54" s="456"/>
      <c r="S54" s="456"/>
    </row>
    <row r="55" spans="1:19" s="317" customFormat="1" ht="17.100000000000001" customHeight="1" x14ac:dyDescent="0.25">
      <c r="A55" s="318">
        <v>1</v>
      </c>
      <c r="B55" s="319" t="s">
        <v>610</v>
      </c>
      <c r="C55" s="320">
        <f>'Design Regulator'!E13</f>
        <v>33.200000000000003</v>
      </c>
      <c r="D55" s="527">
        <f t="shared" si="2"/>
        <v>33.200000000000003</v>
      </c>
      <c r="E55" s="528"/>
      <c r="F55" s="528"/>
      <c r="G55" s="529"/>
      <c r="H55" s="321"/>
      <c r="I55" s="322" t="s">
        <v>498</v>
      </c>
      <c r="J55" s="439" t="s">
        <v>498</v>
      </c>
      <c r="K55" s="441" t="str">
        <f>CHOOSE(Q55, 'Variable Management'!N69,'Variable Management'!N70,'Variable Management'!N71)</f>
        <v>1.0 x 0.5</v>
      </c>
      <c r="L55" s="442">
        <f>CHOOSE(Q55, 'Variable Management'!O69,'Variable Management'!O70,'Variable Management'!O71)</f>
        <v>0.5</v>
      </c>
      <c r="P55" s="456"/>
      <c r="Q55" s="459">
        <v>1</v>
      </c>
      <c r="R55" s="456"/>
      <c r="S55" s="456"/>
    </row>
    <row r="56" spans="1:19" s="317" customFormat="1" ht="17.100000000000001" customHeight="1" x14ac:dyDescent="0.25">
      <c r="A56" s="318">
        <v>1</v>
      </c>
      <c r="B56" s="319" t="s">
        <v>521</v>
      </c>
      <c r="C56" s="320">
        <f>'Design Regulator'!E63</f>
        <v>18</v>
      </c>
      <c r="D56" s="527">
        <f t="shared" si="2"/>
        <v>18</v>
      </c>
      <c r="E56" s="528"/>
      <c r="F56" s="528"/>
      <c r="G56" s="529"/>
      <c r="H56" s="321"/>
      <c r="I56" s="322" t="s">
        <v>498</v>
      </c>
      <c r="J56" s="439" t="s">
        <v>498</v>
      </c>
      <c r="K56" s="441" t="str">
        <f>CHOOSE(Q56, 'Variable Management'!N69,'Variable Management'!N70,'Variable Management'!N71)</f>
        <v>1.0 x 0.5</v>
      </c>
      <c r="L56" s="442">
        <f>CHOOSE(Q56, 'Variable Management'!O69,'Variable Management'!O70,'Variable Management'!O71)</f>
        <v>0.5</v>
      </c>
      <c r="P56" s="456"/>
      <c r="Q56" s="459">
        <v>1</v>
      </c>
      <c r="R56" s="456"/>
      <c r="S56" s="456"/>
    </row>
    <row r="57" spans="1:19" s="317" customFormat="1" ht="17.100000000000001" customHeight="1" x14ac:dyDescent="0.25">
      <c r="A57" s="318">
        <v>1</v>
      </c>
      <c r="B57" s="319" t="s">
        <v>522</v>
      </c>
      <c r="C57" s="320">
        <f>'Design Regulator'!E64</f>
        <v>3.32</v>
      </c>
      <c r="D57" s="527">
        <f t="shared" si="2"/>
        <v>3.32</v>
      </c>
      <c r="E57" s="528"/>
      <c r="F57" s="528"/>
      <c r="G57" s="529"/>
      <c r="H57" s="321"/>
      <c r="I57" s="322" t="s">
        <v>498</v>
      </c>
      <c r="J57" s="439" t="s">
        <v>498</v>
      </c>
      <c r="K57" s="441" t="str">
        <f>CHOOSE(Q57, 'Variable Management'!N69,'Variable Management'!N70,'Variable Management'!N71)</f>
        <v>1.0 x 0.5</v>
      </c>
      <c r="L57" s="442">
        <f>CHOOSE(Q57, 'Variable Management'!O69,'Variable Management'!O70,'Variable Management'!O71)</f>
        <v>0.5</v>
      </c>
      <c r="P57" s="456"/>
      <c r="Q57" s="459">
        <v>1</v>
      </c>
      <c r="R57" s="456"/>
      <c r="S57" s="456"/>
    </row>
    <row r="58" spans="1:19" s="317" customFormat="1" ht="17.100000000000001" customHeight="1" x14ac:dyDescent="0.25">
      <c r="A58" s="324">
        <v>1</v>
      </c>
      <c r="B58" s="325" t="s">
        <v>520</v>
      </c>
      <c r="C58" s="326">
        <v>20</v>
      </c>
      <c r="D58" s="524">
        <f t="shared" si="2"/>
        <v>20</v>
      </c>
      <c r="E58" s="525"/>
      <c r="F58" s="525"/>
      <c r="G58" s="526"/>
      <c r="H58" s="327"/>
      <c r="I58" s="328" t="s">
        <v>498</v>
      </c>
      <c r="J58" s="438" t="s">
        <v>498</v>
      </c>
      <c r="K58" s="440" t="str">
        <f>CHOOSE(Q58, 'Variable Management'!N69,'Variable Management'!N70,'Variable Management'!N71)</f>
        <v>1.0 x 0.5</v>
      </c>
      <c r="L58" s="434">
        <f>CHOOSE(Q58, 'Variable Management'!O69,'Variable Management'!O70,'Variable Management'!O71)</f>
        <v>0.5</v>
      </c>
      <c r="P58" s="456"/>
      <c r="Q58" s="459">
        <v>1</v>
      </c>
      <c r="R58" s="456"/>
      <c r="S58" s="456"/>
    </row>
    <row r="59" spans="1:19" s="317" customFormat="1" ht="17.100000000000001" customHeight="1" x14ac:dyDescent="0.25">
      <c r="A59" s="324">
        <v>1</v>
      </c>
      <c r="B59" s="325" t="s">
        <v>519</v>
      </c>
      <c r="C59" s="474">
        <f>'Design Regulator'!E24</f>
        <v>6</v>
      </c>
      <c r="D59" s="536">
        <f t="shared" si="2"/>
        <v>6</v>
      </c>
      <c r="E59" s="537"/>
      <c r="F59" s="537"/>
      <c r="G59" s="538"/>
      <c r="H59" s="473">
        <v>1206</v>
      </c>
      <c r="I59" s="328" t="s">
        <v>498</v>
      </c>
      <c r="J59" s="438" t="s">
        <v>498</v>
      </c>
      <c r="K59" s="440" t="s">
        <v>642</v>
      </c>
      <c r="L59" s="434">
        <f>CHOOSE(RDSON_sense, 0,5.1)</f>
        <v>0</v>
      </c>
      <c r="P59" s="456"/>
      <c r="Q59" s="459"/>
      <c r="R59" s="456"/>
      <c r="S59" s="456"/>
    </row>
    <row r="60" spans="1:19" s="317" customFormat="1" ht="17.100000000000001" customHeight="1" x14ac:dyDescent="0.25">
      <c r="A60" s="318">
        <v>1</v>
      </c>
      <c r="B60" s="319" t="s">
        <v>516</v>
      </c>
      <c r="C60" s="320">
        <f>'Design Regulator'!E53</f>
        <v>75</v>
      </c>
      <c r="D60" s="527">
        <f t="shared" si="2"/>
        <v>75</v>
      </c>
      <c r="E60" s="528"/>
      <c r="F60" s="528"/>
      <c r="G60" s="529"/>
      <c r="H60" s="321"/>
      <c r="I60" s="322" t="s">
        <v>498</v>
      </c>
      <c r="J60" s="439" t="s">
        <v>498</v>
      </c>
      <c r="K60" s="441" t="str">
        <f>CHOOSE(Q60, 'Variable Management'!N69,'Variable Management'!N70,'Variable Management'!N71)</f>
        <v>1.6 x 0.8</v>
      </c>
      <c r="L60" s="442">
        <f>CHOOSE(Q60, 'Variable Management'!O69,'Variable Management'!O70,'Variable Management'!O71)</f>
        <v>1.3</v>
      </c>
      <c r="P60" s="456"/>
      <c r="Q60" s="459">
        <v>2</v>
      </c>
      <c r="R60" s="456"/>
      <c r="S60" s="456"/>
    </row>
    <row r="61" spans="1:19" s="317" customFormat="1" ht="17.100000000000001" customHeight="1" x14ac:dyDescent="0.25">
      <c r="A61" s="318">
        <v>1</v>
      </c>
      <c r="B61" s="319" t="s">
        <v>517</v>
      </c>
      <c r="C61" s="320">
        <f>'Design Regulator'!E54</f>
        <v>12.700000000000001</v>
      </c>
      <c r="D61" s="527">
        <f t="shared" si="2"/>
        <v>12.700000000000001</v>
      </c>
      <c r="E61" s="528"/>
      <c r="F61" s="528"/>
      <c r="G61" s="529"/>
      <c r="H61" s="321"/>
      <c r="I61" s="322" t="s">
        <v>498</v>
      </c>
      <c r="J61" s="439" t="s">
        <v>498</v>
      </c>
      <c r="K61" s="441" t="str">
        <f>CHOOSE(Q61, 'Variable Management'!N69,'Variable Management'!N70,'Variable Management'!N71)</f>
        <v>1.0 x 0.5</v>
      </c>
      <c r="L61" s="442">
        <f>CHOOSE(Q61, 'Variable Management'!O69,'Variable Management'!O70,'Variable Management'!O71)</f>
        <v>0.5</v>
      </c>
      <c r="P61" s="456"/>
      <c r="Q61" s="459">
        <v>1</v>
      </c>
      <c r="R61" s="456"/>
      <c r="S61" s="456"/>
    </row>
    <row r="62" spans="1:19" s="317" customFormat="1" ht="17.100000000000001" customHeight="1" x14ac:dyDescent="0.25">
      <c r="A62" s="324">
        <v>1</v>
      </c>
      <c r="B62" s="325" t="s">
        <v>518</v>
      </c>
      <c r="C62" s="340">
        <v>2.2000000000000002</v>
      </c>
      <c r="D62" s="533">
        <f t="shared" si="2"/>
        <v>2.2000000000000002</v>
      </c>
      <c r="E62" s="534"/>
      <c r="F62" s="534"/>
      <c r="G62" s="535"/>
      <c r="H62" s="327"/>
      <c r="I62" s="328" t="s">
        <v>498</v>
      </c>
      <c r="J62" s="438" t="s">
        <v>498</v>
      </c>
      <c r="K62" s="440" t="str">
        <f>CHOOSE(Q62, 'Variable Management'!N69,'Variable Management'!N70,'Variable Management'!N71)</f>
        <v>1.0 x 0.5</v>
      </c>
      <c r="L62" s="434">
        <f>CHOOSE(Q62, 'Variable Management'!O69,'Variable Management'!O70,'Variable Management'!O71)</f>
        <v>0.5</v>
      </c>
      <c r="P62" s="456"/>
      <c r="Q62" s="459">
        <v>1</v>
      </c>
      <c r="R62" s="456"/>
      <c r="S62" s="456"/>
    </row>
    <row r="63" spans="1:19" s="317" customFormat="1" ht="17.100000000000001" customHeight="1" x14ac:dyDescent="0.25">
      <c r="A63" s="343">
        <v>1</v>
      </c>
      <c r="B63" s="344" t="s">
        <v>523</v>
      </c>
      <c r="C63" s="342" t="str">
        <f>CHOOSE(VARIANT, "LM5145", "LM5145-Q1", "LM25145", "LM5146", "LM5146-Q1")</f>
        <v>LM25145</v>
      </c>
      <c r="D63" s="521" t="str">
        <f>CHOOSE(VARIANT, "IC, LM5145, PWM Controller, 6V-75V Input", "IC, LM5145-Q1, PWM Controller, 6V-75V Input", "IC, LM25145, PWM Controller, 6V-42V Input", "IC, LM5146 PWM Controller, 5.5V-100V Input", "IC, LM5146-Q1, PWM Controller, 5.5V-100V Input")</f>
        <v>IC, LM25145, PWM Controller, 6V-42V Input</v>
      </c>
      <c r="E63" s="522"/>
      <c r="F63" s="522"/>
      <c r="G63" s="523"/>
      <c r="H63" s="345" t="s">
        <v>626</v>
      </c>
      <c r="I63" s="345" t="str">
        <f>CHOOSE(VARIANT, "LM5145RGYR", "LM5145QRGYRQ1", "LM25145RGYR", "LM5146RGYR", "LM5146QRGYRQ1",)</f>
        <v>LM25145RGYR</v>
      </c>
      <c r="J63" s="424" t="s">
        <v>500</v>
      </c>
      <c r="K63" s="440" t="s">
        <v>713</v>
      </c>
      <c r="L63" s="435">
        <v>15.75</v>
      </c>
      <c r="P63" s="456"/>
      <c r="Q63" s="459"/>
      <c r="R63" s="456"/>
      <c r="S63" s="456"/>
    </row>
    <row r="64" spans="1:19" x14ac:dyDescent="0.25">
      <c r="P64" s="465"/>
      <c r="Q64" s="466"/>
      <c r="R64" s="465"/>
      <c r="S64" s="465"/>
    </row>
    <row r="65" spans="1:15" ht="18" x14ac:dyDescent="0.3">
      <c r="I65" s="554" t="s">
        <v>676</v>
      </c>
      <c r="J65" s="554"/>
      <c r="K65" s="554"/>
      <c r="L65" s="445">
        <f>SUM(L38:L63)*1.25</f>
        <v>380.9375</v>
      </c>
      <c r="M65" s="446" t="s">
        <v>677</v>
      </c>
      <c r="N65" s="447">
        <f>L65/25.4/25.4</f>
        <v>0.59045430590861192</v>
      </c>
      <c r="O65" s="446" t="s">
        <v>678</v>
      </c>
    </row>
    <row r="66" spans="1:15" x14ac:dyDescent="0.25">
      <c r="A66" s="352" t="s">
        <v>541</v>
      </c>
    </row>
    <row r="67" spans="1:15" x14ac:dyDescent="0.25">
      <c r="A67" s="310" t="s">
        <v>540</v>
      </c>
    </row>
    <row r="68" spans="1:15" x14ac:dyDescent="0.25">
      <c r="A68" s="310" t="s">
        <v>712</v>
      </c>
    </row>
    <row r="455" spans="17:17" x14ac:dyDescent="0.25">
      <c r="Q455" s="310">
        <v>2</v>
      </c>
    </row>
  </sheetData>
  <sheetProtection algorithmName="SHA-512" hashValue="5TgsSCYYf1uls4yIPKQ6R31wx2xihx2gDN6A2FKtQUMGBtKeZ/JRzZEKN55uNbweAs4RBJmLKrkDyMZSd1WKlA==" saltValue="VL6HNfpDUUlRyqITH/F2hw==" spinCount="100000" sheet="1" objects="1" scenarios="1" selectLockedCells="1" selectUnlockedCells="1"/>
  <mergeCells count="27">
    <mergeCell ref="I65:K65"/>
    <mergeCell ref="D54:G54"/>
    <mergeCell ref="D48:G48"/>
    <mergeCell ref="D44:F44"/>
    <mergeCell ref="D45:F45"/>
    <mergeCell ref="D47:F47"/>
    <mergeCell ref="D42:F42"/>
    <mergeCell ref="D46:F46"/>
    <mergeCell ref="D43:F43"/>
    <mergeCell ref="D52:G52"/>
    <mergeCell ref="D53:G53"/>
    <mergeCell ref="D37:G37"/>
    <mergeCell ref="D63:G63"/>
    <mergeCell ref="D58:G58"/>
    <mergeCell ref="D56:G56"/>
    <mergeCell ref="D57:G57"/>
    <mergeCell ref="D49:G49"/>
    <mergeCell ref="D50:G50"/>
    <mergeCell ref="D55:G55"/>
    <mergeCell ref="D60:G60"/>
    <mergeCell ref="D61:G61"/>
    <mergeCell ref="D62:G62"/>
    <mergeCell ref="D59:G59"/>
    <mergeCell ref="D38:F38"/>
    <mergeCell ref="D39:F39"/>
    <mergeCell ref="D40:F40"/>
    <mergeCell ref="D41:F41"/>
  </mergeCells>
  <phoneticPr fontId="106"/>
  <conditionalFormatting sqref="A59:J59">
    <cfRule type="expression" dxfId="4" priority="6">
      <formula>RDSON_sense=1</formula>
    </cfRule>
  </conditionalFormatting>
  <conditionalFormatting sqref="K59">
    <cfRule type="expression" dxfId="3" priority="5">
      <formula>RDSON_sense=1</formula>
    </cfRule>
  </conditionalFormatting>
  <conditionalFormatting sqref="L59">
    <cfRule type="expression" dxfId="2" priority="3">
      <formula>RDSON_sense=1</formula>
    </cfRule>
  </conditionalFormatting>
  <conditionalFormatting sqref="A42:F42">
    <cfRule type="expression" dxfId="1" priority="2">
      <formula>RDSON_sense=0</formula>
    </cfRule>
  </conditionalFormatting>
  <conditionalFormatting sqref="I42:L42">
    <cfRule type="expression" dxfId="0" priority="1">
      <formula>RDSON_sense=0</formula>
    </cfRule>
  </conditionalFormatting>
  <printOptions horizontalCentered="1"/>
  <pageMargins left="0.23" right="0.23" top="0.7" bottom="0.61" header="0.3" footer="0.5"/>
  <pageSetup scale="84" fitToHeight="2" orientation="landscape" r:id="rId1"/>
  <headerFooter alignWithMargins="0"/>
  <rowBreaks count="1" manualBreakCount="1">
    <brk id="34" max="9" man="1"/>
  </rowBreaks>
  <ignoredErrors>
    <ignoredError sqref="L59"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73839" r:id="rId4" name="Drop Down 47">
              <controlPr defaultSize="0" autoLine="0" autoPict="0">
                <anchor moveWithCells="1">
                  <from>
                    <xdr:col>7</xdr:col>
                    <xdr:colOff>0</xdr:colOff>
                    <xdr:row>48</xdr:row>
                    <xdr:rowOff>0</xdr:rowOff>
                  </from>
                  <to>
                    <xdr:col>8</xdr:col>
                    <xdr:colOff>0</xdr:colOff>
                    <xdr:row>48</xdr:row>
                    <xdr:rowOff>198120</xdr:rowOff>
                  </to>
                </anchor>
              </controlPr>
            </control>
          </mc:Choice>
        </mc:AlternateContent>
        <mc:AlternateContent xmlns:mc="http://schemas.openxmlformats.org/markup-compatibility/2006">
          <mc:Choice Requires="x14">
            <control shapeId="673840" r:id="rId5" name="Drop Down 48">
              <controlPr defaultSize="0" autoLine="0" autoPict="0">
                <anchor moveWithCells="1">
                  <from>
                    <xdr:col>7</xdr:col>
                    <xdr:colOff>0</xdr:colOff>
                    <xdr:row>49</xdr:row>
                    <xdr:rowOff>0</xdr:rowOff>
                  </from>
                  <to>
                    <xdr:col>8</xdr:col>
                    <xdr:colOff>0</xdr:colOff>
                    <xdr:row>49</xdr:row>
                    <xdr:rowOff>198120</xdr:rowOff>
                  </to>
                </anchor>
              </controlPr>
            </control>
          </mc:Choice>
        </mc:AlternateContent>
        <mc:AlternateContent xmlns:mc="http://schemas.openxmlformats.org/markup-compatibility/2006">
          <mc:Choice Requires="x14">
            <control shapeId="673855" r:id="rId6" name="Drop Down 63">
              <controlPr defaultSize="0" autoLine="0" autoPict="0">
                <anchor moveWithCells="1">
                  <from>
                    <xdr:col>7</xdr:col>
                    <xdr:colOff>0</xdr:colOff>
                    <xdr:row>37</xdr:row>
                    <xdr:rowOff>0</xdr:rowOff>
                  </from>
                  <to>
                    <xdr:col>7</xdr:col>
                    <xdr:colOff>876300</xdr:colOff>
                    <xdr:row>37</xdr:row>
                    <xdr:rowOff>198120</xdr:rowOff>
                  </to>
                </anchor>
              </controlPr>
            </control>
          </mc:Choice>
        </mc:AlternateContent>
        <mc:AlternateContent xmlns:mc="http://schemas.openxmlformats.org/markup-compatibility/2006">
          <mc:Choice Requires="x14">
            <control shapeId="673857" r:id="rId7" name="Drop Down 65">
              <controlPr defaultSize="0" autoLine="0" autoPict="0">
                <anchor moveWithCells="1">
                  <from>
                    <xdr:col>7</xdr:col>
                    <xdr:colOff>0</xdr:colOff>
                    <xdr:row>38</xdr:row>
                    <xdr:rowOff>0</xdr:rowOff>
                  </from>
                  <to>
                    <xdr:col>7</xdr:col>
                    <xdr:colOff>876300</xdr:colOff>
                    <xdr:row>38</xdr:row>
                    <xdr:rowOff>198120</xdr:rowOff>
                  </to>
                </anchor>
              </controlPr>
            </control>
          </mc:Choice>
        </mc:AlternateContent>
        <mc:AlternateContent xmlns:mc="http://schemas.openxmlformats.org/markup-compatibility/2006">
          <mc:Choice Requires="x14">
            <control shapeId="673858" r:id="rId8" name="Drop Down 66">
              <controlPr defaultSize="0" autoLine="0" autoPict="0">
                <anchor moveWithCells="1">
                  <from>
                    <xdr:col>7</xdr:col>
                    <xdr:colOff>0</xdr:colOff>
                    <xdr:row>39</xdr:row>
                    <xdr:rowOff>0</xdr:rowOff>
                  </from>
                  <to>
                    <xdr:col>7</xdr:col>
                    <xdr:colOff>876300</xdr:colOff>
                    <xdr:row>39</xdr:row>
                    <xdr:rowOff>198120</xdr:rowOff>
                  </to>
                </anchor>
              </controlPr>
            </control>
          </mc:Choice>
        </mc:AlternateContent>
        <mc:AlternateContent xmlns:mc="http://schemas.openxmlformats.org/markup-compatibility/2006">
          <mc:Choice Requires="x14">
            <control shapeId="673859" r:id="rId9" name="Drop Down 67">
              <controlPr defaultSize="0" autoLine="0" autoPict="0">
                <anchor moveWithCells="1">
                  <from>
                    <xdr:col>7</xdr:col>
                    <xdr:colOff>0</xdr:colOff>
                    <xdr:row>40</xdr:row>
                    <xdr:rowOff>0</xdr:rowOff>
                  </from>
                  <to>
                    <xdr:col>7</xdr:col>
                    <xdr:colOff>876300</xdr:colOff>
                    <xdr:row>40</xdr:row>
                    <xdr:rowOff>198120</xdr:rowOff>
                  </to>
                </anchor>
              </controlPr>
            </control>
          </mc:Choice>
        </mc:AlternateContent>
        <mc:AlternateContent xmlns:mc="http://schemas.openxmlformats.org/markup-compatibility/2006">
          <mc:Choice Requires="x14">
            <control shapeId="673860" r:id="rId10" name="Drop Down 68">
              <controlPr defaultSize="0" autoLine="0" autoPict="0">
                <anchor moveWithCells="1">
                  <from>
                    <xdr:col>7</xdr:col>
                    <xdr:colOff>0</xdr:colOff>
                    <xdr:row>41</xdr:row>
                    <xdr:rowOff>0</xdr:rowOff>
                  </from>
                  <to>
                    <xdr:col>7</xdr:col>
                    <xdr:colOff>876300</xdr:colOff>
                    <xdr:row>41</xdr:row>
                    <xdr:rowOff>198120</xdr:rowOff>
                  </to>
                </anchor>
              </controlPr>
            </control>
          </mc:Choice>
        </mc:AlternateContent>
        <mc:AlternateContent xmlns:mc="http://schemas.openxmlformats.org/markup-compatibility/2006">
          <mc:Choice Requires="x14">
            <control shapeId="673861" r:id="rId11" name="Drop Down 69">
              <controlPr defaultSize="0" autoLine="0" autoPict="0">
                <anchor moveWithCells="1">
                  <from>
                    <xdr:col>7</xdr:col>
                    <xdr:colOff>0</xdr:colOff>
                    <xdr:row>44</xdr:row>
                    <xdr:rowOff>0</xdr:rowOff>
                  </from>
                  <to>
                    <xdr:col>7</xdr:col>
                    <xdr:colOff>876300</xdr:colOff>
                    <xdr:row>44</xdr:row>
                    <xdr:rowOff>198120</xdr:rowOff>
                  </to>
                </anchor>
              </controlPr>
            </control>
          </mc:Choice>
        </mc:AlternateContent>
        <mc:AlternateContent xmlns:mc="http://schemas.openxmlformats.org/markup-compatibility/2006">
          <mc:Choice Requires="x14">
            <control shapeId="673862" r:id="rId12" name="Drop Down 70">
              <controlPr defaultSize="0" autoLine="0" autoPict="0">
                <anchor moveWithCells="1">
                  <from>
                    <xdr:col>7</xdr:col>
                    <xdr:colOff>0</xdr:colOff>
                    <xdr:row>45</xdr:row>
                    <xdr:rowOff>0</xdr:rowOff>
                  </from>
                  <to>
                    <xdr:col>7</xdr:col>
                    <xdr:colOff>876300</xdr:colOff>
                    <xdr:row>45</xdr:row>
                    <xdr:rowOff>198120</xdr:rowOff>
                  </to>
                </anchor>
              </controlPr>
            </control>
          </mc:Choice>
        </mc:AlternateContent>
        <mc:AlternateContent xmlns:mc="http://schemas.openxmlformats.org/markup-compatibility/2006">
          <mc:Choice Requires="x14">
            <control shapeId="673863" r:id="rId13" name="Drop Down 71">
              <controlPr defaultSize="0" autoLine="0" autoPict="0">
                <anchor moveWithCells="1">
                  <from>
                    <xdr:col>7</xdr:col>
                    <xdr:colOff>0</xdr:colOff>
                    <xdr:row>46</xdr:row>
                    <xdr:rowOff>0</xdr:rowOff>
                  </from>
                  <to>
                    <xdr:col>7</xdr:col>
                    <xdr:colOff>876300</xdr:colOff>
                    <xdr:row>46</xdr:row>
                    <xdr:rowOff>198120</xdr:rowOff>
                  </to>
                </anchor>
              </controlPr>
            </control>
          </mc:Choice>
        </mc:AlternateContent>
        <mc:AlternateContent xmlns:mc="http://schemas.openxmlformats.org/markup-compatibility/2006">
          <mc:Choice Requires="x14">
            <control shapeId="673865" r:id="rId14" name="Drop Down 73">
              <controlPr defaultSize="0" autoLine="0" autoPict="0">
                <anchor moveWithCells="1">
                  <from>
                    <xdr:col>7</xdr:col>
                    <xdr:colOff>0</xdr:colOff>
                    <xdr:row>51</xdr:row>
                    <xdr:rowOff>0</xdr:rowOff>
                  </from>
                  <to>
                    <xdr:col>7</xdr:col>
                    <xdr:colOff>876300</xdr:colOff>
                    <xdr:row>51</xdr:row>
                    <xdr:rowOff>198120</xdr:rowOff>
                  </to>
                </anchor>
              </controlPr>
            </control>
          </mc:Choice>
        </mc:AlternateContent>
        <mc:AlternateContent xmlns:mc="http://schemas.openxmlformats.org/markup-compatibility/2006">
          <mc:Choice Requires="x14">
            <control shapeId="673866" r:id="rId15" name="Drop Down 74">
              <controlPr defaultSize="0" autoLine="0" autoPict="0">
                <anchor moveWithCells="1">
                  <from>
                    <xdr:col>7</xdr:col>
                    <xdr:colOff>0</xdr:colOff>
                    <xdr:row>52</xdr:row>
                    <xdr:rowOff>0</xdr:rowOff>
                  </from>
                  <to>
                    <xdr:col>7</xdr:col>
                    <xdr:colOff>876300</xdr:colOff>
                    <xdr:row>52</xdr:row>
                    <xdr:rowOff>198120</xdr:rowOff>
                  </to>
                </anchor>
              </controlPr>
            </control>
          </mc:Choice>
        </mc:AlternateContent>
        <mc:AlternateContent xmlns:mc="http://schemas.openxmlformats.org/markup-compatibility/2006">
          <mc:Choice Requires="x14">
            <control shapeId="673867" r:id="rId16" name="Drop Down 75">
              <controlPr defaultSize="0" autoLine="0" autoPict="0">
                <anchor moveWithCells="1">
                  <from>
                    <xdr:col>7</xdr:col>
                    <xdr:colOff>0</xdr:colOff>
                    <xdr:row>53</xdr:row>
                    <xdr:rowOff>0</xdr:rowOff>
                  </from>
                  <to>
                    <xdr:col>7</xdr:col>
                    <xdr:colOff>876300</xdr:colOff>
                    <xdr:row>53</xdr:row>
                    <xdr:rowOff>198120</xdr:rowOff>
                  </to>
                </anchor>
              </controlPr>
            </control>
          </mc:Choice>
        </mc:AlternateContent>
        <mc:AlternateContent xmlns:mc="http://schemas.openxmlformats.org/markup-compatibility/2006">
          <mc:Choice Requires="x14">
            <control shapeId="673868" r:id="rId17" name="Drop Down 76">
              <controlPr defaultSize="0" autoLine="0" autoPict="0">
                <anchor moveWithCells="1">
                  <from>
                    <xdr:col>7</xdr:col>
                    <xdr:colOff>0</xdr:colOff>
                    <xdr:row>54</xdr:row>
                    <xdr:rowOff>0</xdr:rowOff>
                  </from>
                  <to>
                    <xdr:col>7</xdr:col>
                    <xdr:colOff>876300</xdr:colOff>
                    <xdr:row>54</xdr:row>
                    <xdr:rowOff>198120</xdr:rowOff>
                  </to>
                </anchor>
              </controlPr>
            </control>
          </mc:Choice>
        </mc:AlternateContent>
        <mc:AlternateContent xmlns:mc="http://schemas.openxmlformats.org/markup-compatibility/2006">
          <mc:Choice Requires="x14">
            <control shapeId="673869" r:id="rId18" name="Drop Down 77">
              <controlPr defaultSize="0" autoLine="0" autoPict="0">
                <anchor moveWithCells="1">
                  <from>
                    <xdr:col>7</xdr:col>
                    <xdr:colOff>0</xdr:colOff>
                    <xdr:row>55</xdr:row>
                    <xdr:rowOff>0</xdr:rowOff>
                  </from>
                  <to>
                    <xdr:col>7</xdr:col>
                    <xdr:colOff>876300</xdr:colOff>
                    <xdr:row>55</xdr:row>
                    <xdr:rowOff>198120</xdr:rowOff>
                  </to>
                </anchor>
              </controlPr>
            </control>
          </mc:Choice>
        </mc:AlternateContent>
        <mc:AlternateContent xmlns:mc="http://schemas.openxmlformats.org/markup-compatibility/2006">
          <mc:Choice Requires="x14">
            <control shapeId="673870" r:id="rId19" name="Drop Down 78">
              <controlPr defaultSize="0" autoLine="0" autoPict="0">
                <anchor moveWithCells="1">
                  <from>
                    <xdr:col>7</xdr:col>
                    <xdr:colOff>0</xdr:colOff>
                    <xdr:row>56</xdr:row>
                    <xdr:rowOff>0</xdr:rowOff>
                  </from>
                  <to>
                    <xdr:col>7</xdr:col>
                    <xdr:colOff>876300</xdr:colOff>
                    <xdr:row>56</xdr:row>
                    <xdr:rowOff>198120</xdr:rowOff>
                  </to>
                </anchor>
              </controlPr>
            </control>
          </mc:Choice>
        </mc:AlternateContent>
        <mc:AlternateContent xmlns:mc="http://schemas.openxmlformats.org/markup-compatibility/2006">
          <mc:Choice Requires="x14">
            <control shapeId="673871" r:id="rId20" name="Drop Down 79">
              <controlPr defaultSize="0" autoLine="0" autoPict="0">
                <anchor moveWithCells="1">
                  <from>
                    <xdr:col>7</xdr:col>
                    <xdr:colOff>0</xdr:colOff>
                    <xdr:row>57</xdr:row>
                    <xdr:rowOff>0</xdr:rowOff>
                  </from>
                  <to>
                    <xdr:col>7</xdr:col>
                    <xdr:colOff>876300</xdr:colOff>
                    <xdr:row>57</xdr:row>
                    <xdr:rowOff>198120</xdr:rowOff>
                  </to>
                </anchor>
              </controlPr>
            </control>
          </mc:Choice>
        </mc:AlternateContent>
        <mc:AlternateContent xmlns:mc="http://schemas.openxmlformats.org/markup-compatibility/2006">
          <mc:Choice Requires="x14">
            <control shapeId="673872" r:id="rId21" name="Drop Down 80">
              <controlPr defaultSize="0" autoLine="0" autoPict="0">
                <anchor moveWithCells="1">
                  <from>
                    <xdr:col>7</xdr:col>
                    <xdr:colOff>0</xdr:colOff>
                    <xdr:row>59</xdr:row>
                    <xdr:rowOff>0</xdr:rowOff>
                  </from>
                  <to>
                    <xdr:col>7</xdr:col>
                    <xdr:colOff>876300</xdr:colOff>
                    <xdr:row>59</xdr:row>
                    <xdr:rowOff>198120</xdr:rowOff>
                  </to>
                </anchor>
              </controlPr>
            </control>
          </mc:Choice>
        </mc:AlternateContent>
        <mc:AlternateContent xmlns:mc="http://schemas.openxmlformats.org/markup-compatibility/2006">
          <mc:Choice Requires="x14">
            <control shapeId="673873" r:id="rId22" name="Drop Down 81">
              <controlPr defaultSize="0" autoLine="0" autoPict="0">
                <anchor moveWithCells="1">
                  <from>
                    <xdr:col>7</xdr:col>
                    <xdr:colOff>0</xdr:colOff>
                    <xdr:row>60</xdr:row>
                    <xdr:rowOff>0</xdr:rowOff>
                  </from>
                  <to>
                    <xdr:col>7</xdr:col>
                    <xdr:colOff>876300</xdr:colOff>
                    <xdr:row>60</xdr:row>
                    <xdr:rowOff>198120</xdr:rowOff>
                  </to>
                </anchor>
              </controlPr>
            </control>
          </mc:Choice>
        </mc:AlternateContent>
        <mc:AlternateContent xmlns:mc="http://schemas.openxmlformats.org/markup-compatibility/2006">
          <mc:Choice Requires="x14">
            <control shapeId="673874" r:id="rId23" name="Drop Down 82">
              <controlPr defaultSize="0" autoLine="0" autoPict="0">
                <anchor moveWithCells="1">
                  <from>
                    <xdr:col>7</xdr:col>
                    <xdr:colOff>0</xdr:colOff>
                    <xdr:row>61</xdr:row>
                    <xdr:rowOff>0</xdr:rowOff>
                  </from>
                  <to>
                    <xdr:col>7</xdr:col>
                    <xdr:colOff>876300</xdr:colOff>
                    <xdr:row>61</xdr:row>
                    <xdr:rowOff>198120</xdr:rowOff>
                  </to>
                </anchor>
              </controlPr>
            </control>
          </mc:Choice>
        </mc:AlternateContent>
        <mc:AlternateContent xmlns:mc="http://schemas.openxmlformats.org/markup-compatibility/2006">
          <mc:Choice Requires="x14">
            <control shapeId="673877" r:id="rId24" name="Drop Down 85">
              <controlPr defaultSize="0" autoLine="0" autoPict="0">
                <anchor moveWithCells="1">
                  <from>
                    <xdr:col>7</xdr:col>
                    <xdr:colOff>0</xdr:colOff>
                    <xdr:row>47</xdr:row>
                    <xdr:rowOff>0</xdr:rowOff>
                  </from>
                  <to>
                    <xdr:col>7</xdr:col>
                    <xdr:colOff>876300</xdr:colOff>
                    <xdr:row>47</xdr:row>
                    <xdr:rowOff>198120</xdr:rowOff>
                  </to>
                </anchor>
              </controlPr>
            </control>
          </mc:Choice>
        </mc:AlternateContent>
        <mc:AlternateContent xmlns:mc="http://schemas.openxmlformats.org/markup-compatibility/2006">
          <mc:Choice Requires="x14">
            <control shapeId="673878" r:id="rId25" name="Drop Down 86">
              <controlPr defaultSize="0" autoLine="0" autoPict="0">
                <anchor moveWithCells="1">
                  <from>
                    <xdr:col>7</xdr:col>
                    <xdr:colOff>0</xdr:colOff>
                    <xdr:row>42</xdr:row>
                    <xdr:rowOff>0</xdr:rowOff>
                  </from>
                  <to>
                    <xdr:col>7</xdr:col>
                    <xdr:colOff>876300</xdr:colOff>
                    <xdr:row>42</xdr:row>
                    <xdr:rowOff>198120</xdr:rowOff>
                  </to>
                </anchor>
              </controlPr>
            </control>
          </mc:Choice>
        </mc:AlternateContent>
        <mc:AlternateContent xmlns:mc="http://schemas.openxmlformats.org/markup-compatibility/2006">
          <mc:Choice Requires="x14">
            <control shapeId="673879" r:id="rId26" name="Drop Down 87">
              <controlPr defaultSize="0" autoLine="0" autoPict="0">
                <anchor moveWithCells="1">
                  <from>
                    <xdr:col>7</xdr:col>
                    <xdr:colOff>0</xdr:colOff>
                    <xdr:row>43</xdr:row>
                    <xdr:rowOff>0</xdr:rowOff>
                  </from>
                  <to>
                    <xdr:col>7</xdr:col>
                    <xdr:colOff>876300</xdr:colOff>
                    <xdr:row>43</xdr:row>
                    <xdr:rowOff>198120</xdr:rowOff>
                  </to>
                </anchor>
              </controlPr>
            </control>
          </mc:Choice>
        </mc:AlternateContent>
        <mc:AlternateContent xmlns:mc="http://schemas.openxmlformats.org/markup-compatibility/2006">
          <mc:Choice Requires="x14">
            <control shapeId="674328" r:id="rId27" name="Drop Down 536">
              <controlPr defaultSize="0" autoLine="0" autoPict="0">
                <anchor moveWithCells="1">
                  <from>
                    <xdr:col>5</xdr:col>
                    <xdr:colOff>1173480</xdr:colOff>
                    <xdr:row>48</xdr:row>
                    <xdr:rowOff>7620</xdr:rowOff>
                  </from>
                  <to>
                    <xdr:col>6</xdr:col>
                    <xdr:colOff>640080</xdr:colOff>
                    <xdr:row>49</xdr:row>
                    <xdr:rowOff>0</xdr:rowOff>
                  </to>
                </anchor>
              </controlPr>
            </control>
          </mc:Choice>
        </mc:AlternateContent>
        <mc:AlternateContent xmlns:mc="http://schemas.openxmlformats.org/markup-compatibility/2006">
          <mc:Choice Requires="x14">
            <control shapeId="674330" r:id="rId28" name="Drop Down 538">
              <controlPr defaultSize="0" autoLine="0" autoPict="0">
                <anchor moveWithCells="1">
                  <from>
                    <xdr:col>5</xdr:col>
                    <xdr:colOff>1173480</xdr:colOff>
                    <xdr:row>49</xdr:row>
                    <xdr:rowOff>0</xdr:rowOff>
                  </from>
                  <to>
                    <xdr:col>6</xdr:col>
                    <xdr:colOff>640080</xdr:colOff>
                    <xdr:row>49</xdr:row>
                    <xdr:rowOff>198120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FF00"/>
    <pageSetUpPr fitToPage="1"/>
  </sheetPr>
  <dimension ref="A1:Y129"/>
  <sheetViews>
    <sheetView zoomScale="66" zoomScaleNormal="85" zoomScaleSheetLayoutView="80" workbookViewId="0">
      <selection activeCell="AD89" sqref="AD89"/>
    </sheetView>
  </sheetViews>
  <sheetFormatPr defaultColWidth="9.109375" defaultRowHeight="13.2" x14ac:dyDescent="0.25"/>
  <cols>
    <col min="1" max="13" width="9.109375" style="493"/>
    <col min="14" max="14" width="11.88671875" style="493" customWidth="1"/>
    <col min="15" max="16" width="9.109375" style="493"/>
    <col min="17" max="17" width="15.6640625" style="493" customWidth="1"/>
    <col min="18" max="16384" width="9.109375" style="493"/>
  </cols>
  <sheetData>
    <row r="1" spans="1:23" s="492" customFormat="1" ht="47.25" customHeight="1" x14ac:dyDescent="0.3">
      <c r="A1" s="560" t="s">
        <v>751</v>
      </c>
      <c r="B1" s="561"/>
      <c r="C1" s="561"/>
      <c r="D1" s="561"/>
      <c r="E1" s="561"/>
      <c r="F1" s="561"/>
      <c r="G1" s="561"/>
      <c r="H1" s="561"/>
      <c r="I1" s="561"/>
      <c r="J1" s="561"/>
      <c r="K1" s="561"/>
      <c r="L1" s="561"/>
      <c r="M1" s="561"/>
      <c r="N1" s="561"/>
      <c r="O1" s="561"/>
      <c r="P1" s="561"/>
      <c r="Q1" s="561"/>
    </row>
    <row r="2" spans="1:23" ht="20.399999999999999" x14ac:dyDescent="0.35">
      <c r="M2" s="494"/>
      <c r="W2" s="494"/>
    </row>
    <row r="3" spans="1:23" ht="20.399999999999999" x14ac:dyDescent="0.35">
      <c r="B3" s="494" t="s">
        <v>748</v>
      </c>
    </row>
    <row r="5" spans="1:23" ht="20.399999999999999" x14ac:dyDescent="0.25">
      <c r="O5" s="495"/>
    </row>
    <row r="6" spans="1:23" ht="20.399999999999999" x14ac:dyDescent="0.25">
      <c r="O6" s="495"/>
    </row>
    <row r="31" spans="15:15" ht="20.399999999999999" x14ac:dyDescent="0.25">
      <c r="O31" s="496"/>
    </row>
    <row r="32" spans="15:15" ht="20.399999999999999" x14ac:dyDescent="0.25">
      <c r="O32" s="495"/>
    </row>
    <row r="46" spans="2:2" ht="20.399999999999999" x14ac:dyDescent="0.35">
      <c r="B46" s="494" t="s">
        <v>760</v>
      </c>
    </row>
    <row r="50" spans="15:25" ht="20.399999999999999" x14ac:dyDescent="0.25">
      <c r="O50" s="495" t="s">
        <v>761</v>
      </c>
    </row>
    <row r="51" spans="15:25" ht="20.399999999999999" x14ac:dyDescent="0.25">
      <c r="O51" s="495" t="s">
        <v>762</v>
      </c>
      <c r="Y51" s="493" t="s">
        <v>749</v>
      </c>
    </row>
    <row r="76" spans="15:15" ht="20.399999999999999" x14ac:dyDescent="0.25">
      <c r="O76" s="496" t="s">
        <v>763</v>
      </c>
    </row>
    <row r="77" spans="15:15" ht="20.399999999999999" x14ac:dyDescent="0.25">
      <c r="O77" s="495"/>
    </row>
    <row r="102" spans="15:15" ht="20.399999999999999" x14ac:dyDescent="0.25">
      <c r="O102" s="496" t="s">
        <v>764</v>
      </c>
    </row>
    <row r="129" spans="15:15" ht="20.399999999999999" x14ac:dyDescent="0.25">
      <c r="O129" s="495" t="s">
        <v>765</v>
      </c>
    </row>
  </sheetData>
  <sheetProtection algorithmName="SHA-512" hashValue="mfqg14JXM7eQdMxfIbAbyQXXoLaBzh7E+vHpbegv5G7PmoVFz5ldxzWC/I3iiTlNv+ZGdrk2NJefeD8Bt6E9aQ==" saltValue="vwGsBJHwmwVGMufLkpoxbQ==" spinCount="100000" sheet="1" objects="1" scenarios="1" selectLockedCells="1"/>
  <mergeCells count="1">
    <mergeCell ref="A1:Q1"/>
  </mergeCells>
  <phoneticPr fontId="106"/>
  <pageMargins left="0.19" right="0.2" top="0.75" bottom="0.75" header="0.3" footer="0.3"/>
  <pageSetup scale="3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V349"/>
  <sheetViews>
    <sheetView workbookViewId="0">
      <pane ySplit="5" topLeftCell="A123" activePane="bottomLeft" state="frozenSplit"/>
      <selection pane="bottomLeft" activeCell="A6" sqref="A6"/>
    </sheetView>
  </sheetViews>
  <sheetFormatPr defaultRowHeight="13.2" x14ac:dyDescent="0.25"/>
  <cols>
    <col min="1" max="1" width="35.109375" bestFit="1" customWidth="1"/>
    <col min="2" max="2" width="19.109375" customWidth="1"/>
    <col min="7" max="7" width="18.88671875" customWidth="1"/>
    <col min="9" max="10" width="12.44140625" bestFit="1" customWidth="1"/>
    <col min="12" max="12" width="19.88671875" customWidth="1"/>
    <col min="14" max="14" width="11.44140625" customWidth="1"/>
    <col min="17" max="17" width="10.5546875" customWidth="1"/>
    <col min="20" max="20" width="10.88671875" customWidth="1"/>
    <col min="21" max="21" width="10.5546875" customWidth="1"/>
  </cols>
  <sheetData>
    <row r="1" spans="1:22" ht="40.5" customHeight="1" x14ac:dyDescent="0.5">
      <c r="A1" s="563" t="s">
        <v>286</v>
      </c>
      <c r="B1" s="563"/>
      <c r="C1" s="563"/>
      <c r="D1" s="563"/>
      <c r="E1" s="563"/>
      <c r="F1" s="563"/>
      <c r="G1" s="563"/>
      <c r="H1" s="563"/>
    </row>
    <row r="2" spans="1:22" ht="12" customHeight="1" x14ac:dyDescent="0.25">
      <c r="A2" s="56"/>
      <c r="B2" s="56" t="s">
        <v>360</v>
      </c>
      <c r="C2" s="64"/>
      <c r="D2" s="56"/>
      <c r="E2" s="56"/>
      <c r="F2" s="56"/>
      <c r="G2" s="56"/>
      <c r="H2" s="56"/>
    </row>
    <row r="3" spans="1:22" ht="11.25" customHeight="1" x14ac:dyDescent="0.25">
      <c r="A3" s="56"/>
      <c r="B3" s="56" t="s">
        <v>420</v>
      </c>
      <c r="C3" s="65"/>
      <c r="D3" s="56"/>
      <c r="E3" s="56"/>
      <c r="F3" s="56"/>
      <c r="G3" s="56"/>
      <c r="H3" s="56"/>
    </row>
    <row r="4" spans="1:22" ht="11.25" customHeight="1" x14ac:dyDescent="0.25">
      <c r="A4" s="56"/>
      <c r="B4" s="56" t="s">
        <v>361</v>
      </c>
      <c r="C4" s="66"/>
      <c r="D4" s="56"/>
      <c r="E4" s="56"/>
      <c r="F4" s="56"/>
      <c r="G4" s="56"/>
      <c r="H4" s="56"/>
    </row>
    <row r="5" spans="1:22" x14ac:dyDescent="0.25">
      <c r="A5" s="2" t="s">
        <v>113</v>
      </c>
      <c r="B5" s="2" t="s">
        <v>8</v>
      </c>
      <c r="C5" s="2" t="s">
        <v>9</v>
      </c>
      <c r="D5" s="562" t="s">
        <v>13</v>
      </c>
      <c r="E5" s="562"/>
      <c r="F5" s="562"/>
      <c r="G5" s="562"/>
      <c r="H5" s="2" t="s">
        <v>38</v>
      </c>
    </row>
    <row r="6" spans="1:22" ht="16.2" thickBot="1" x14ac:dyDescent="0.35">
      <c r="A6" s="133" t="s">
        <v>288</v>
      </c>
      <c r="B6" s="2"/>
      <c r="C6" s="2"/>
      <c r="D6" s="56"/>
      <c r="E6" s="56"/>
      <c r="F6" s="56"/>
      <c r="G6" s="56"/>
      <c r="H6" s="2"/>
    </row>
    <row r="7" spans="1:22" x14ac:dyDescent="0.25">
      <c r="A7" s="134" t="s">
        <v>4</v>
      </c>
      <c r="B7" s="18">
        <f>'Design Regulator'!E7</f>
        <v>24</v>
      </c>
      <c r="C7" s="94" t="s">
        <v>0</v>
      </c>
      <c r="D7" s="94" t="s">
        <v>14</v>
      </c>
      <c r="E7" s="94"/>
      <c r="F7" s="94"/>
      <c r="G7" s="94"/>
      <c r="H7" s="95">
        <v>1</v>
      </c>
      <c r="U7" s="428" t="s">
        <v>755</v>
      </c>
      <c r="V7" s="500">
        <v>1</v>
      </c>
    </row>
    <row r="8" spans="1:22" x14ac:dyDescent="0.25">
      <c r="A8" s="389" t="s">
        <v>577</v>
      </c>
      <c r="B8" s="39">
        <f>'Design Regulator'!E6</f>
        <v>18</v>
      </c>
      <c r="C8" s="171" t="s">
        <v>0</v>
      </c>
      <c r="D8" s="171" t="s">
        <v>580</v>
      </c>
      <c r="H8" s="88"/>
      <c r="U8" s="428" t="s">
        <v>756</v>
      </c>
      <c r="V8" s="500">
        <v>2</v>
      </c>
    </row>
    <row r="9" spans="1:22" x14ac:dyDescent="0.25">
      <c r="A9" s="389" t="s">
        <v>576</v>
      </c>
      <c r="B9" s="39">
        <f>'Design Regulator'!E8</f>
        <v>36</v>
      </c>
      <c r="C9" s="171" t="s">
        <v>0</v>
      </c>
      <c r="D9" s="171" t="s">
        <v>581</v>
      </c>
      <c r="H9" s="88"/>
      <c r="U9" s="428" t="s">
        <v>757</v>
      </c>
      <c r="V9" s="500">
        <v>3</v>
      </c>
    </row>
    <row r="10" spans="1:22" x14ac:dyDescent="0.25">
      <c r="A10" s="87" t="s">
        <v>5</v>
      </c>
      <c r="B10" s="39">
        <f>'Design Regulator'!E9</f>
        <v>5.0999999999999996</v>
      </c>
      <c r="C10" t="s">
        <v>0</v>
      </c>
      <c r="D10" t="s">
        <v>1</v>
      </c>
      <c r="H10" s="88">
        <v>1</v>
      </c>
      <c r="U10" s="428" t="s">
        <v>758</v>
      </c>
      <c r="V10" s="500">
        <v>4</v>
      </c>
    </row>
    <row r="11" spans="1:22" x14ac:dyDescent="0.25">
      <c r="A11" s="87" t="s">
        <v>6</v>
      </c>
      <c r="B11" s="39">
        <f>'Design Regulator'!E10</f>
        <v>6</v>
      </c>
      <c r="C11" t="s">
        <v>2</v>
      </c>
      <c r="D11" t="s">
        <v>15</v>
      </c>
      <c r="H11" s="88">
        <v>1</v>
      </c>
      <c r="U11" s="428" t="s">
        <v>747</v>
      </c>
      <c r="V11" s="500">
        <v>5</v>
      </c>
    </row>
    <row r="12" spans="1:22" x14ac:dyDescent="0.25">
      <c r="A12" s="89" t="s">
        <v>7</v>
      </c>
      <c r="B12" s="354">
        <f>IF(AND('Design Regulator'!E12&lt;='Design Regulator'!E11*1.5, 'Design Regulator'!E12&gt;='Design Regulator'!E11*0.8), 'Design Regulator'!E12*1000, 'Design Regulator'!E11*1000)</f>
        <v>300000</v>
      </c>
      <c r="C12" s="171" t="s">
        <v>10</v>
      </c>
      <c r="D12" t="s">
        <v>16</v>
      </c>
      <c r="H12" s="88">
        <v>1</v>
      </c>
      <c r="T12" s="384" t="s">
        <v>752</v>
      </c>
      <c r="U12" s="501" t="str">
        <f>CHOOSE(VARIANT, "LM5145", "LM5145-Q1", "LM25145", "LM5146", "LM5146-Q1")</f>
        <v>LM25145</v>
      </c>
      <c r="V12" s="384">
        <v>3</v>
      </c>
    </row>
    <row r="13" spans="1:22" x14ac:dyDescent="0.25">
      <c r="A13" s="389" t="s">
        <v>710</v>
      </c>
      <c r="B13" s="354">
        <f>'Design Regulator'!E11*1000</f>
        <v>300000</v>
      </c>
      <c r="C13" s="171" t="s">
        <v>10</v>
      </c>
      <c r="D13" s="171" t="s">
        <v>711</v>
      </c>
      <c r="H13" s="88"/>
      <c r="T13" s="384" t="s">
        <v>753</v>
      </c>
      <c r="U13" s="501">
        <f>CHOOSE(VARIANT, 75, 75, 42, 100, 100)</f>
        <v>42</v>
      </c>
      <c r="V13" t="s">
        <v>0</v>
      </c>
    </row>
    <row r="14" spans="1:22" x14ac:dyDescent="0.25">
      <c r="A14" s="89" t="s">
        <v>78</v>
      </c>
      <c r="B14" s="90">
        <v>0.8</v>
      </c>
      <c r="C14" t="s">
        <v>0</v>
      </c>
      <c r="D14" t="s">
        <v>79</v>
      </c>
      <c r="H14" s="88"/>
      <c r="T14" s="384" t="s">
        <v>759</v>
      </c>
      <c r="U14" s="501">
        <f>CHOOSE(VARIANT, 6, 6, 6, 5.5, 5.5)</f>
        <v>6</v>
      </c>
      <c r="V14" s="171" t="s">
        <v>0</v>
      </c>
    </row>
    <row r="15" spans="1:22" x14ac:dyDescent="0.25">
      <c r="A15" s="306" t="s">
        <v>575</v>
      </c>
      <c r="B15" s="166">
        <f>1/(B13*0.0000000001)</f>
        <v>33333.333333333336</v>
      </c>
      <c r="C15" s="309" t="s">
        <v>208</v>
      </c>
      <c r="H15" s="88"/>
      <c r="T15" s="384" t="s">
        <v>754</v>
      </c>
      <c r="U15" s="501">
        <f>CHOOSE(VARIANT, 60, 60, 42, 60, 60)</f>
        <v>42</v>
      </c>
      <c r="V15" s="171" t="s">
        <v>0</v>
      </c>
    </row>
    <row r="16" spans="1:22" x14ac:dyDescent="0.25">
      <c r="A16" s="389"/>
      <c r="B16" s="63"/>
      <c r="C16" s="309"/>
      <c r="H16" s="88"/>
    </row>
    <row r="17" spans="1:22" x14ac:dyDescent="0.25">
      <c r="A17" s="389" t="s">
        <v>694</v>
      </c>
      <c r="B17" s="454">
        <f>B38/Fsw*1000000000</f>
        <v>478.33333333333331</v>
      </c>
      <c r="C17" s="171" t="s">
        <v>147</v>
      </c>
      <c r="H17" s="88"/>
    </row>
    <row r="18" spans="1:22" x14ac:dyDescent="0.25">
      <c r="A18" s="306" t="s">
        <v>693</v>
      </c>
      <c r="B18" s="455">
        <f>B37/Fsw*1000000000</f>
        <v>2376.666666666667</v>
      </c>
      <c r="C18" s="171" t="s">
        <v>147</v>
      </c>
      <c r="H18" s="88"/>
    </row>
    <row r="19" spans="1:22" ht="13.8" thickBot="1" x14ac:dyDescent="0.3">
      <c r="A19" s="91"/>
      <c r="B19" s="157"/>
      <c r="C19" s="92"/>
      <c r="D19" s="92"/>
      <c r="E19" s="92"/>
      <c r="F19" s="92"/>
      <c r="G19" s="92"/>
      <c r="H19" s="93"/>
      <c r="U19" s="428" t="s">
        <v>771</v>
      </c>
      <c r="V19" s="173">
        <v>1</v>
      </c>
    </row>
    <row r="20" spans="1:22" x14ac:dyDescent="0.25">
      <c r="U20" s="428" t="s">
        <v>766</v>
      </c>
      <c r="V20" s="173">
        <v>2</v>
      </c>
    </row>
    <row r="21" spans="1:22" x14ac:dyDescent="0.25">
      <c r="U21" s="502" t="s">
        <v>767</v>
      </c>
      <c r="V21" s="384">
        <v>1</v>
      </c>
    </row>
    <row r="22" spans="1:22" ht="16.2" thickBot="1" x14ac:dyDescent="0.35">
      <c r="A22" s="133" t="s">
        <v>112</v>
      </c>
    </row>
    <row r="23" spans="1:22" x14ac:dyDescent="0.25">
      <c r="A23" s="135" t="s">
        <v>19</v>
      </c>
      <c r="B23" s="390">
        <f>Vout/Vin</f>
        <v>0.21249999999999999</v>
      </c>
      <c r="C23" s="94" t="s">
        <v>23</v>
      </c>
      <c r="D23" s="94" t="s">
        <v>17</v>
      </c>
      <c r="E23" s="94"/>
      <c r="F23" s="94"/>
      <c r="G23" s="94"/>
      <c r="H23" s="95">
        <v>1</v>
      </c>
    </row>
    <row r="24" spans="1:22" x14ac:dyDescent="0.25">
      <c r="A24" s="96" t="s">
        <v>20</v>
      </c>
      <c r="B24" s="392">
        <f>1-23:23</f>
        <v>0.78749999999999998</v>
      </c>
      <c r="C24" t="s">
        <v>23</v>
      </c>
      <c r="D24" t="s">
        <v>18</v>
      </c>
      <c r="H24" s="88">
        <v>1</v>
      </c>
    </row>
    <row r="25" spans="1:22" x14ac:dyDescent="0.25">
      <c r="A25" s="393" t="s">
        <v>687</v>
      </c>
      <c r="B25" s="392">
        <f>Vout/Vinmin</f>
        <v>0.28333333333333333</v>
      </c>
      <c r="H25" s="88"/>
    </row>
    <row r="26" spans="1:22" x14ac:dyDescent="0.25">
      <c r="A26" s="393" t="s">
        <v>688</v>
      </c>
      <c r="B26" s="392">
        <f>1-B25</f>
        <v>0.71666666666666667</v>
      </c>
      <c r="H26" s="88"/>
    </row>
    <row r="27" spans="1:22" x14ac:dyDescent="0.25">
      <c r="A27" s="393" t="s">
        <v>579</v>
      </c>
      <c r="B27" s="392">
        <f>Vout/Vinmax</f>
        <v>0.14166666666666666</v>
      </c>
      <c r="H27" s="88"/>
    </row>
    <row r="28" spans="1:22" x14ac:dyDescent="0.25">
      <c r="A28" s="393" t="s">
        <v>578</v>
      </c>
      <c r="B28" s="392">
        <f>1-B27</f>
        <v>0.85833333333333339</v>
      </c>
      <c r="H28" s="88"/>
    </row>
    <row r="29" spans="1:22" x14ac:dyDescent="0.25">
      <c r="A29" s="393"/>
      <c r="B29" s="396"/>
      <c r="H29" s="88"/>
    </row>
    <row r="30" spans="1:22" x14ac:dyDescent="0.25">
      <c r="A30" s="96" t="s">
        <v>31</v>
      </c>
      <c r="B30" s="360">
        <f>(Vin-Vout)*_Don1/(Fsw*Iout*0.333)</f>
        <v>6.7004504504504497E-6</v>
      </c>
      <c r="C30" t="s">
        <v>24</v>
      </c>
      <c r="D30" t="s">
        <v>421</v>
      </c>
      <c r="H30" s="88">
        <v>1</v>
      </c>
    </row>
    <row r="31" spans="1:22" x14ac:dyDescent="0.25">
      <c r="A31" s="87" t="s">
        <v>32</v>
      </c>
      <c r="B31" s="114">
        <f>'Design Regulator'!E17/1000000</f>
        <v>1.0000000000000001E-5</v>
      </c>
      <c r="C31" t="s">
        <v>24</v>
      </c>
      <c r="D31" s="171" t="s">
        <v>543</v>
      </c>
      <c r="H31" s="88">
        <v>2</v>
      </c>
    </row>
    <row r="32" spans="1:22" x14ac:dyDescent="0.25">
      <c r="A32" s="87" t="s">
        <v>12</v>
      </c>
      <c r="B32" s="39">
        <f>'Design Regulator'!E18/1000</f>
        <v>5.0000000000000001E-3</v>
      </c>
      <c r="C32" s="309" t="s">
        <v>208</v>
      </c>
      <c r="D32" s="171" t="s">
        <v>419</v>
      </c>
      <c r="H32" s="88">
        <v>1</v>
      </c>
    </row>
    <row r="33" spans="1:18" x14ac:dyDescent="0.25">
      <c r="A33" s="388"/>
      <c r="C33" s="309"/>
      <c r="D33" s="171"/>
      <c r="H33" s="88"/>
    </row>
    <row r="34" spans="1:18" x14ac:dyDescent="0.25">
      <c r="A34" s="306" t="s">
        <v>21</v>
      </c>
      <c r="B34" s="453">
        <f>(Vout+(Rdcr+RdsonBot)*Iout)/(Vin+(RdsonBot-RdsonTop)*Iout)</f>
        <v>0.21524999999999997</v>
      </c>
      <c r="D34" s="2" t="s">
        <v>422</v>
      </c>
      <c r="H34" s="88">
        <v>2</v>
      </c>
    </row>
    <row r="35" spans="1:18" x14ac:dyDescent="0.25">
      <c r="A35" s="306" t="s">
        <v>22</v>
      </c>
      <c r="B35" s="453">
        <f>1-_Don2</f>
        <v>0.78475000000000006</v>
      </c>
      <c r="D35" s="2" t="s">
        <v>423</v>
      </c>
      <c r="H35" s="88">
        <v>2</v>
      </c>
    </row>
    <row r="36" spans="1:18" x14ac:dyDescent="0.25">
      <c r="A36" s="389" t="s">
        <v>689</v>
      </c>
      <c r="B36" s="453">
        <f>(Vout+(Rdcr+RdsonBot)*Iout)/(Vinmin+(RdsonBot-RdsonTop)*Iout)</f>
        <v>0.28699999999999998</v>
      </c>
      <c r="H36" s="88"/>
    </row>
    <row r="37" spans="1:18" x14ac:dyDescent="0.25">
      <c r="A37" s="389" t="s">
        <v>690</v>
      </c>
      <c r="B37" s="453">
        <f>1-B36</f>
        <v>0.71300000000000008</v>
      </c>
      <c r="H37" s="88"/>
    </row>
    <row r="38" spans="1:18" x14ac:dyDescent="0.25">
      <c r="A38" s="389" t="s">
        <v>691</v>
      </c>
      <c r="B38" s="453">
        <f>(Vout+(Rdcr+RdsonBot)*Iout)/(Vinmax+(RdsonBot-RdsonTop)*Iout)</f>
        <v>0.14349999999999999</v>
      </c>
      <c r="H38" s="88"/>
      <c r="L38" s="467" t="s">
        <v>740</v>
      </c>
      <c r="M38" s="468">
        <v>100</v>
      </c>
      <c r="N38" s="469">
        <v>1</v>
      </c>
    </row>
    <row r="39" spans="1:18" x14ac:dyDescent="0.25">
      <c r="A39" s="389" t="s">
        <v>692</v>
      </c>
      <c r="B39" s="453">
        <f>1-B38</f>
        <v>0.85650000000000004</v>
      </c>
      <c r="H39" s="88"/>
      <c r="L39" s="467" t="s">
        <v>628</v>
      </c>
      <c r="M39" s="468">
        <v>47</v>
      </c>
      <c r="N39" s="469">
        <v>2</v>
      </c>
    </row>
    <row r="40" spans="1:18" x14ac:dyDescent="0.25">
      <c r="A40" s="393"/>
      <c r="B40" s="1"/>
      <c r="H40" s="88"/>
      <c r="L40" s="467" t="s">
        <v>630</v>
      </c>
      <c r="M40" s="468">
        <v>22</v>
      </c>
      <c r="N40" s="469">
        <v>3</v>
      </c>
    </row>
    <row r="41" spans="1:18" x14ac:dyDescent="0.25">
      <c r="A41" s="87" t="s">
        <v>26</v>
      </c>
      <c r="B41" s="98">
        <f>'Design Regulator'!E31/1000</f>
        <v>0.02</v>
      </c>
      <c r="C41" t="s">
        <v>0</v>
      </c>
      <c r="D41" t="s">
        <v>27</v>
      </c>
      <c r="H41" s="88">
        <v>1</v>
      </c>
      <c r="L41" s="467" t="s">
        <v>632</v>
      </c>
      <c r="M41" s="468">
        <v>22</v>
      </c>
      <c r="N41" s="469">
        <v>4</v>
      </c>
    </row>
    <row r="42" spans="1:18" x14ac:dyDescent="0.25">
      <c r="A42" s="99" t="s">
        <v>33</v>
      </c>
      <c r="B42" s="391">
        <f>(Vin-Vout)*_Don2/(Fsw*Lout2)</f>
        <v>1.3560749999999995</v>
      </c>
      <c r="C42" t="s">
        <v>2</v>
      </c>
      <c r="D42" s="171" t="s">
        <v>544</v>
      </c>
      <c r="H42" s="88">
        <v>1</v>
      </c>
      <c r="L42" s="428" t="s">
        <v>657</v>
      </c>
      <c r="M42" s="468">
        <v>10</v>
      </c>
      <c r="N42" s="469">
        <v>5</v>
      </c>
    </row>
    <row r="43" spans="1:18" x14ac:dyDescent="0.25">
      <c r="A43" s="99" t="s">
        <v>411</v>
      </c>
      <c r="B43" s="391">
        <f>Rdcr*(1+0.0039*(F43-25))</f>
        <v>6.4625000000000004E-3</v>
      </c>
      <c r="C43" t="s">
        <v>25</v>
      </c>
      <c r="E43" t="s">
        <v>412</v>
      </c>
      <c r="F43">
        <v>100</v>
      </c>
      <c r="H43" s="88"/>
      <c r="L43" s="428" t="s">
        <v>658</v>
      </c>
      <c r="M43" s="468">
        <v>4.7</v>
      </c>
      <c r="N43" s="469">
        <v>6</v>
      </c>
    </row>
    <row r="44" spans="1:18" ht="13.8" thickBot="1" x14ac:dyDescent="0.3">
      <c r="A44" s="100" t="s">
        <v>356</v>
      </c>
      <c r="B44" s="101">
        <f>Lout2/Rdcr</f>
        <v>2E-3</v>
      </c>
      <c r="C44" s="92" t="s">
        <v>265</v>
      </c>
      <c r="D44" s="92" t="s">
        <v>357</v>
      </c>
      <c r="E44" s="92"/>
      <c r="F44" s="92"/>
      <c r="G44" s="92"/>
      <c r="H44" s="93"/>
      <c r="L44" s="470" t="s">
        <v>714</v>
      </c>
      <c r="M44" s="471" t="str">
        <f>CHOOSE(N44,"100", "47","22","22","10", "4.7")</f>
        <v>47</v>
      </c>
      <c r="N44" s="384">
        <f>IF(Vout&lt;5, 1, IF(Vout&lt;=8, 2, IF(Vout&lt;=12, 3, IF(Vout&lt;=20, 4, IF(Vout&lt;=42, 5, 6)))))</f>
        <v>2</v>
      </c>
      <c r="Q44" s="431" t="s">
        <v>715</v>
      </c>
      <c r="R44" s="173">
        <v>1</v>
      </c>
    </row>
    <row r="45" spans="1:18" x14ac:dyDescent="0.25">
      <c r="A45" s="2"/>
      <c r="B45" s="1"/>
      <c r="Q45" s="431" t="s">
        <v>716</v>
      </c>
      <c r="R45" s="173">
        <v>2</v>
      </c>
    </row>
    <row r="46" spans="1:18" ht="16.2" thickBot="1" x14ac:dyDescent="0.35">
      <c r="A46" s="133" t="s">
        <v>275</v>
      </c>
      <c r="B46" s="1"/>
    </row>
    <row r="47" spans="1:18" x14ac:dyDescent="0.25">
      <c r="A47" s="136"/>
      <c r="B47" s="137"/>
      <c r="C47" s="94"/>
      <c r="D47" s="94"/>
      <c r="E47" s="94"/>
      <c r="F47" s="94"/>
      <c r="G47" s="94"/>
      <c r="H47" s="95"/>
    </row>
    <row r="48" spans="1:18" x14ac:dyDescent="0.25">
      <c r="A48" s="99"/>
      <c r="B48" s="165"/>
      <c r="H48" s="88"/>
      <c r="L48" s="431" t="s">
        <v>682</v>
      </c>
      <c r="M48" s="173">
        <v>1</v>
      </c>
      <c r="N48" s="431" t="s">
        <v>679</v>
      </c>
      <c r="O48" s="63">
        <v>30</v>
      </c>
    </row>
    <row r="49" spans="1:19" x14ac:dyDescent="0.25">
      <c r="A49" s="99" t="s">
        <v>611</v>
      </c>
      <c r="B49" s="165">
        <f>'Design Regulator'!E25</f>
        <v>6.5</v>
      </c>
      <c r="H49" s="88"/>
      <c r="L49" s="431" t="s">
        <v>683</v>
      </c>
      <c r="M49" s="173">
        <v>2</v>
      </c>
      <c r="N49" s="431" t="s">
        <v>680</v>
      </c>
      <c r="O49" s="63">
        <v>10.9</v>
      </c>
    </row>
    <row r="50" spans="1:19" x14ac:dyDescent="0.25">
      <c r="A50" s="87" t="s">
        <v>273</v>
      </c>
      <c r="B50" s="386">
        <f>'Design Regulator'!E25-Iripple1/2</f>
        <v>5.8219625000000006</v>
      </c>
      <c r="C50" t="s">
        <v>2</v>
      </c>
      <c r="D50" s="171" t="s">
        <v>582</v>
      </c>
      <c r="H50" s="88"/>
      <c r="L50" s="431" t="s">
        <v>684</v>
      </c>
      <c r="M50" s="173">
        <v>3</v>
      </c>
      <c r="N50" s="431" t="s">
        <v>686</v>
      </c>
      <c r="O50" s="63">
        <v>66</v>
      </c>
    </row>
    <row r="51" spans="1:19" x14ac:dyDescent="0.25">
      <c r="A51" s="389" t="s">
        <v>606</v>
      </c>
      <c r="B51" s="395">
        <f>ROUND('Design Regulator'!E25+Iripple1/2,0)*1.2</f>
        <v>8.4</v>
      </c>
      <c r="C51" s="171" t="s">
        <v>2</v>
      </c>
      <c r="D51" s="171"/>
      <c r="H51" s="88"/>
      <c r="L51" s="431" t="s">
        <v>685</v>
      </c>
      <c r="M51" s="173">
        <v>4</v>
      </c>
      <c r="N51" s="431" t="s">
        <v>681</v>
      </c>
      <c r="O51" s="63">
        <v>150</v>
      </c>
    </row>
    <row r="52" spans="1:19" x14ac:dyDescent="0.25">
      <c r="A52" s="389"/>
      <c r="B52" s="401"/>
      <c r="C52" s="171"/>
      <c r="D52" s="171"/>
      <c r="H52" s="88"/>
      <c r="K52" s="429" t="s">
        <v>661</v>
      </c>
      <c r="L52" s="383" t="str">
        <f>CHOOSE(M52, L48, L49, L50, L51)</f>
        <v>SON 5 x 6</v>
      </c>
      <c r="M52" s="384">
        <v>1</v>
      </c>
    </row>
    <row r="53" spans="1:19" x14ac:dyDescent="0.25">
      <c r="A53" s="306" t="s">
        <v>591</v>
      </c>
      <c r="B53" s="102">
        <v>2.0000000000000001E-4</v>
      </c>
      <c r="C53" t="s">
        <v>2</v>
      </c>
      <c r="D53" s="171" t="s">
        <v>583</v>
      </c>
      <c r="H53" s="88"/>
    </row>
    <row r="54" spans="1:19" ht="15.6" x14ac:dyDescent="0.35">
      <c r="A54" s="389" t="s">
        <v>592</v>
      </c>
      <c r="B54" s="102">
        <v>1E-4</v>
      </c>
      <c r="C54" t="s">
        <v>2</v>
      </c>
      <c r="D54" s="171" t="s">
        <v>584</v>
      </c>
      <c r="H54" s="88"/>
      <c r="L54" s="171" t="s">
        <v>602</v>
      </c>
      <c r="M54" s="173">
        <v>1</v>
      </c>
    </row>
    <row r="55" spans="1:19" x14ac:dyDescent="0.25">
      <c r="A55" s="306" t="s">
        <v>593</v>
      </c>
      <c r="B55" s="387">
        <f>ILimit*RdsonBot/Ilim1</f>
        <v>174.65887500000002</v>
      </c>
      <c r="C55" s="309" t="s">
        <v>208</v>
      </c>
      <c r="D55" s="171" t="s">
        <v>587</v>
      </c>
      <c r="H55" s="88"/>
      <c r="L55" s="171" t="s">
        <v>603</v>
      </c>
      <c r="M55" s="173">
        <v>2</v>
      </c>
    </row>
    <row r="56" spans="1:19" x14ac:dyDescent="0.25">
      <c r="A56" s="306" t="s">
        <v>594</v>
      </c>
      <c r="B56" s="104">
        <f>'Standard Value Calculator'!S6</f>
        <v>174</v>
      </c>
      <c r="C56" s="309" t="s">
        <v>208</v>
      </c>
      <c r="D56" s="171" t="s">
        <v>586</v>
      </c>
      <c r="H56" s="88"/>
      <c r="K56" s="429" t="s">
        <v>660</v>
      </c>
      <c r="L56" s="383" t="str">
        <f>CHOOSE(RDSON_sense, L54,L55)</f>
        <v>RDS(on) sensing</v>
      </c>
      <c r="M56" s="384">
        <v>1</v>
      </c>
      <c r="N56" s="171" t="s">
        <v>574</v>
      </c>
    </row>
    <row r="57" spans="1:19" x14ac:dyDescent="0.25">
      <c r="H57" s="88"/>
      <c r="L57" s="384"/>
      <c r="M57" s="171"/>
    </row>
    <row r="58" spans="1:19" x14ac:dyDescent="0.25">
      <c r="A58" s="389" t="s">
        <v>585</v>
      </c>
      <c r="B58" s="394">
        <f>'Design Regulator'!E24/1000</f>
        <v>6.0000000000000001E-3</v>
      </c>
      <c r="C58" s="309" t="s">
        <v>208</v>
      </c>
      <c r="H58" s="88"/>
      <c r="J58" s="383"/>
      <c r="L58" s="384"/>
      <c r="M58" s="171"/>
    </row>
    <row r="59" spans="1:19" x14ac:dyDescent="0.25">
      <c r="A59" s="389" t="s">
        <v>590</v>
      </c>
      <c r="B59" s="104">
        <f>ILimit*Rshunt/Ilim2</f>
        <v>349.31775000000005</v>
      </c>
      <c r="C59" s="309" t="s">
        <v>208</v>
      </c>
      <c r="H59" s="88"/>
      <c r="K59" s="428" t="s">
        <v>740</v>
      </c>
      <c r="L59" s="2" t="s">
        <v>627</v>
      </c>
      <c r="M59" s="173">
        <v>1</v>
      </c>
      <c r="Q59" s="428"/>
      <c r="R59" s="2"/>
      <c r="S59" s="173"/>
    </row>
    <row r="60" spans="1:19" x14ac:dyDescent="0.25">
      <c r="A60" s="306" t="s">
        <v>595</v>
      </c>
      <c r="B60" s="105">
        <f>'Standard Value Calculator'!S22</f>
        <v>348</v>
      </c>
      <c r="C60" s="309" t="s">
        <v>208</v>
      </c>
      <c r="D60" s="171" t="s">
        <v>586</v>
      </c>
      <c r="H60" s="88"/>
      <c r="K60" s="428" t="s">
        <v>628</v>
      </c>
      <c r="L60" s="2" t="s">
        <v>629</v>
      </c>
      <c r="M60" s="173">
        <v>2</v>
      </c>
      <c r="Q60" s="428" t="s">
        <v>669</v>
      </c>
      <c r="R60" s="2" t="s">
        <v>629</v>
      </c>
      <c r="S60" s="173">
        <v>1</v>
      </c>
    </row>
    <row r="61" spans="1:19" x14ac:dyDescent="0.25">
      <c r="A61" s="389"/>
      <c r="B61" s="105"/>
      <c r="C61" s="309"/>
      <c r="D61" s="171"/>
      <c r="H61" s="88"/>
      <c r="K61" s="428" t="s">
        <v>630</v>
      </c>
      <c r="L61" s="2" t="s">
        <v>631</v>
      </c>
      <c r="M61" s="173">
        <v>3</v>
      </c>
      <c r="Q61" s="428" t="s">
        <v>670</v>
      </c>
      <c r="R61" s="2" t="s">
        <v>631</v>
      </c>
      <c r="S61" s="173">
        <v>2</v>
      </c>
    </row>
    <row r="62" spans="1:19" x14ac:dyDescent="0.25">
      <c r="A62" s="306" t="s">
        <v>589</v>
      </c>
      <c r="B62" s="394">
        <f>ROUND(((1-Don_Vinmax)*Iout)^2*Rshunt,2)</f>
        <v>0.16</v>
      </c>
      <c r="C62" s="171" t="s">
        <v>208</v>
      </c>
      <c r="H62" s="88"/>
      <c r="K62" s="428" t="s">
        <v>632</v>
      </c>
      <c r="L62" s="2" t="s">
        <v>633</v>
      </c>
      <c r="M62" s="173">
        <v>4</v>
      </c>
      <c r="Q62" s="428" t="s">
        <v>671</v>
      </c>
      <c r="R62" s="2" t="s">
        <v>633</v>
      </c>
      <c r="S62" s="173">
        <v>3</v>
      </c>
    </row>
    <row r="63" spans="1:19" x14ac:dyDescent="0.25">
      <c r="A63" s="389"/>
      <c r="B63" s="394"/>
      <c r="C63" s="171"/>
      <c r="H63" s="88"/>
      <c r="K63" s="428"/>
      <c r="L63" s="2"/>
      <c r="M63" s="173"/>
      <c r="Q63" s="428"/>
      <c r="R63" s="2"/>
      <c r="S63" s="173"/>
    </row>
    <row r="64" spans="1:19" x14ac:dyDescent="0.25">
      <c r="A64" s="87" t="s">
        <v>700</v>
      </c>
      <c r="B64" s="464">
        <f>0.000000006/Rilim_Rdson_ideal - 0.000000000002</f>
        <v>3.2352677469152362E-11</v>
      </c>
      <c r="C64" s="171" t="s">
        <v>34</v>
      </c>
      <c r="D64" t="s">
        <v>704</v>
      </c>
      <c r="H64" s="88"/>
      <c r="K64" s="428" t="s">
        <v>657</v>
      </c>
      <c r="L64" s="2" t="s">
        <v>634</v>
      </c>
      <c r="M64" s="173">
        <v>5</v>
      </c>
      <c r="Q64" s="428" t="s">
        <v>672</v>
      </c>
      <c r="R64" s="2" t="s">
        <v>634</v>
      </c>
      <c r="S64" s="173">
        <v>4</v>
      </c>
    </row>
    <row r="65" spans="1:19" x14ac:dyDescent="0.25">
      <c r="A65" s="87" t="s">
        <v>701</v>
      </c>
      <c r="B65" s="104">
        <f>'Standard Value Calculator'!S23</f>
        <v>33</v>
      </c>
      <c r="C65" s="171" t="s">
        <v>53</v>
      </c>
      <c r="H65" s="88"/>
      <c r="K65" s="428" t="s">
        <v>658</v>
      </c>
      <c r="L65" s="2" t="s">
        <v>659</v>
      </c>
      <c r="M65" s="173">
        <v>6</v>
      </c>
      <c r="Q65" s="428" t="s">
        <v>673</v>
      </c>
      <c r="R65" s="2" t="s">
        <v>659</v>
      </c>
      <c r="S65" s="173">
        <v>5</v>
      </c>
    </row>
    <row r="66" spans="1:19" ht="13.8" thickBot="1" x14ac:dyDescent="0.3">
      <c r="A66" s="91" t="s">
        <v>289</v>
      </c>
      <c r="B66" s="107" t="e">
        <f>Ics*Rset/Rdcr-Iripple1/2</f>
        <v>#NAME?</v>
      </c>
      <c r="C66" s="92" t="s">
        <v>2</v>
      </c>
      <c r="D66" s="175" t="s">
        <v>480</v>
      </c>
      <c r="E66" s="92"/>
      <c r="F66" s="92"/>
      <c r="G66" s="92"/>
      <c r="H66" s="93"/>
      <c r="K66" s="429" t="s">
        <v>635</v>
      </c>
      <c r="L66" s="383" t="str">
        <f>CHOOSE(M66,"6.3V","10V","16V","25V","50V","100V")</f>
        <v>10V</v>
      </c>
      <c r="M66" s="384">
        <f>IF(Vout&lt;5, 1, IF(Vout&lt;=8, 2, IF(Vout&lt;=12, 3, IF(Vout&lt;=20, 4,  IF(Vout&lt;=42, 5, 6)))))</f>
        <v>2</v>
      </c>
      <c r="Q66" s="429" t="s">
        <v>668</v>
      </c>
      <c r="R66" s="383" t="str">
        <f>CHOOSE(S66,"10V","16V","25V","50V","100V")</f>
        <v>50V</v>
      </c>
      <c r="S66" s="384">
        <f>IF(Vinmax&lt;=8,1,IF(Vinmax&lt;=12,2,IF(Vinmax&lt;=20,3,IF(Vinmax&lt;=42,4,5))))</f>
        <v>4</v>
      </c>
    </row>
    <row r="68" spans="1:19" ht="16.2" thickBot="1" x14ac:dyDescent="0.35">
      <c r="A68" s="133" t="s">
        <v>276</v>
      </c>
    </row>
    <row r="69" spans="1:19" x14ac:dyDescent="0.25">
      <c r="A69" s="134" t="s">
        <v>284</v>
      </c>
      <c r="B69" s="449">
        <f>Iripple1/SQRT(3)/2</f>
        <v>0.39146513314566073</v>
      </c>
      <c r="C69" s="174" t="s">
        <v>2</v>
      </c>
      <c r="D69" s="174" t="s">
        <v>481</v>
      </c>
      <c r="E69" s="94"/>
      <c r="F69" s="94"/>
      <c r="G69" s="94"/>
      <c r="H69" s="95"/>
      <c r="L69" s="430" t="s">
        <v>636</v>
      </c>
      <c r="M69" s="173">
        <v>1</v>
      </c>
      <c r="N69" s="171" t="s">
        <v>637</v>
      </c>
      <c r="O69" s="63">
        <v>0.5</v>
      </c>
    </row>
    <row r="70" spans="1:19" x14ac:dyDescent="0.25">
      <c r="A70" s="96" t="s">
        <v>29</v>
      </c>
      <c r="B70" s="97">
        <f>(Iripple1/(Vripple1*Fsw*8))</f>
        <v>2.825156249999999E-5</v>
      </c>
      <c r="C70" t="s">
        <v>34</v>
      </c>
      <c r="D70" t="s">
        <v>28</v>
      </c>
      <c r="H70" s="88">
        <v>1</v>
      </c>
      <c r="L70" s="430" t="s">
        <v>501</v>
      </c>
      <c r="M70" s="173">
        <v>2</v>
      </c>
      <c r="N70" s="171" t="s">
        <v>638</v>
      </c>
      <c r="O70" s="63">
        <v>1.3</v>
      </c>
    </row>
    <row r="71" spans="1:19" x14ac:dyDescent="0.25">
      <c r="A71" s="87" t="s">
        <v>36</v>
      </c>
      <c r="B71" s="39">
        <f>'Design Regulator'!E33/1000000</f>
        <v>1.3200000000000001E-4</v>
      </c>
      <c r="C71" t="s">
        <v>34</v>
      </c>
      <c r="D71" t="s">
        <v>35</v>
      </c>
      <c r="H71" s="88">
        <v>1</v>
      </c>
      <c r="L71" s="430" t="s">
        <v>639</v>
      </c>
      <c r="M71" s="173">
        <v>3</v>
      </c>
      <c r="N71" s="171" t="s">
        <v>640</v>
      </c>
      <c r="O71" s="63">
        <v>2.5</v>
      </c>
    </row>
    <row r="72" spans="1:19" x14ac:dyDescent="0.25">
      <c r="A72" s="96" t="s">
        <v>114</v>
      </c>
      <c r="B72" s="392">
        <f>SQRT((Vripple1/Iripple1)^2-(1/(Fsw*Cout*8))^2)</f>
        <v>1.4406692069728833E-2</v>
      </c>
      <c r="C72" s="309" t="s">
        <v>208</v>
      </c>
      <c r="D72" s="171" t="s">
        <v>482</v>
      </c>
      <c r="H72" s="88">
        <v>1</v>
      </c>
      <c r="L72" s="430" t="s">
        <v>641</v>
      </c>
      <c r="M72" s="173">
        <v>4</v>
      </c>
      <c r="N72" s="171" t="s">
        <v>642</v>
      </c>
      <c r="O72" s="63">
        <v>5.0999999999999996</v>
      </c>
    </row>
    <row r="73" spans="1:19" x14ac:dyDescent="0.25">
      <c r="A73" s="87" t="s">
        <v>272</v>
      </c>
      <c r="B73" s="90">
        <f>'Design Regulator'!E35/1000</f>
        <v>0.01</v>
      </c>
      <c r="C73" s="309" t="s">
        <v>208</v>
      </c>
      <c r="D73" s="171" t="s">
        <v>483</v>
      </c>
      <c r="H73" s="88">
        <v>1</v>
      </c>
      <c r="L73" s="430" t="s">
        <v>643</v>
      </c>
      <c r="M73" s="173">
        <v>5</v>
      </c>
      <c r="N73" s="171" t="s">
        <v>644</v>
      </c>
      <c r="O73" s="63">
        <v>8</v>
      </c>
    </row>
    <row r="74" spans="1:19" ht="13.8" thickBot="1" x14ac:dyDescent="0.3">
      <c r="A74" s="108" t="s">
        <v>363</v>
      </c>
      <c r="B74" s="448">
        <f>Iripple1*SQRT(CoutEsr^2+(1/(8*Fsw*Cout))^2)</f>
        <v>1.4220301027348186E-2</v>
      </c>
      <c r="C74" s="157" t="s">
        <v>75</v>
      </c>
      <c r="D74" s="92"/>
      <c r="E74" s="92"/>
      <c r="F74" s="92"/>
      <c r="G74" s="92"/>
      <c r="H74" s="93"/>
      <c r="K74" s="429" t="s">
        <v>645</v>
      </c>
      <c r="L74" s="383" t="str">
        <f>CHOOSE(M74,"0402","0603","0805","1206","1210")</f>
        <v>1210</v>
      </c>
      <c r="M74" s="384">
        <v>5</v>
      </c>
      <c r="N74" s="383" t="str">
        <f>CHOOSE(M74,N69,N70, N71,N72,N73)</f>
        <v>3.2 x 2.5</v>
      </c>
    </row>
    <row r="76" spans="1:19" ht="13.8" thickBot="1" x14ac:dyDescent="0.3"/>
    <row r="77" spans="1:19" ht="15.6" x14ac:dyDescent="0.3">
      <c r="A77" s="144" t="s">
        <v>277</v>
      </c>
      <c r="B77" s="145"/>
      <c r="C77" s="145"/>
      <c r="D77" s="145"/>
      <c r="E77" s="145"/>
      <c r="F77" s="145"/>
      <c r="G77" s="145"/>
      <c r="H77" s="146"/>
    </row>
    <row r="78" spans="1:19" x14ac:dyDescent="0.25">
      <c r="A78" s="147" t="s">
        <v>416</v>
      </c>
      <c r="B78" s="112">
        <f>'Design Regulator'!E40/1000</f>
        <v>0.05</v>
      </c>
      <c r="C78" t="s">
        <v>75</v>
      </c>
      <c r="H78" s="148"/>
      <c r="L78" s="171" t="s">
        <v>646</v>
      </c>
      <c r="M78" s="173">
        <v>1</v>
      </c>
      <c r="N78" s="431" t="s">
        <v>647</v>
      </c>
      <c r="O78" s="63">
        <v>9</v>
      </c>
    </row>
    <row r="79" spans="1:19" x14ac:dyDescent="0.25">
      <c r="A79" s="149" t="s">
        <v>283</v>
      </c>
      <c r="B79" s="168">
        <f>Iout*SQRT(_Don2*Doff2)</f>
        <v>2.4659739962132612</v>
      </c>
      <c r="C79" s="142" t="s">
        <v>2</v>
      </c>
      <c r="H79" s="148"/>
      <c r="L79" s="171" t="s">
        <v>648</v>
      </c>
      <c r="M79" s="173">
        <v>2</v>
      </c>
      <c r="N79" s="431" t="s">
        <v>649</v>
      </c>
      <c r="O79" s="63">
        <v>16</v>
      </c>
    </row>
    <row r="80" spans="1:19" x14ac:dyDescent="0.25">
      <c r="A80" s="149" t="s">
        <v>415</v>
      </c>
      <c r="B80" s="154">
        <f>Iout*_Don2*(1-_Don2)/(Vinripple1*Fsw)</f>
        <v>6.756697499999999E-5</v>
      </c>
      <c r="C80" s="142" t="s">
        <v>34</v>
      </c>
      <c r="H80" s="148"/>
      <c r="L80" s="171" t="s">
        <v>650</v>
      </c>
      <c r="M80" s="173">
        <v>3</v>
      </c>
      <c r="N80" s="431" t="s">
        <v>651</v>
      </c>
      <c r="O80" s="63">
        <v>25</v>
      </c>
    </row>
    <row r="81" spans="1:15" x14ac:dyDescent="0.25">
      <c r="A81" s="149" t="s">
        <v>127</v>
      </c>
      <c r="B81" s="143">
        <f>'Design Regulator'!E42/1000000</f>
        <v>1.1E-4</v>
      </c>
      <c r="C81" s="142" t="s">
        <v>34</v>
      </c>
      <c r="D81" t="s">
        <v>287</v>
      </c>
      <c r="H81" s="148"/>
      <c r="L81" s="171" t="s">
        <v>652</v>
      </c>
      <c r="M81" s="173">
        <v>4</v>
      </c>
      <c r="N81" s="431" t="s">
        <v>653</v>
      </c>
      <c r="O81" s="63">
        <v>36</v>
      </c>
    </row>
    <row r="82" spans="1:15" x14ac:dyDescent="0.25">
      <c r="A82" s="149" t="s">
        <v>417</v>
      </c>
      <c r="B82" s="155">
        <f>-(Iout*_Don2*(1-_Don2)/(Cin*Fsw)-Vinripple1)/(Iout+Iripple1/2)</f>
        <v>2.888234550399521E-3</v>
      </c>
      <c r="C82" s="309" t="s">
        <v>208</v>
      </c>
      <c r="H82" s="148"/>
      <c r="L82" s="171" t="s">
        <v>654</v>
      </c>
      <c r="M82" s="173">
        <v>5</v>
      </c>
      <c r="N82" s="431" t="s">
        <v>655</v>
      </c>
      <c r="O82" s="63">
        <v>49</v>
      </c>
    </row>
    <row r="83" spans="1:15" x14ac:dyDescent="0.25">
      <c r="A83" s="149" t="s">
        <v>159</v>
      </c>
      <c r="B83" s="143">
        <f>'Design Regulator'!E44/1000</f>
        <v>2E-3</v>
      </c>
      <c r="C83" s="309" t="s">
        <v>208</v>
      </c>
      <c r="D83" s="171" t="s">
        <v>484</v>
      </c>
      <c r="H83" s="148"/>
      <c r="L83" s="171" t="s">
        <v>662</v>
      </c>
      <c r="M83" s="173">
        <v>6</v>
      </c>
      <c r="N83" s="431" t="s">
        <v>663</v>
      </c>
      <c r="O83" s="63">
        <v>64</v>
      </c>
    </row>
    <row r="84" spans="1:15" x14ac:dyDescent="0.25">
      <c r="A84" s="149" t="s">
        <v>418</v>
      </c>
      <c r="B84" s="169">
        <f>Iout*_Don2*(1-_Don2)/(Cin*Fsw)+(Iout +Iripple1/2)*RCinEsr</f>
        <v>4.4068336363636357E-2</v>
      </c>
      <c r="C84" s="142" t="s">
        <v>75</v>
      </c>
      <c r="H84" s="148"/>
      <c r="L84" s="171" t="s">
        <v>664</v>
      </c>
      <c r="M84" s="173">
        <v>7</v>
      </c>
      <c r="N84" s="431" t="s">
        <v>665</v>
      </c>
      <c r="O84" s="63">
        <v>100</v>
      </c>
    </row>
    <row r="85" spans="1:15" ht="13.8" thickBot="1" x14ac:dyDescent="0.3">
      <c r="A85" s="150"/>
      <c r="B85" s="156">
        <f>Iout*_Don1*(1-_Don1)/(Cin*Fsw)</f>
        <v>3.042613636363636E-2</v>
      </c>
      <c r="C85" s="151"/>
      <c r="D85" s="152"/>
      <c r="E85" s="152"/>
      <c r="F85" s="152"/>
      <c r="G85" s="152"/>
      <c r="H85" s="153"/>
      <c r="L85" s="171" t="s">
        <v>666</v>
      </c>
      <c r="M85" s="173">
        <v>8</v>
      </c>
      <c r="N85" s="431" t="s">
        <v>667</v>
      </c>
      <c r="O85" s="63">
        <v>144</v>
      </c>
    </row>
    <row r="86" spans="1:15" x14ac:dyDescent="0.25">
      <c r="K86" s="429" t="s">
        <v>656</v>
      </c>
      <c r="L86" s="383" t="str">
        <f>CHOOSE(M86,L78,L79, L80, L81, L82, L83, L84, L85)</f>
        <v>12mm x 12mm</v>
      </c>
      <c r="M86" s="384">
        <v>8</v>
      </c>
      <c r="N86" s="383" t="str">
        <f>CHOOSE(M86,N78,N79, N80,N81,N82, N83, N84, N85)</f>
        <v>12.0 x 12.0</v>
      </c>
      <c r="O86" s="383"/>
    </row>
    <row r="87" spans="1:15" ht="16.2" thickBot="1" x14ac:dyDescent="0.35">
      <c r="A87" s="133" t="s">
        <v>290</v>
      </c>
    </row>
    <row r="88" spans="1:15" x14ac:dyDescent="0.25">
      <c r="A88" s="134" t="s">
        <v>292</v>
      </c>
      <c r="B88" s="18">
        <f>'Design Regulator'!E49/1000</f>
        <v>8.0000000000000002E-3</v>
      </c>
      <c r="C88" s="94" t="s">
        <v>265</v>
      </c>
      <c r="D88" s="94" t="s">
        <v>293</v>
      </c>
      <c r="E88" s="94"/>
      <c r="F88" s="94"/>
      <c r="G88" s="94"/>
      <c r="H88" s="95"/>
    </row>
    <row r="89" spans="1:15" x14ac:dyDescent="0.25">
      <c r="A89" s="87" t="s">
        <v>294</v>
      </c>
      <c r="B89" s="103">
        <f>Cout*Vout/Tss</f>
        <v>8.4150000000000003E-2</v>
      </c>
      <c r="C89" t="s">
        <v>2</v>
      </c>
      <c r="D89" s="171" t="s">
        <v>440</v>
      </c>
      <c r="H89" s="88"/>
    </row>
    <row r="90" spans="1:15" x14ac:dyDescent="0.25">
      <c r="A90" s="87" t="s">
        <v>295</v>
      </c>
      <c r="B90" s="110">
        <f>0.00001*Tss/0.8</f>
        <v>9.9999999999999995E-8</v>
      </c>
      <c r="C90" t="s">
        <v>34</v>
      </c>
      <c r="H90" s="88"/>
    </row>
    <row r="91" spans="1:15" ht="13.8" thickBot="1" x14ac:dyDescent="0.3">
      <c r="A91" s="91" t="s">
        <v>311</v>
      </c>
      <c r="B91" s="109">
        <f>'Standard Value Calculator'!B4</f>
        <v>9.9999999999999995E-8</v>
      </c>
      <c r="C91" s="92" t="s">
        <v>34</v>
      </c>
      <c r="D91" s="92"/>
      <c r="E91" s="92"/>
      <c r="F91" s="92"/>
      <c r="G91" s="92"/>
      <c r="H91" s="93"/>
    </row>
    <row r="93" spans="1:15" ht="16.2" thickBot="1" x14ac:dyDescent="0.35">
      <c r="A93" s="133" t="s">
        <v>329</v>
      </c>
    </row>
    <row r="94" spans="1:15" x14ac:dyDescent="0.25">
      <c r="A94" s="305"/>
      <c r="B94" s="138"/>
      <c r="C94" s="174"/>
      <c r="D94" s="94"/>
      <c r="E94" s="94"/>
      <c r="F94" s="94"/>
      <c r="G94" s="94"/>
      <c r="H94" s="95"/>
    </row>
    <row r="95" spans="1:15" ht="15.6" x14ac:dyDescent="0.35">
      <c r="A95" s="306" t="s">
        <v>486</v>
      </c>
      <c r="B95" s="54">
        <f>'Design Regulator'!E51</f>
        <v>8.33</v>
      </c>
      <c r="C95" s="171" t="s">
        <v>0</v>
      </c>
      <c r="H95" s="88"/>
    </row>
    <row r="96" spans="1:15" ht="15.6" x14ac:dyDescent="0.35">
      <c r="A96" s="306" t="s">
        <v>487</v>
      </c>
      <c r="B96" s="54">
        <f>'Design Regulator'!E52</f>
        <v>7.58</v>
      </c>
      <c r="C96" s="171" t="s">
        <v>0</v>
      </c>
      <c r="H96" s="88"/>
    </row>
    <row r="97" spans="1:8" ht="15.6" x14ac:dyDescent="0.35">
      <c r="A97" s="306" t="s">
        <v>516</v>
      </c>
      <c r="B97" s="63">
        <f>(VINuvlo_off-VINuvlo_on*Vuvlo_off/Vuvlo_on)/(Iuvlo1*Vuvlo_off/Vuvlo_on-Iuvlo2)</f>
        <v>75</v>
      </c>
      <c r="C97" s="55" t="s">
        <v>493</v>
      </c>
      <c r="D97">
        <f>'Standard Value Calculator'!S16</f>
        <v>75</v>
      </c>
      <c r="E97" s="55" t="s">
        <v>493</v>
      </c>
      <c r="F97" s="54">
        <f>IF(Ruvlo1&lt;0,"N/A",D97)</f>
        <v>75</v>
      </c>
      <c r="G97" s="54" t="str">
        <f>IF(Ruvlo1&lt;0,"N/A",D97&amp;"kΩ")</f>
        <v>75kΩ</v>
      </c>
      <c r="H97" s="88"/>
    </row>
    <row r="98" spans="1:8" ht="15.75" customHeight="1" x14ac:dyDescent="0.35">
      <c r="A98" s="306" t="s">
        <v>517</v>
      </c>
      <c r="B98" s="307">
        <f>D97*Vuvlo_on/(VINuvlo_on-Vuvlo_on+Ruvlo1*Iuvlo1)</f>
        <v>12.622720897615709</v>
      </c>
      <c r="C98" s="55" t="s">
        <v>493</v>
      </c>
      <c r="D98">
        <f>'Standard Value Calculator'!S17</f>
        <v>12.700000000000001</v>
      </c>
      <c r="E98" s="55" t="s">
        <v>493</v>
      </c>
      <c r="F98" s="54">
        <f>IF(F97="N/A","N/A",D98)</f>
        <v>12.700000000000001</v>
      </c>
      <c r="G98" s="54" t="str">
        <f>IF(G97="N/A","N/A",D98&amp;"kΩ")</f>
        <v>12.7kΩ</v>
      </c>
      <c r="H98" s="88"/>
    </row>
    <row r="99" spans="1:8" ht="15.75" customHeight="1" x14ac:dyDescent="0.3">
      <c r="A99" s="306"/>
      <c r="B99" s="307"/>
      <c r="C99" s="55"/>
      <c r="E99" s="55"/>
      <c r="H99" s="88"/>
    </row>
    <row r="100" spans="1:8" ht="15.75" customHeight="1" x14ac:dyDescent="0.35">
      <c r="A100" s="306" t="s">
        <v>494</v>
      </c>
      <c r="B100" s="307">
        <f>(D97+D98)/D98*Vuvlo_on-Iuvlo1*D97</f>
        <v>8.2866141732283456</v>
      </c>
      <c r="C100" s="55"/>
      <c r="E100" s="55"/>
      <c r="H100" s="88"/>
    </row>
    <row r="101" spans="1:8" ht="15.75" customHeight="1" x14ac:dyDescent="0.35">
      <c r="A101" s="306" t="s">
        <v>495</v>
      </c>
      <c r="B101" s="307">
        <f>(D97+D98)/D98*Vuvlo_off-Iuvlo2*D97</f>
        <v>7.5366141732283456</v>
      </c>
      <c r="C101" s="55"/>
      <c r="E101" s="55"/>
      <c r="H101" s="88"/>
    </row>
    <row r="102" spans="1:8" ht="15.75" customHeight="1" x14ac:dyDescent="0.3">
      <c r="A102" s="306"/>
      <c r="B102" s="307"/>
      <c r="C102" s="55"/>
      <c r="E102" s="55"/>
      <c r="H102" s="88"/>
    </row>
    <row r="103" spans="1:8" ht="15.75" customHeight="1" x14ac:dyDescent="0.25">
      <c r="A103" s="306"/>
      <c r="B103" s="54"/>
      <c r="H103" s="88"/>
    </row>
    <row r="104" spans="1:8" ht="15.75" customHeight="1" x14ac:dyDescent="0.25">
      <c r="A104" s="306" t="s">
        <v>488</v>
      </c>
      <c r="B104" s="54">
        <v>1.2</v>
      </c>
      <c r="H104" s="88"/>
    </row>
    <row r="105" spans="1:8" ht="15.75" customHeight="1" x14ac:dyDescent="0.25">
      <c r="A105" s="306" t="s">
        <v>489</v>
      </c>
      <c r="B105" s="54">
        <v>1.2</v>
      </c>
      <c r="H105" s="88"/>
    </row>
    <row r="106" spans="1:8" ht="15.75" customHeight="1" x14ac:dyDescent="0.25">
      <c r="A106" s="306" t="s">
        <v>489</v>
      </c>
      <c r="B106" s="54">
        <f>B104-B105</f>
        <v>0</v>
      </c>
      <c r="H106" s="88"/>
    </row>
    <row r="107" spans="1:8" ht="15.75" customHeight="1" x14ac:dyDescent="0.25">
      <c r="A107" s="306" t="s">
        <v>492</v>
      </c>
      <c r="B107" s="54">
        <v>0</v>
      </c>
      <c r="H107" s="88"/>
    </row>
    <row r="108" spans="1:8" ht="15.75" customHeight="1" x14ac:dyDescent="0.25">
      <c r="A108" s="306" t="s">
        <v>490</v>
      </c>
      <c r="B108" s="54">
        <v>0.01</v>
      </c>
      <c r="H108" s="88"/>
    </row>
    <row r="109" spans="1:8" ht="15.75" customHeight="1" x14ac:dyDescent="0.25">
      <c r="A109" s="306" t="s">
        <v>491</v>
      </c>
      <c r="B109" s="54">
        <f>B108-B107</f>
        <v>0.01</v>
      </c>
      <c r="H109" s="88"/>
    </row>
    <row r="110" spans="1:8" ht="15.75" customHeight="1" x14ac:dyDescent="0.25">
      <c r="A110" s="306"/>
      <c r="B110" s="54"/>
      <c r="H110" s="88"/>
    </row>
    <row r="111" spans="1:8" ht="15.75" customHeight="1" x14ac:dyDescent="0.35">
      <c r="A111" s="87" t="s">
        <v>331</v>
      </c>
      <c r="B111" s="54"/>
      <c r="C111" s="309" t="s">
        <v>208</v>
      </c>
      <c r="H111" s="88"/>
    </row>
    <row r="112" spans="1:8" ht="15.75" customHeight="1" x14ac:dyDescent="0.35">
      <c r="A112" s="87" t="s">
        <v>332</v>
      </c>
      <c r="B112" s="54"/>
      <c r="C112" s="309" t="s">
        <v>208</v>
      </c>
      <c r="H112" s="88"/>
    </row>
    <row r="113" spans="1:8" ht="15.75" customHeight="1" x14ac:dyDescent="0.25">
      <c r="A113" s="87" t="s">
        <v>306</v>
      </c>
      <c r="B113" s="54"/>
      <c r="C113" s="309" t="s">
        <v>208</v>
      </c>
      <c r="H113" s="88"/>
    </row>
    <row r="114" spans="1:8" ht="15.75" customHeight="1" x14ac:dyDescent="0.25">
      <c r="A114" s="87" t="s">
        <v>429</v>
      </c>
      <c r="B114" s="54" t="e">
        <f>80700/(Totp+273)*398</f>
        <v>#NAME?</v>
      </c>
      <c r="C114" s="309" t="s">
        <v>208</v>
      </c>
      <c r="H114" s="88"/>
    </row>
    <row r="115" spans="1:8" ht="15.75" customHeight="1" x14ac:dyDescent="0.25">
      <c r="A115" s="87"/>
      <c r="B115" s="54"/>
      <c r="H115" s="88"/>
    </row>
    <row r="116" spans="1:8" x14ac:dyDescent="0.25">
      <c r="A116" s="87"/>
      <c r="B116" s="54"/>
      <c r="H116" s="88"/>
    </row>
    <row r="117" spans="1:8" x14ac:dyDescent="0.25">
      <c r="A117" s="87" t="s">
        <v>333</v>
      </c>
      <c r="B117" s="54">
        <v>100</v>
      </c>
      <c r="C117" s="171" t="s">
        <v>53</v>
      </c>
      <c r="H117" s="88"/>
    </row>
    <row r="118" spans="1:8" x14ac:dyDescent="0.25">
      <c r="A118" s="87"/>
      <c r="B118" s="54"/>
      <c r="H118" s="88"/>
    </row>
    <row r="119" spans="1:8" ht="13.8" thickBot="1" x14ac:dyDescent="0.3">
      <c r="A119" s="91"/>
      <c r="B119" s="111"/>
      <c r="C119" s="92"/>
      <c r="D119" s="92"/>
      <c r="E119" s="92"/>
      <c r="F119" s="92"/>
      <c r="G119" s="92"/>
      <c r="H119" s="93"/>
    </row>
    <row r="120" spans="1:8" x14ac:dyDescent="0.25">
      <c r="B120" s="54"/>
    </row>
    <row r="121" spans="1:8" ht="16.2" thickBot="1" x14ac:dyDescent="0.35">
      <c r="A121" s="133" t="s">
        <v>330</v>
      </c>
    </row>
    <row r="122" spans="1:8" x14ac:dyDescent="0.25">
      <c r="A122" s="134" t="s">
        <v>81</v>
      </c>
      <c r="B122" s="356">
        <v>10000</v>
      </c>
      <c r="C122" s="94" t="s">
        <v>49</v>
      </c>
      <c r="D122" s="174" t="s">
        <v>432</v>
      </c>
      <c r="E122" s="94"/>
      <c r="F122" s="94"/>
      <c r="G122" s="94"/>
      <c r="H122" s="95"/>
    </row>
    <row r="123" spans="1:8" x14ac:dyDescent="0.25">
      <c r="A123" s="87" t="s">
        <v>82</v>
      </c>
      <c r="B123" s="90">
        <v>5000000</v>
      </c>
      <c r="C123" t="s">
        <v>10</v>
      </c>
      <c r="D123" s="171" t="s">
        <v>433</v>
      </c>
      <c r="H123" s="88"/>
    </row>
    <row r="124" spans="1:8" x14ac:dyDescent="0.25">
      <c r="A124" s="306" t="s">
        <v>545</v>
      </c>
      <c r="B124" s="140">
        <f>'Design Regulator'!E61*1000</f>
        <v>30000</v>
      </c>
      <c r="C124" s="171" t="s">
        <v>10</v>
      </c>
      <c r="H124" s="88"/>
    </row>
    <row r="125" spans="1:8" x14ac:dyDescent="0.25">
      <c r="A125" s="87" t="s">
        <v>51</v>
      </c>
      <c r="B125" s="141">
        <f>Fcross/Fo/15</f>
        <v>0.45789199102037415</v>
      </c>
      <c r="C125" t="s">
        <v>49</v>
      </c>
      <c r="D125" s="171" t="s">
        <v>439</v>
      </c>
      <c r="H125" s="88">
        <v>1</v>
      </c>
    </row>
    <row r="126" spans="1:8" x14ac:dyDescent="0.25">
      <c r="A126" s="87" t="s">
        <v>52</v>
      </c>
      <c r="B126" s="112">
        <f>'Design Regulator'!E63*1000</f>
        <v>18000</v>
      </c>
      <c r="C126" s="309" t="s">
        <v>208</v>
      </c>
      <c r="D126" t="s">
        <v>260</v>
      </c>
      <c r="H126" s="88">
        <v>1</v>
      </c>
    </row>
    <row r="127" spans="1:8" x14ac:dyDescent="0.25">
      <c r="A127" s="99" t="s">
        <v>77</v>
      </c>
      <c r="B127" s="358">
        <f>IF(Vout=Vref,100000000,Vref/((Vout-Vref)/_Rfb1))</f>
        <v>3348.8372093023258</v>
      </c>
      <c r="C127" s="309" t="s">
        <v>208</v>
      </c>
      <c r="D127" s="171" t="s">
        <v>706</v>
      </c>
      <c r="H127" s="88"/>
    </row>
    <row r="128" spans="1:8" x14ac:dyDescent="0.25">
      <c r="A128" s="87" t="s">
        <v>271</v>
      </c>
      <c r="B128" s="103">
        <f>IF(Vout=Vref,"N/A",'Standard Value Calculator'!S11)</f>
        <v>3320</v>
      </c>
      <c r="C128" s="309" t="s">
        <v>208</v>
      </c>
      <c r="D128" s="171" t="s">
        <v>705</v>
      </c>
      <c r="H128" s="88"/>
    </row>
    <row r="129" spans="1:8" x14ac:dyDescent="0.25">
      <c r="A129" s="388" t="s">
        <v>697</v>
      </c>
      <c r="B129" s="462">
        <f>0.8/Rfb2_u*(Rfb2_u+_Rfb1)</f>
        <v>5.1373493975903619</v>
      </c>
      <c r="C129" t="s">
        <v>0</v>
      </c>
      <c r="D129" s="171" t="s">
        <v>698</v>
      </c>
      <c r="H129" s="88"/>
    </row>
    <row r="130" spans="1:8" x14ac:dyDescent="0.25">
      <c r="A130" s="388"/>
      <c r="C130" s="309"/>
      <c r="D130" s="171"/>
      <c r="H130" s="88"/>
    </row>
    <row r="131" spans="1:8" x14ac:dyDescent="0.25">
      <c r="A131" s="96" t="s">
        <v>74</v>
      </c>
      <c r="B131" s="392">
        <f>Vin/15</f>
        <v>1.6</v>
      </c>
      <c r="C131" t="s">
        <v>75</v>
      </c>
      <c r="D131" s="171" t="s">
        <v>561</v>
      </c>
      <c r="H131" s="88"/>
    </row>
    <row r="132" spans="1:8" x14ac:dyDescent="0.25">
      <c r="A132" s="96" t="s">
        <v>58</v>
      </c>
      <c r="B132" s="359">
        <f>Kmidband*_Rfb1</f>
        <v>8242.055838366734</v>
      </c>
      <c r="C132" s="309" t="s">
        <v>208</v>
      </c>
      <c r="D132" s="171" t="s">
        <v>431</v>
      </c>
      <c r="H132" s="88">
        <v>1</v>
      </c>
    </row>
    <row r="133" spans="1:8" x14ac:dyDescent="0.25">
      <c r="A133" s="96" t="s">
        <v>54</v>
      </c>
      <c r="B133" s="360">
        <f>1/(Rcea1*('Design Regulator'!E67*1000)*2*Pi)</f>
        <v>2.1455669474664967E-9</v>
      </c>
      <c r="C133" t="s">
        <v>34</v>
      </c>
      <c r="D133" t="s">
        <v>261</v>
      </c>
      <c r="H133" s="88">
        <v>1</v>
      </c>
    </row>
    <row r="134" spans="1:8" x14ac:dyDescent="0.25">
      <c r="A134" s="96" t="s">
        <v>55</v>
      </c>
      <c r="B134" s="360">
        <f>1/((Rcea1*2*Pi*'Design Regulator'!E70*1000)-1/Cc1ea)</f>
        <v>1.3695108175318065E-10</v>
      </c>
      <c r="C134" t="s">
        <v>34</v>
      </c>
      <c r="H134" s="88">
        <v>1</v>
      </c>
    </row>
    <row r="135" spans="1:8" x14ac:dyDescent="0.25">
      <c r="A135" s="96" t="s">
        <v>56</v>
      </c>
      <c r="B135" s="358">
        <f>(1/(1000*2*Pi*'Design Regulator'!E69))*_Rfb1/(1/('Design Regulator'!E68*1000*2*Pi)-(1/(1000*2*Pi*'Design Regulator'!E69)))</f>
        <v>606.64024379909131</v>
      </c>
      <c r="C135" s="309" t="s">
        <v>208</v>
      </c>
      <c r="H135" s="88">
        <v>1</v>
      </c>
    </row>
    <row r="136" spans="1:8" x14ac:dyDescent="0.25">
      <c r="A136" s="96" t="s">
        <v>57</v>
      </c>
      <c r="B136" s="360">
        <f>(1/(1000*2*Pi*'Design Regulator'!E69))/Rcea2</f>
        <v>2.1759189461837966E-9</v>
      </c>
      <c r="C136" t="s">
        <v>34</v>
      </c>
      <c r="H136" s="88">
        <v>1</v>
      </c>
    </row>
    <row r="137" spans="1:8" x14ac:dyDescent="0.25">
      <c r="A137" s="96"/>
      <c r="B137" s="1"/>
      <c r="H137" s="88"/>
    </row>
    <row r="138" spans="1:8" x14ac:dyDescent="0.25">
      <c r="A138" s="99" t="s">
        <v>383</v>
      </c>
      <c r="H138" s="88"/>
    </row>
    <row r="139" spans="1:8" x14ac:dyDescent="0.25">
      <c r="A139" s="87" t="s">
        <v>59</v>
      </c>
      <c r="B139" s="166">
        <f>'Design Regulator'!D74*1000</f>
        <v>5600</v>
      </c>
      <c r="C139" s="309" t="s">
        <v>208</v>
      </c>
      <c r="H139" s="88">
        <v>2</v>
      </c>
    </row>
    <row r="140" spans="1:8" x14ac:dyDescent="0.25">
      <c r="A140" s="87" t="s">
        <v>60</v>
      </c>
      <c r="B140" s="106">
        <f>'Design Regulator'!D75*0.000000000001</f>
        <v>4.6999999999999999E-9</v>
      </c>
      <c r="C140" t="s">
        <v>34</v>
      </c>
      <c r="H140" s="88">
        <v>2</v>
      </c>
    </row>
    <row r="141" spans="1:8" x14ac:dyDescent="0.25">
      <c r="A141" s="87" t="s">
        <v>61</v>
      </c>
      <c r="B141" s="106">
        <f>'Design Regulator'!D76*0.000000000001</f>
        <v>1.5E-10</v>
      </c>
      <c r="C141" t="s">
        <v>34</v>
      </c>
      <c r="H141" s="88">
        <v>2</v>
      </c>
    </row>
    <row r="142" spans="1:8" x14ac:dyDescent="0.25">
      <c r="A142" s="87" t="s">
        <v>62</v>
      </c>
      <c r="B142" s="166">
        <f>'Design Regulator'!D77</f>
        <v>600</v>
      </c>
      <c r="C142" s="309" t="s">
        <v>208</v>
      </c>
      <c r="H142" s="88">
        <v>2</v>
      </c>
    </row>
    <row r="143" spans="1:8" x14ac:dyDescent="0.25">
      <c r="A143" s="87" t="s">
        <v>63</v>
      </c>
      <c r="B143" s="106">
        <f>'Design Regulator'!D78*0.000000000001</f>
        <v>2.1999999999999998E-9</v>
      </c>
      <c r="C143" t="s">
        <v>34</v>
      </c>
      <c r="H143" s="88">
        <v>2</v>
      </c>
    </row>
    <row r="144" spans="1:8" x14ac:dyDescent="0.25">
      <c r="A144" s="87"/>
      <c r="H144" s="88"/>
    </row>
    <row r="145" spans="1:8" x14ac:dyDescent="0.25">
      <c r="A145" s="99" t="s">
        <v>344</v>
      </c>
      <c r="D145">
        <f>Cout</f>
        <v>1.3200000000000001E-4</v>
      </c>
      <c r="E145">
        <f>CoutEsr</f>
        <v>0.01</v>
      </c>
      <c r="H145" s="88"/>
    </row>
    <row r="146" spans="1:8" x14ac:dyDescent="0.25">
      <c r="A146" s="96" t="s">
        <v>39</v>
      </c>
      <c r="B146" s="421">
        <f>SQRT((Rfets+Rdcr+Ro)/(Cout*Lout2*(CoutEsr+Ro)))/(2*Pi)</f>
        <v>4367.8422842539057</v>
      </c>
      <c r="C146" t="s">
        <v>10</v>
      </c>
      <c r="D146" t="s">
        <v>40</v>
      </c>
      <c r="H146" s="88"/>
    </row>
    <row r="147" spans="1:8" x14ac:dyDescent="0.25">
      <c r="A147" s="96" t="s">
        <v>42</v>
      </c>
      <c r="B147" s="422">
        <f>(Rfets+Rdcr+Ro)/(Lout2+Cout*(Rdcr+Rfets)*(CoutEsr+Ro)+Cout*CoutEsr*Ro)/(Fo*2*Pi)</f>
        <v>2.665047460426706</v>
      </c>
      <c r="C147" t="s">
        <v>49</v>
      </c>
      <c r="D147" t="s">
        <v>43</v>
      </c>
      <c r="H147" s="88"/>
    </row>
    <row r="148" spans="1:8" x14ac:dyDescent="0.25">
      <c r="A148" s="96" t="s">
        <v>41</v>
      </c>
      <c r="B148" s="421">
        <f>1/(2*Pi*Cout*CoutEsr)</f>
        <v>120571.9267225427</v>
      </c>
      <c r="C148" t="s">
        <v>10</v>
      </c>
      <c r="D148" s="171" t="s">
        <v>434</v>
      </c>
      <c r="H148" s="88"/>
    </row>
    <row r="149" spans="1:8" x14ac:dyDescent="0.25">
      <c r="A149" s="96" t="s">
        <v>64</v>
      </c>
      <c r="B149" s="421">
        <f>1/(2*Pi*Rcea1_u*Cc1ea_u)</f>
        <v>6046.9203371487984</v>
      </c>
      <c r="C149" t="s">
        <v>10</v>
      </c>
      <c r="D149" s="171" t="s">
        <v>547</v>
      </c>
      <c r="H149" s="88"/>
    </row>
    <row r="150" spans="1:8" x14ac:dyDescent="0.25">
      <c r="A150" s="96" t="s">
        <v>65</v>
      </c>
      <c r="B150" s="421">
        <f>1/(2*Pi*Cc3ea_u*(_Rfb1+Rcea2_u))</f>
        <v>3889.4169910497653</v>
      </c>
      <c r="C150" t="s">
        <v>10</v>
      </c>
      <c r="D150" s="171" t="s">
        <v>547</v>
      </c>
      <c r="H150" s="88"/>
    </row>
    <row r="151" spans="1:8" x14ac:dyDescent="0.25">
      <c r="A151" s="96" t="s">
        <v>66</v>
      </c>
      <c r="B151" s="421">
        <f>1/(2*Pi*Rcea2_u*Cc3ea_u)</f>
        <v>120571.92672254273</v>
      </c>
      <c r="C151" t="s">
        <v>10</v>
      </c>
      <c r="D151" t="s">
        <v>263</v>
      </c>
      <c r="H151" s="88"/>
    </row>
    <row r="152" spans="1:8" x14ac:dyDescent="0.25">
      <c r="A152" s="96" t="s">
        <v>67</v>
      </c>
      <c r="B152" s="421">
        <f>1/(2*Pi*Rcea1_u*(Cc1ea_u*Cc2ea_u/(Cc1ea_u+Cc2ea_u)))</f>
        <v>195517.09090114446</v>
      </c>
      <c r="C152" t="s">
        <v>10</v>
      </c>
      <c r="D152" t="s">
        <v>262</v>
      </c>
      <c r="H152" s="88"/>
    </row>
    <row r="153" spans="1:8" x14ac:dyDescent="0.25">
      <c r="A153" s="96" t="s">
        <v>80</v>
      </c>
      <c r="B153" s="422">
        <f>Vout/(Iout+Vref/_Rfb2)</f>
        <v>0.8499661587547902</v>
      </c>
      <c r="D153" s="171" t="s">
        <v>546</v>
      </c>
      <c r="H153" s="88"/>
    </row>
    <row r="154" spans="1:8" x14ac:dyDescent="0.25">
      <c r="A154" s="96" t="s">
        <v>70</v>
      </c>
      <c r="B154" s="422">
        <v>3.1415926500000002</v>
      </c>
      <c r="D154" t="s">
        <v>264</v>
      </c>
      <c r="H154" s="88"/>
    </row>
    <row r="155" spans="1:8" x14ac:dyDescent="0.25">
      <c r="A155" s="96" t="s">
        <v>328</v>
      </c>
      <c r="B155" s="1"/>
      <c r="H155" s="88"/>
    </row>
    <row r="156" spans="1:8" x14ac:dyDescent="0.25">
      <c r="A156" s="96" t="s">
        <v>337</v>
      </c>
      <c r="B156" s="1">
        <v>0</v>
      </c>
      <c r="C156" s="309" t="s">
        <v>208</v>
      </c>
      <c r="D156" s="171" t="s">
        <v>542</v>
      </c>
      <c r="G156">
        <f>_Don2*RdsonTop+Doff2*RdsonBot+B161*Vin^2*Fsw/2/(((Iripple1/SQRT(3))^2))</f>
        <v>0.7107540533612795</v>
      </c>
      <c r="H156" s="88"/>
    </row>
    <row r="157" spans="1:8" x14ac:dyDescent="0.25">
      <c r="A157" s="87"/>
      <c r="H157" s="88"/>
    </row>
    <row r="158" spans="1:8" x14ac:dyDescent="0.25">
      <c r="A158" s="96" t="s">
        <v>340</v>
      </c>
      <c r="B158" s="2">
        <f>0.00000002*Fsw*0.6*4/Iripple1</f>
        <v>1.0618881699021076E-2</v>
      </c>
      <c r="D158" s="2"/>
      <c r="H158" s="88"/>
    </row>
    <row r="159" spans="1:8" x14ac:dyDescent="0.25">
      <c r="A159" s="96" t="s">
        <v>339</v>
      </c>
      <c r="B159" s="2">
        <f>_Don2*RdsonTop+Doff2*RdsonBot</f>
        <v>6.000000000000001E-3</v>
      </c>
      <c r="D159" s="2"/>
      <c r="H159" s="88"/>
    </row>
    <row r="160" spans="1:8" x14ac:dyDescent="0.25">
      <c r="A160" s="96" t="s">
        <v>338</v>
      </c>
      <c r="B160" s="2">
        <f>B161*Vin^2*Fsw/2/(((Iripple1/SQRT(3))^2))</f>
        <v>0.7047540533612795</v>
      </c>
      <c r="D160" s="2"/>
      <c r="H160" s="88"/>
    </row>
    <row r="161" spans="1:8" ht="13.8" thickBot="1" x14ac:dyDescent="0.3">
      <c r="A161" s="108" t="s">
        <v>341</v>
      </c>
      <c r="B161" s="113">
        <v>5.0000000000000001E-9</v>
      </c>
      <c r="C161" s="92"/>
      <c r="D161" s="113"/>
      <c r="E161" s="92"/>
      <c r="F161" s="92"/>
      <c r="G161" s="92"/>
      <c r="H161" s="93"/>
    </row>
    <row r="162" spans="1:8" x14ac:dyDescent="0.25">
      <c r="A162" s="1"/>
      <c r="B162" s="60"/>
      <c r="D162" s="60"/>
    </row>
    <row r="163" spans="1:8" x14ac:dyDescent="0.25">
      <c r="A163" s="1"/>
      <c r="B163" s="60"/>
      <c r="D163" s="60"/>
    </row>
    <row r="164" spans="1:8" ht="16.2" thickBot="1" x14ac:dyDescent="0.35">
      <c r="A164" s="139" t="s">
        <v>362</v>
      </c>
    </row>
    <row r="165" spans="1:8" x14ac:dyDescent="0.25">
      <c r="A165" s="134"/>
      <c r="B165" s="94"/>
      <c r="C165" s="94"/>
      <c r="D165" s="94"/>
      <c r="E165" s="94"/>
      <c r="F165" s="94"/>
      <c r="G165" s="94"/>
      <c r="H165" s="95"/>
    </row>
    <row r="166" spans="1:8" x14ac:dyDescent="0.25">
      <c r="A166" s="99" t="s">
        <v>125</v>
      </c>
      <c r="H166" s="88"/>
    </row>
    <row r="167" spans="1:8" x14ac:dyDescent="0.25">
      <c r="A167" s="87" t="s">
        <v>156</v>
      </c>
      <c r="B167" s="39">
        <v>25</v>
      </c>
      <c r="D167" t="s">
        <v>175</v>
      </c>
      <c r="H167" s="88"/>
    </row>
    <row r="168" spans="1:8" ht="15.6" x14ac:dyDescent="0.3">
      <c r="A168" s="478" t="s">
        <v>128</v>
      </c>
      <c r="H168" s="88"/>
    </row>
    <row r="169" spans="1:8" x14ac:dyDescent="0.25">
      <c r="A169" s="87" t="s">
        <v>155</v>
      </c>
      <c r="B169" s="90">
        <f>4000/1000000</f>
        <v>4.0000000000000001E-3</v>
      </c>
      <c r="C169" s="171" t="s">
        <v>562</v>
      </c>
      <c r="D169" t="s">
        <v>176</v>
      </c>
      <c r="H169" s="88"/>
    </row>
    <row r="170" spans="1:8" x14ac:dyDescent="0.25">
      <c r="A170" s="87" t="s">
        <v>250</v>
      </c>
      <c r="B170" s="90">
        <v>20</v>
      </c>
      <c r="C170" s="171" t="s">
        <v>381</v>
      </c>
      <c r="D170" t="s">
        <v>251</v>
      </c>
      <c r="H170" s="88"/>
    </row>
    <row r="171" spans="1:8" x14ac:dyDescent="0.25">
      <c r="A171" s="87" t="s">
        <v>159</v>
      </c>
      <c r="B171" s="39">
        <f>RCinEsr</f>
        <v>2E-3</v>
      </c>
      <c r="C171" s="309" t="s">
        <v>208</v>
      </c>
      <c r="D171" t="s">
        <v>178</v>
      </c>
      <c r="H171" s="88"/>
    </row>
    <row r="172" spans="1:8" x14ac:dyDescent="0.25">
      <c r="A172" s="96" t="s">
        <v>268</v>
      </c>
      <c r="H172" s="88"/>
    </row>
    <row r="173" spans="1:8" x14ac:dyDescent="0.25">
      <c r="A173" s="306" t="s">
        <v>618</v>
      </c>
      <c r="B173" s="90">
        <v>7.5</v>
      </c>
      <c r="H173" s="88"/>
    </row>
    <row r="174" spans="1:8" x14ac:dyDescent="0.25">
      <c r="A174" s="99" t="s">
        <v>202</v>
      </c>
      <c r="H174" s="88"/>
    </row>
    <row r="175" spans="1:8" x14ac:dyDescent="0.25">
      <c r="A175" s="87" t="s">
        <v>132</v>
      </c>
      <c r="B175" s="90">
        <v>1</v>
      </c>
      <c r="C175" s="309" t="s">
        <v>208</v>
      </c>
      <c r="D175" t="s">
        <v>204</v>
      </c>
      <c r="H175" s="88"/>
    </row>
    <row r="176" spans="1:8" x14ac:dyDescent="0.25">
      <c r="A176" s="87" t="s">
        <v>239</v>
      </c>
      <c r="B176" s="90">
        <v>0.9</v>
      </c>
      <c r="C176" s="309" t="s">
        <v>208</v>
      </c>
      <c r="D176" t="s">
        <v>205</v>
      </c>
      <c r="H176" s="88"/>
    </row>
    <row r="177" spans="1:8" x14ac:dyDescent="0.25">
      <c r="A177" s="99" t="s">
        <v>203</v>
      </c>
      <c r="H177" s="88"/>
    </row>
    <row r="178" spans="1:8" x14ac:dyDescent="0.25">
      <c r="A178" s="87" t="s">
        <v>131</v>
      </c>
      <c r="B178" s="158">
        <v>1</v>
      </c>
      <c r="C178" s="309" t="s">
        <v>208</v>
      </c>
      <c r="D178" t="s">
        <v>204</v>
      </c>
      <c r="H178" s="88"/>
    </row>
    <row r="179" spans="1:8" x14ac:dyDescent="0.25">
      <c r="A179" s="87" t="s">
        <v>238</v>
      </c>
      <c r="B179" s="90">
        <v>0.9</v>
      </c>
      <c r="C179" s="309" t="s">
        <v>208</v>
      </c>
      <c r="D179" t="s">
        <v>205</v>
      </c>
      <c r="H179" s="88"/>
    </row>
    <row r="180" spans="1:8" x14ac:dyDescent="0.25">
      <c r="A180" s="99" t="s">
        <v>133</v>
      </c>
      <c r="D180" t="s">
        <v>199</v>
      </c>
      <c r="H180" s="88"/>
    </row>
    <row r="181" spans="1:8" x14ac:dyDescent="0.25">
      <c r="A181" s="87" t="s">
        <v>133</v>
      </c>
      <c r="B181" s="102">
        <v>2.9999999999999997E-8</v>
      </c>
      <c r="C181" t="s">
        <v>265</v>
      </c>
      <c r="D181" t="s">
        <v>179</v>
      </c>
      <c r="H181" s="88"/>
    </row>
    <row r="182" spans="1:8" x14ac:dyDescent="0.25">
      <c r="A182" s="99" t="s">
        <v>119</v>
      </c>
      <c r="H182" s="88"/>
    </row>
    <row r="183" spans="1:8" x14ac:dyDescent="0.25">
      <c r="A183" s="87" t="s">
        <v>249</v>
      </c>
      <c r="B183" s="90">
        <v>2E-3</v>
      </c>
      <c r="C183" t="s">
        <v>2</v>
      </c>
      <c r="D183" t="s">
        <v>259</v>
      </c>
      <c r="H183" s="88"/>
    </row>
    <row r="184" spans="1:8" ht="15.6" x14ac:dyDescent="0.3">
      <c r="A184" s="478" t="s">
        <v>129</v>
      </c>
      <c r="H184" s="88"/>
    </row>
    <row r="185" spans="1:8" x14ac:dyDescent="0.25">
      <c r="A185" s="87" t="s">
        <v>142</v>
      </c>
      <c r="B185" s="39">
        <f>'Design Regulator'!E85/1000</f>
        <v>6.0000000000000001E-3</v>
      </c>
      <c r="C185" s="309" t="s">
        <v>208</v>
      </c>
      <c r="D185" t="s">
        <v>194</v>
      </c>
      <c r="H185" s="88"/>
    </row>
    <row r="186" spans="1:8" x14ac:dyDescent="0.25">
      <c r="A186" s="87" t="s">
        <v>152</v>
      </c>
      <c r="B186" s="90">
        <f>4000/1000000</f>
        <v>4.0000000000000001E-3</v>
      </c>
      <c r="C186" s="171" t="s">
        <v>562</v>
      </c>
      <c r="D186" t="s">
        <v>193</v>
      </c>
      <c r="H186" s="88"/>
    </row>
    <row r="187" spans="1:8" x14ac:dyDescent="0.25">
      <c r="A187" s="87" t="s">
        <v>141</v>
      </c>
      <c r="B187" s="114">
        <f>'Design Regulator'!E86/1000000000</f>
        <v>2.7E-8</v>
      </c>
      <c r="C187" t="s">
        <v>269</v>
      </c>
      <c r="D187" t="s">
        <v>180</v>
      </c>
      <c r="H187" s="88"/>
    </row>
    <row r="188" spans="1:8" x14ac:dyDescent="0.25">
      <c r="A188" s="87" t="s">
        <v>218</v>
      </c>
      <c r="B188" s="114">
        <f>'Design Regulator'!E87/1000000000</f>
        <v>8.9999999999999995E-9</v>
      </c>
      <c r="C188" t="s">
        <v>269</v>
      </c>
      <c r="D188" t="s">
        <v>219</v>
      </c>
      <c r="H188" s="88"/>
    </row>
    <row r="189" spans="1:8" x14ac:dyDescent="0.25">
      <c r="A189" s="87" t="s">
        <v>236</v>
      </c>
      <c r="B189" s="114">
        <f>'Design Regulator'!E88/1000000000</f>
        <v>8.0000000000000005E-9</v>
      </c>
      <c r="C189" t="s">
        <v>269</v>
      </c>
      <c r="D189" t="s">
        <v>721</v>
      </c>
      <c r="H189" s="88"/>
    </row>
    <row r="190" spans="1:8" x14ac:dyDescent="0.25">
      <c r="A190" s="389" t="s">
        <v>728</v>
      </c>
      <c r="B190" s="114">
        <f>'Design Regulator'!E89/1000000000000</f>
        <v>3.3800000000000002E-10</v>
      </c>
      <c r="C190" t="s">
        <v>34</v>
      </c>
      <c r="D190" t="s">
        <v>729</v>
      </c>
      <c r="H190" s="88"/>
    </row>
    <row r="191" spans="1:8" x14ac:dyDescent="0.25">
      <c r="A191" s="87" t="s">
        <v>168</v>
      </c>
      <c r="B191" s="39">
        <f>'Design Regulator'!E90</f>
        <v>2</v>
      </c>
      <c r="C191" s="309" t="s">
        <v>208</v>
      </c>
      <c r="D191" t="s">
        <v>730</v>
      </c>
      <c r="H191" s="88"/>
    </row>
    <row r="192" spans="1:8" x14ac:dyDescent="0.25">
      <c r="A192" s="87" t="s">
        <v>140</v>
      </c>
      <c r="B192" s="39">
        <f>'Design Regulator'!E91</f>
        <v>100</v>
      </c>
      <c r="C192" t="s">
        <v>137</v>
      </c>
      <c r="D192" t="s">
        <v>182</v>
      </c>
      <c r="H192" s="88"/>
    </row>
    <row r="193" spans="1:10" x14ac:dyDescent="0.25">
      <c r="A193" s="87" t="s">
        <v>170</v>
      </c>
      <c r="B193" s="39">
        <f>'Design Regulator'!E92</f>
        <v>3.8</v>
      </c>
      <c r="C193" t="s">
        <v>0</v>
      </c>
      <c r="D193" t="s">
        <v>183</v>
      </c>
      <c r="H193" s="88"/>
    </row>
    <row r="194" spans="1:10" x14ac:dyDescent="0.25">
      <c r="A194" s="87" t="s">
        <v>235</v>
      </c>
      <c r="B194" s="103">
        <f>VthTop+Iout/GmTop</f>
        <v>3.86</v>
      </c>
      <c r="C194" t="s">
        <v>0</v>
      </c>
      <c r="D194" t="s">
        <v>266</v>
      </c>
      <c r="H194" s="88"/>
    </row>
    <row r="195" spans="1:10" x14ac:dyDescent="0.25">
      <c r="A195" s="87" t="s">
        <v>378</v>
      </c>
      <c r="B195" s="39">
        <f>'Design Regulator'!E93</f>
        <v>0.8</v>
      </c>
      <c r="C195" t="s">
        <v>0</v>
      </c>
      <c r="D195" t="s">
        <v>380</v>
      </c>
      <c r="H195" s="88"/>
    </row>
    <row r="196" spans="1:10" x14ac:dyDescent="0.25">
      <c r="A196" s="87" t="s">
        <v>161</v>
      </c>
      <c r="B196" s="39">
        <f>'Design Regulator'!E94</f>
        <v>50</v>
      </c>
      <c r="C196" s="171" t="s">
        <v>381</v>
      </c>
      <c r="D196" t="s">
        <v>184</v>
      </c>
      <c r="H196" s="88"/>
    </row>
    <row r="197" spans="1:10" ht="15.6" x14ac:dyDescent="0.3">
      <c r="A197" s="478" t="s">
        <v>130</v>
      </c>
      <c r="H197" s="88"/>
    </row>
    <row r="198" spans="1:10" x14ac:dyDescent="0.25">
      <c r="A198" s="87" t="s">
        <v>139</v>
      </c>
      <c r="B198" s="39">
        <f>'Design Regulator'!E97/1000</f>
        <v>6.0000000000000001E-3</v>
      </c>
      <c r="C198" s="309" t="s">
        <v>208</v>
      </c>
      <c r="D198" t="s">
        <v>192</v>
      </c>
      <c r="H198" s="88"/>
    </row>
    <row r="199" spans="1:10" x14ac:dyDescent="0.25">
      <c r="A199" s="87" t="s">
        <v>153</v>
      </c>
      <c r="B199" s="39">
        <f>4000/1000000</f>
        <v>4.0000000000000001E-3</v>
      </c>
      <c r="C199" s="171" t="s">
        <v>562</v>
      </c>
      <c r="D199" t="s">
        <v>185</v>
      </c>
      <c r="H199" s="88"/>
    </row>
    <row r="200" spans="1:10" x14ac:dyDescent="0.25">
      <c r="A200" s="87" t="s">
        <v>138</v>
      </c>
      <c r="B200" s="114">
        <f>'Design Regulator'!E98/1000000000</f>
        <v>2.7E-8</v>
      </c>
      <c r="C200" t="s">
        <v>269</v>
      </c>
      <c r="D200" s="171" t="s">
        <v>724</v>
      </c>
      <c r="H200" s="88"/>
      <c r="J200">
        <f>RGateTop</f>
        <v>2</v>
      </c>
    </row>
    <row r="201" spans="1:10" x14ac:dyDescent="0.25">
      <c r="A201" s="389" t="s">
        <v>722</v>
      </c>
      <c r="B201" s="114">
        <f>'Design Regulator'!E99/1000000000</f>
        <v>2E-8</v>
      </c>
      <c r="C201" t="s">
        <v>269</v>
      </c>
      <c r="D201" s="171" t="s">
        <v>723</v>
      </c>
      <c r="H201" s="88"/>
    </row>
    <row r="202" spans="1:10" x14ac:dyDescent="0.25">
      <c r="A202" s="389" t="s">
        <v>727</v>
      </c>
      <c r="B202" s="114">
        <f>'Design Regulator'!E100/1000000000000</f>
        <v>3.3800000000000002E-10</v>
      </c>
      <c r="C202" t="s">
        <v>34</v>
      </c>
      <c r="D202" s="171" t="s">
        <v>726</v>
      </c>
      <c r="H202" s="88"/>
    </row>
    <row r="203" spans="1:10" x14ac:dyDescent="0.25">
      <c r="A203" s="87" t="s">
        <v>169</v>
      </c>
      <c r="B203" s="39">
        <v>1</v>
      </c>
      <c r="C203" s="309" t="s">
        <v>208</v>
      </c>
      <c r="D203" t="s">
        <v>181</v>
      </c>
      <c r="H203" s="88"/>
    </row>
    <row r="204" spans="1:10" x14ac:dyDescent="0.25">
      <c r="A204" s="87" t="s">
        <v>144</v>
      </c>
      <c r="B204" s="39">
        <f>'Design Regulator'!E101</f>
        <v>0.8</v>
      </c>
      <c r="C204" t="s">
        <v>0</v>
      </c>
      <c r="D204" t="s">
        <v>186</v>
      </c>
      <c r="H204" s="88"/>
    </row>
    <row r="205" spans="1:10" x14ac:dyDescent="0.25">
      <c r="A205" s="87" t="s">
        <v>145</v>
      </c>
      <c r="B205" s="114">
        <f>'Design Regulator'!E102/1000000000</f>
        <v>1.9000000000000001E-8</v>
      </c>
      <c r="C205" t="s">
        <v>269</v>
      </c>
      <c r="D205" t="s">
        <v>196</v>
      </c>
      <c r="H205" s="88"/>
    </row>
    <row r="206" spans="1:10" x14ac:dyDescent="0.25">
      <c r="A206" s="87" t="s">
        <v>146</v>
      </c>
      <c r="B206" s="114">
        <v>4.0000000000000001E-8</v>
      </c>
      <c r="C206" t="s">
        <v>265</v>
      </c>
      <c r="D206" t="s">
        <v>187</v>
      </c>
      <c r="H206" s="88"/>
    </row>
    <row r="207" spans="1:10" x14ac:dyDescent="0.25">
      <c r="A207" s="87" t="s">
        <v>160</v>
      </c>
      <c r="B207" s="39">
        <f>'Design Regulator'!E103</f>
        <v>50</v>
      </c>
      <c r="C207" s="171" t="s">
        <v>381</v>
      </c>
      <c r="D207" t="s">
        <v>184</v>
      </c>
      <c r="H207" s="88"/>
    </row>
    <row r="208" spans="1:10" ht="15.6" x14ac:dyDescent="0.3">
      <c r="A208" s="478" t="s">
        <v>428</v>
      </c>
      <c r="B208" s="39"/>
      <c r="H208" s="88"/>
    </row>
    <row r="209" spans="1:8" x14ac:dyDescent="0.25">
      <c r="A209" s="87" t="s">
        <v>365</v>
      </c>
      <c r="B209" s="39">
        <f>'Design Regulator'!E105</f>
        <v>0</v>
      </c>
      <c r="C209" t="s">
        <v>0</v>
      </c>
      <c r="D209" t="s">
        <v>368</v>
      </c>
      <c r="H209" s="88"/>
    </row>
    <row r="210" spans="1:8" x14ac:dyDescent="0.25">
      <c r="A210" s="87" t="s">
        <v>366</v>
      </c>
      <c r="B210" s="39">
        <f>'Design Regulator'!E106/1000000000</f>
        <v>0</v>
      </c>
      <c r="C210" t="s">
        <v>269</v>
      </c>
      <c r="D210" t="s">
        <v>369</v>
      </c>
      <c r="H210" s="88"/>
    </row>
    <row r="211" spans="1:8" x14ac:dyDescent="0.25">
      <c r="A211" s="87" t="s">
        <v>367</v>
      </c>
      <c r="B211" s="39">
        <v>0</v>
      </c>
      <c r="C211" t="s">
        <v>2</v>
      </c>
      <c r="D211" t="s">
        <v>370</v>
      </c>
      <c r="H211" s="88"/>
    </row>
    <row r="212" spans="1:8" x14ac:dyDescent="0.25">
      <c r="A212" s="99" t="s">
        <v>209</v>
      </c>
      <c r="H212" s="88"/>
    </row>
    <row r="213" spans="1:8" x14ac:dyDescent="0.25">
      <c r="A213" s="87" t="s">
        <v>267</v>
      </c>
      <c r="B213" s="39">
        <v>30</v>
      </c>
      <c r="H213" s="88"/>
    </row>
    <row r="214" spans="1:8" x14ac:dyDescent="0.25">
      <c r="A214" s="99" t="s">
        <v>149</v>
      </c>
      <c r="H214" s="88"/>
    </row>
    <row r="215" spans="1:8" x14ac:dyDescent="0.25">
      <c r="A215" s="87" t="s">
        <v>129</v>
      </c>
      <c r="H215" s="88"/>
    </row>
    <row r="216" spans="1:8" x14ac:dyDescent="0.25">
      <c r="A216" s="87" t="s">
        <v>166</v>
      </c>
      <c r="B216" s="106">
        <f>(QgdTop+QgsTop/2)*(RdsonDRT+RGateTop)/(Vdd-VspTop)</f>
        <v>1.0714285714285715E-8</v>
      </c>
      <c r="C216" t="s">
        <v>265</v>
      </c>
      <c r="H216" s="88"/>
    </row>
    <row r="217" spans="1:8" x14ac:dyDescent="0.25">
      <c r="A217" s="87" t="s">
        <v>167</v>
      </c>
      <c r="B217" s="106">
        <f>(QgdTop+QgsTop/2)*(RdsonDRT+RGateTop)/(VspTop)</f>
        <v>1.0103626943005184E-8</v>
      </c>
      <c r="C217" t="s">
        <v>265</v>
      </c>
      <c r="H217" s="88"/>
    </row>
    <row r="218" spans="1:8" x14ac:dyDescent="0.25">
      <c r="A218" s="87"/>
      <c r="H218" s="88"/>
    </row>
    <row r="219" spans="1:8" x14ac:dyDescent="0.25">
      <c r="A219" s="87"/>
      <c r="H219" s="88"/>
    </row>
    <row r="220" spans="1:8" x14ac:dyDescent="0.25">
      <c r="A220" s="99" t="s">
        <v>392</v>
      </c>
      <c r="B220" s="2" t="s">
        <v>8</v>
      </c>
      <c r="C220" s="2" t="s">
        <v>148</v>
      </c>
      <c r="H220" s="88"/>
    </row>
    <row r="221" spans="1:8" x14ac:dyDescent="0.25">
      <c r="A221" s="89" t="s">
        <v>207</v>
      </c>
      <c r="B221" s="411">
        <f>'Power Calculations'!AN9</f>
        <v>0.16949999999999998</v>
      </c>
      <c r="C221" s="3" t="s">
        <v>208</v>
      </c>
      <c r="H221" s="88"/>
    </row>
    <row r="222" spans="1:8" x14ac:dyDescent="0.25">
      <c r="A222" s="89" t="s">
        <v>211</v>
      </c>
      <c r="B222" s="412">
        <f>B221*ThetaJaCtrl</f>
        <v>5.0849999999999991</v>
      </c>
      <c r="C222" s="171" t="s">
        <v>442</v>
      </c>
      <c r="H222" s="88"/>
    </row>
    <row r="223" spans="1:8" x14ac:dyDescent="0.25">
      <c r="A223" s="89" t="s">
        <v>388</v>
      </c>
      <c r="B223" s="414">
        <f>(QgBot+QgTop)*Fsw+Iq</f>
        <v>1.8200000000000001E-2</v>
      </c>
      <c r="C223" t="s">
        <v>2</v>
      </c>
      <c r="H223" s="88"/>
    </row>
    <row r="224" spans="1:8" x14ac:dyDescent="0.25">
      <c r="A224" s="89" t="s">
        <v>389</v>
      </c>
      <c r="B224" s="413">
        <f>QrrBot*Fsw</f>
        <v>5.7000000000000002E-3</v>
      </c>
      <c r="C224" t="s">
        <v>2</v>
      </c>
      <c r="H224" s="88"/>
    </row>
    <row r="225" spans="1:8" x14ac:dyDescent="0.25">
      <c r="A225" s="89" t="s">
        <v>390</v>
      </c>
      <c r="B225" s="413">
        <f>C225/Vin</f>
        <v>2.3583750000000001E-4</v>
      </c>
      <c r="C225">
        <f>Deadtime*Fsw*(Ipp/2)*(VsdTop+VsdBot)</f>
        <v>5.6601000000000004E-3</v>
      </c>
      <c r="H225" s="88"/>
    </row>
    <row r="226" spans="1:8" x14ac:dyDescent="0.25">
      <c r="A226" s="89" t="s">
        <v>393</v>
      </c>
      <c r="B226" s="413">
        <f>SUM(B223:B225)</f>
        <v>2.41358375E-2</v>
      </c>
      <c r="C226" t="s">
        <v>2</v>
      </c>
      <c r="H226" s="88"/>
    </row>
    <row r="227" spans="1:8" x14ac:dyDescent="0.25">
      <c r="A227" s="87"/>
      <c r="H227" s="88"/>
    </row>
    <row r="228" spans="1:8" x14ac:dyDescent="0.25">
      <c r="A228" s="87"/>
      <c r="H228" s="88"/>
    </row>
    <row r="229" spans="1:8" x14ac:dyDescent="0.25">
      <c r="A229" s="87"/>
      <c r="H229" s="88"/>
    </row>
    <row r="230" spans="1:8" x14ac:dyDescent="0.25">
      <c r="A230" s="87"/>
      <c r="H230" s="88"/>
    </row>
    <row r="231" spans="1:8" x14ac:dyDescent="0.25">
      <c r="A231" s="87"/>
      <c r="H231" s="88"/>
    </row>
    <row r="232" spans="1:8" x14ac:dyDescent="0.25">
      <c r="A232" s="99" t="s">
        <v>150</v>
      </c>
      <c r="H232" s="88"/>
    </row>
    <row r="233" spans="1:8" x14ac:dyDescent="0.25">
      <c r="A233" s="87" t="s">
        <v>206</v>
      </c>
      <c r="H233" s="88"/>
    </row>
    <row r="234" spans="1:8" ht="13.8" thickBot="1" x14ac:dyDescent="0.3">
      <c r="A234" s="91" t="s">
        <v>207</v>
      </c>
      <c r="B234" s="92"/>
      <c r="C234" s="92"/>
      <c r="D234" s="92"/>
      <c r="E234" s="92"/>
      <c r="F234" s="92"/>
      <c r="G234" s="92"/>
      <c r="H234" s="93"/>
    </row>
    <row r="235" spans="1:8" x14ac:dyDescent="0.25">
      <c r="A235" s="1"/>
      <c r="B235" s="1"/>
    </row>
    <row r="236" spans="1:8" ht="21.75" customHeight="1" thickBot="1" x14ac:dyDescent="0.35">
      <c r="A236" s="133" t="s">
        <v>382</v>
      </c>
    </row>
    <row r="237" spans="1:8" x14ac:dyDescent="0.25">
      <c r="A237" s="134" t="str">
        <f>"RC1 = "&amp;'Design Regulator'!D74&amp;"kΩ"</f>
        <v>RC1 = 5.6kΩ</v>
      </c>
      <c r="B237" s="94" t="str">
        <f>'Design Regulator'!D74&amp;"kΩ"</f>
        <v>5.6kΩ</v>
      </c>
      <c r="C237" s="94"/>
      <c r="D237" s="94"/>
      <c r="E237" s="94"/>
      <c r="F237" s="94"/>
      <c r="G237" s="94"/>
      <c r="H237" s="95"/>
    </row>
    <row r="238" spans="1:8" x14ac:dyDescent="0.25">
      <c r="A238" s="87" t="str">
        <f>"LOUT = "&amp;'Design Regulator'!E17&amp;"uH"</f>
        <v>LOUT = 10uH</v>
      </c>
      <c r="B238" t="str">
        <f>'Design Regulator'!E17&amp;"µH"</f>
        <v>10µH</v>
      </c>
      <c r="H238" s="88"/>
    </row>
    <row r="239" spans="1:8" x14ac:dyDescent="0.25">
      <c r="A239" s="87" t="str">
        <f>"Rdcr = "&amp;'Design Regulator'!E18&amp;"mΩ"</f>
        <v>Rdcr = 5mΩ</v>
      </c>
      <c r="B239" t="str">
        <f>'Design Regulator'!E18&amp;"mΩ"</f>
        <v>5mΩ</v>
      </c>
      <c r="H239" s="88"/>
    </row>
    <row r="240" spans="1:8" x14ac:dyDescent="0.25">
      <c r="A240" s="388"/>
      <c r="H240" s="88"/>
    </row>
    <row r="241" spans="1:8" x14ac:dyDescent="0.25">
      <c r="A241" s="87" t="str">
        <f>"VOUT = "&amp;'Design Regulator'!E9&amp;"V"</f>
        <v>VOUT = 5.1V</v>
      </c>
      <c r="B241" t="str">
        <f>'Design Regulator'!E9&amp;"V"</f>
        <v>5.1V</v>
      </c>
      <c r="H241" s="88"/>
    </row>
    <row r="242" spans="1:8" x14ac:dyDescent="0.25">
      <c r="A242" s="87"/>
      <c r="C242" s="173" t="str">
        <f>M44</f>
        <v>47</v>
      </c>
      <c r="D242" s="173">
        <f>ROUNDUP('Design Regulator'!$E$33/C242,0)</f>
        <v>3</v>
      </c>
      <c r="H242" s="88"/>
    </row>
    <row r="243" spans="1:8" x14ac:dyDescent="0.25">
      <c r="A243" s="87" t="str">
        <f>"COUT = "&amp;'Design Regulator'!$E$33&amp;"uF"</f>
        <v>COUT = 132uF</v>
      </c>
      <c r="B243" t="str">
        <f>'Design Regulator'!$E$33&amp;"µF"</f>
        <v>132µF</v>
      </c>
      <c r="C243" s="173" t="str">
        <f>C242</f>
        <v>47</v>
      </c>
      <c r="D243" s="173" t="str">
        <f>IF(D242=1, "",B245)</f>
        <v xml:space="preserve">3 x </v>
      </c>
      <c r="E243" t="str">
        <f>D243&amp;C243&amp;"µF"</f>
        <v>3 x 47µF</v>
      </c>
      <c r="F243" t="str">
        <f>C243&amp;"µF"</f>
        <v>47µF</v>
      </c>
      <c r="G243" t="str">
        <f>L66</f>
        <v>10V</v>
      </c>
      <c r="H243" s="88"/>
    </row>
    <row r="244" spans="1:8" x14ac:dyDescent="0.25">
      <c r="A244" s="306" t="s">
        <v>531</v>
      </c>
      <c r="B244" t="str">
        <f>C242&amp;"µF"</f>
        <v>47µF</v>
      </c>
      <c r="H244" s="88"/>
    </row>
    <row r="245" spans="1:8" x14ac:dyDescent="0.25">
      <c r="A245" s="306" t="s">
        <v>532</v>
      </c>
      <c r="B245" s="173" t="str">
        <f>D242&amp;" x "</f>
        <v xml:space="preserve">3 x </v>
      </c>
      <c r="H245" s="88"/>
    </row>
    <row r="246" spans="1:8" x14ac:dyDescent="0.25">
      <c r="A246" s="389"/>
      <c r="H246" s="88"/>
    </row>
    <row r="247" spans="1:8" x14ac:dyDescent="0.25">
      <c r="A247" s="388"/>
      <c r="H247" s="88"/>
    </row>
    <row r="248" spans="1:8" x14ac:dyDescent="0.25">
      <c r="A248" s="87" t="s">
        <v>410</v>
      </c>
      <c r="B248" t="str">
        <f>Cin*1000000&amp;"µF"</f>
        <v>110µF</v>
      </c>
      <c r="H248" s="88"/>
    </row>
    <row r="249" spans="1:8" x14ac:dyDescent="0.25">
      <c r="A249" s="306" t="s">
        <v>530</v>
      </c>
      <c r="B249" t="str">
        <f>"4.7µF"</f>
        <v>4.7µF</v>
      </c>
      <c r="H249" s="88"/>
    </row>
    <row r="250" spans="1:8" x14ac:dyDescent="0.25">
      <c r="A250" s="306" t="s">
        <v>529</v>
      </c>
      <c r="B250" s="173" t="str">
        <f>ROUNDUP(Cin*1000000/4.7,0)&amp;" x "</f>
        <v xml:space="preserve">24 x </v>
      </c>
      <c r="E250" t="str">
        <f>B250&amp;B249</f>
        <v>24 x 4.7µF</v>
      </c>
      <c r="H250" s="88"/>
    </row>
    <row r="251" spans="1:8" x14ac:dyDescent="0.25">
      <c r="A251" s="389"/>
      <c r="B251" s="173"/>
      <c r="H251" s="88"/>
    </row>
    <row r="252" spans="1:8" x14ac:dyDescent="0.25">
      <c r="A252" s="306"/>
      <c r="B252" s="173"/>
      <c r="H252" s="88"/>
    </row>
    <row r="253" spans="1:8" x14ac:dyDescent="0.25">
      <c r="A253" s="87" t="str">
        <f>"RC1 = "&amp;Rcea1_u/1000&amp;"kΩ"</f>
        <v>RC1 = 5.6kΩ</v>
      </c>
      <c r="B253" t="str">
        <f>ROUND(Rcea1_u/1000,2)&amp;"kΩ"</f>
        <v>5.6kΩ</v>
      </c>
      <c r="H253" s="88"/>
    </row>
    <row r="254" spans="1:8" x14ac:dyDescent="0.25">
      <c r="A254" s="87" t="str">
        <f>"CC1 = "&amp;Cc1ea_u*10^9&amp;"nF"</f>
        <v>CC1 = 4.7nF</v>
      </c>
      <c r="B254" t="str">
        <f>ROUND(Cc1ea_u*10^9,1)&amp;"nF"</f>
        <v>4.7nF</v>
      </c>
      <c r="H254" s="88"/>
    </row>
    <row r="255" spans="1:8" x14ac:dyDescent="0.25">
      <c r="A255" s="87" t="str">
        <f>"CC2 = "&amp;Cc2ea_u*10^12&amp;"pF"</f>
        <v>CC2 = 150pF</v>
      </c>
      <c r="B255" t="str">
        <f>ROUND(Cc2ea_u*10^12,0)&amp;"pF"</f>
        <v>150pF</v>
      </c>
      <c r="H255" s="88"/>
    </row>
    <row r="256" spans="1:8" x14ac:dyDescent="0.25">
      <c r="A256" s="87" t="str">
        <f>"RC2 = "&amp;Rcea2_u&amp;"Ω"</f>
        <v>RC2 = 600Ω</v>
      </c>
      <c r="B256" t="str">
        <f>ROUND(Rcea2_u,2)&amp;"Ω"</f>
        <v>600Ω</v>
      </c>
      <c r="H256" s="88"/>
    </row>
    <row r="257" spans="1:8" x14ac:dyDescent="0.25">
      <c r="A257" s="87" t="str">
        <f>"CC3 = "&amp;Cc3ea_u*10^12&amp;"pF"</f>
        <v>CC3 = 2200pF</v>
      </c>
      <c r="B257" t="str">
        <f>ROUND(Cc3ea_u*10^12,0)&amp;"pF"</f>
        <v>2200pF</v>
      </c>
      <c r="H257" s="88"/>
    </row>
    <row r="258" spans="1:8" x14ac:dyDescent="0.25">
      <c r="A258" s="87" t="str">
        <f>"RFB1 = "&amp;'Design Regulator'!E63&amp;"kΩ"</f>
        <v>RFB1 = 18kΩ</v>
      </c>
      <c r="B258" t="str">
        <f>'Design Regulator'!E63&amp;"kΩ"</f>
        <v>18kΩ</v>
      </c>
      <c r="H258" s="88"/>
    </row>
    <row r="259" spans="1:8" x14ac:dyDescent="0.25">
      <c r="A259" s="87" t="str">
        <f>"RFB2 = "&amp;IF(Vout=Vref,"OPEN",'Design Regulator'!E64&amp;"kΩ")</f>
        <v>RFB2 = 3.32kΩ</v>
      </c>
      <c r="B259" t="str">
        <f>IF(Vout=Vref,"OPEN",Rfb2_u/1000&amp;"kΩ")</f>
        <v>3.32kΩ</v>
      </c>
      <c r="H259" s="88"/>
    </row>
    <row r="260" spans="1:8" x14ac:dyDescent="0.25">
      <c r="A260" s="87" t="str">
        <f>"Crossover Frequency = "&amp;ROUND('Bode Plots Calculations'!BK5,0)&amp;" kHz"</f>
        <v>Crossover Frequency = 24 kHz</v>
      </c>
      <c r="B260" t="str">
        <f>ROUND('Bode Plots Calculations'!BK5,0)&amp;" kHz"</f>
        <v>24 kHz</v>
      </c>
      <c r="C260" s="172">
        <f>'Bode Plots Calculations'!BK5</f>
        <v>23.5</v>
      </c>
      <c r="H260" s="88"/>
    </row>
    <row r="261" spans="1:8" x14ac:dyDescent="0.25">
      <c r="A261" s="87" t="str">
        <f>"Phase Margin = "&amp;ROUND('Bode Plots Calculations'!BK6,0)&amp;"°"</f>
        <v>Phase Margin = 62°</v>
      </c>
      <c r="B261" s="173" t="str">
        <f>ROUND('Bode Plots Calculations'!BK6,0)&amp;"°"</f>
        <v>62°</v>
      </c>
      <c r="D261" s="309"/>
      <c r="H261" s="88"/>
    </row>
    <row r="262" spans="1:8" x14ac:dyDescent="0.25">
      <c r="A262" s="388"/>
      <c r="B262" s="173"/>
      <c r="D262" s="309"/>
      <c r="H262" s="88"/>
    </row>
    <row r="263" spans="1:8" x14ac:dyDescent="0.25">
      <c r="A263" s="87"/>
      <c r="H263" s="88"/>
    </row>
    <row r="264" spans="1:8" x14ac:dyDescent="0.25">
      <c r="A264" s="87" t="str">
        <f>"Rilim(Rdson) = "&amp;Rilim_Rdson&amp;"Ω"</f>
        <v>Rilim(Rdson) = 174Ω</v>
      </c>
      <c r="B264" t="str">
        <f>IF(Rilim_Rdson&gt;999,Rilim_Rdson/1000&amp;"kΩ", Rilim_Rdson&amp;"Ω")</f>
        <v>174Ω</v>
      </c>
      <c r="C264">
        <f>IF(Rilim_Rdson&gt;999,Rilim_Rdson/1000, Rilim_Rdson)</f>
        <v>174</v>
      </c>
      <c r="H264" s="88"/>
    </row>
    <row r="265" spans="1:8" x14ac:dyDescent="0.25">
      <c r="A265" s="87" t="str">
        <f>"Rilim(shunt) = "&amp;Rilim_shunt&amp;"Ω"</f>
        <v>Rilim(shunt) = 348Ω</v>
      </c>
      <c r="B265" t="str">
        <f>IF('Standard Value Calculator'!S22&gt;999, 'Standard Value Calculator'!S22/1000&amp;"kΩ", 'Standard Value Calculator'!S22&amp;"Ω")</f>
        <v>348Ω</v>
      </c>
      <c r="C265">
        <f>IF('Standard Value Calculator'!S22&gt;999, 'Standard Value Calculator'!S22/1000, 'Standard Value Calculator'!S22)</f>
        <v>348</v>
      </c>
      <c r="H265" s="88"/>
    </row>
    <row r="266" spans="1:8" x14ac:dyDescent="0.25">
      <c r="A266" s="87" t="s">
        <v>700</v>
      </c>
      <c r="B266" t="str">
        <f>Cilim_ideal&amp;"pF"</f>
        <v>33pF</v>
      </c>
      <c r="C266" s="463">
        <f>Cilim_ideal</f>
        <v>33</v>
      </c>
      <c r="H266" s="88"/>
    </row>
    <row r="267" spans="1:8" x14ac:dyDescent="0.25">
      <c r="A267" s="388"/>
      <c r="H267" s="88"/>
    </row>
    <row r="268" spans="1:8" x14ac:dyDescent="0.25">
      <c r="A268" s="389" t="s">
        <v>601</v>
      </c>
      <c r="B268" t="str">
        <f>IF(RDSON_sense=1, 'Variable Management'!B264,'Variable Management'!B265)</f>
        <v>174Ω</v>
      </c>
      <c r="C268">
        <f>IF(RDSON_sense=1, 'Variable Management'!C264,'Variable Management'!C265)</f>
        <v>174</v>
      </c>
      <c r="H268" s="88"/>
    </row>
    <row r="269" spans="1:8" x14ac:dyDescent="0.25">
      <c r="A269" s="389" t="str">
        <f>IF(RDSON_sense=1, "", "Rs")</f>
        <v/>
      </c>
      <c r="B269" t="str">
        <f>IF(RDSON_sense=1, "", Rshunt*1000&amp;"mΩ")</f>
        <v/>
      </c>
      <c r="D269" t="s">
        <v>702</v>
      </c>
      <c r="H269" s="88"/>
    </row>
    <row r="270" spans="1:8" x14ac:dyDescent="0.25">
      <c r="A270" s="389" t="str">
        <f>IF(RDSON_sense=1, "Cilim", "")</f>
        <v>Cilim</v>
      </c>
      <c r="B270" t="str">
        <f>IF(RDSON_sense=1, IF(Cilim_ideal&lt;3.3, "N/A", Cilim_ideal&amp;"pF"), "")</f>
        <v>33pF</v>
      </c>
      <c r="C270" s="428" t="str">
        <f>IF(RDSON_sense=1, IF(Cilim_ideal&lt;3.3, "N/A", Cilim_ideal&amp;""), "")</f>
        <v>33</v>
      </c>
      <c r="D270" t="s">
        <v>703</v>
      </c>
      <c r="H270" s="88"/>
    </row>
    <row r="271" spans="1:8" x14ac:dyDescent="0.25">
      <c r="A271" s="388"/>
      <c r="H271" s="88"/>
    </row>
    <row r="272" spans="1:8" x14ac:dyDescent="0.25">
      <c r="A272" s="388"/>
      <c r="H272" s="88"/>
    </row>
    <row r="273" spans="1:8" x14ac:dyDescent="0.25">
      <c r="A273" s="87" t="s">
        <v>429</v>
      </c>
      <c r="B273" t="str">
        <f>'Standard Value Calculator'!S24/1000&amp;"kΩ"</f>
        <v>0kΩ</v>
      </c>
      <c r="C273">
        <f>'Standard Value Calculator'!S24/1000</f>
        <v>0</v>
      </c>
      <c r="H273" s="88"/>
    </row>
    <row r="274" spans="1:8" x14ac:dyDescent="0.25">
      <c r="A274" s="306" t="s">
        <v>524</v>
      </c>
      <c r="B274" s="171" t="s">
        <v>525</v>
      </c>
      <c r="H274" s="88"/>
    </row>
    <row r="275" spans="1:8" x14ac:dyDescent="0.25">
      <c r="A275" s="87" t="s">
        <v>296</v>
      </c>
      <c r="B275" t="str">
        <f>'Standard Value Calculator'!S4/1000&amp;"kΩ"</f>
        <v>33.2kΩ</v>
      </c>
      <c r="H275" s="88"/>
    </row>
    <row r="276" spans="1:8" x14ac:dyDescent="0.25">
      <c r="A276" s="87" t="s">
        <v>295</v>
      </c>
      <c r="B276" t="str">
        <f>'Standard Value Calculator'!B4*1000000000 &amp;"nF"</f>
        <v>100nF</v>
      </c>
      <c r="H276" s="88"/>
    </row>
    <row r="277" spans="1:8" x14ac:dyDescent="0.25">
      <c r="A277" s="306" t="s">
        <v>526</v>
      </c>
      <c r="B277" s="171" t="s">
        <v>563</v>
      </c>
      <c r="H277" s="88"/>
    </row>
    <row r="278" spans="1:8" x14ac:dyDescent="0.25">
      <c r="A278" s="87" t="s">
        <v>358</v>
      </c>
      <c r="B278" t="str">
        <f>IF(B47="y","","|")</f>
        <v>|</v>
      </c>
      <c r="H278" s="88"/>
    </row>
    <row r="279" spans="1:8" x14ac:dyDescent="0.25">
      <c r="A279" s="87" t="s">
        <v>385</v>
      </c>
      <c r="B279" t="str">
        <f>'Design Regulator'!$E$10&amp;"A"</f>
        <v>6A</v>
      </c>
      <c r="H279" s="88"/>
    </row>
    <row r="280" spans="1:8" x14ac:dyDescent="0.25">
      <c r="A280" s="87" t="s">
        <v>281</v>
      </c>
      <c r="B280" t="str">
        <f>Vin&amp;"V"</f>
        <v>24V</v>
      </c>
      <c r="H280" s="88"/>
    </row>
    <row r="281" spans="1:8" x14ac:dyDescent="0.25">
      <c r="A281" s="389" t="s">
        <v>708</v>
      </c>
      <c r="B281" t="str">
        <f>Vinmin&amp;"V to "&amp;Vinmax&amp;"V"</f>
        <v>18V to 36V</v>
      </c>
      <c r="H281" s="88"/>
    </row>
    <row r="282" spans="1:8" x14ac:dyDescent="0.25">
      <c r="A282" s="389"/>
      <c r="H282" s="88"/>
    </row>
    <row r="283" spans="1:8" x14ac:dyDescent="0.25">
      <c r="A283" s="87"/>
      <c r="H283" s="88"/>
    </row>
    <row r="284" spans="1:8" x14ac:dyDescent="0.25">
      <c r="A284" s="87" t="s">
        <v>394</v>
      </c>
      <c r="B284">
        <v>12</v>
      </c>
      <c r="H284" s="88"/>
    </row>
    <row r="285" spans="1:8" x14ac:dyDescent="0.25">
      <c r="A285" s="87" t="s">
        <v>395</v>
      </c>
      <c r="B285">
        <v>18</v>
      </c>
      <c r="H285" s="88"/>
    </row>
    <row r="286" spans="1:8" x14ac:dyDescent="0.25">
      <c r="A286" s="87" t="s">
        <v>396</v>
      </c>
      <c r="B286">
        <v>14</v>
      </c>
      <c r="H286" s="88"/>
    </row>
    <row r="287" spans="1:8" x14ac:dyDescent="0.25">
      <c r="A287" s="87" t="s">
        <v>397</v>
      </c>
      <c r="B287">
        <v>6</v>
      </c>
      <c r="H287" s="88"/>
    </row>
    <row r="288" spans="1:8" x14ac:dyDescent="0.25">
      <c r="A288" s="87" t="s">
        <v>398</v>
      </c>
      <c r="B288">
        <v>7</v>
      </c>
      <c r="H288" s="88"/>
    </row>
    <row r="289" spans="1:8" x14ac:dyDescent="0.25">
      <c r="A289" s="87" t="s">
        <v>399</v>
      </c>
      <c r="B289">
        <v>11</v>
      </c>
      <c r="H289" s="88"/>
    </row>
    <row r="290" spans="1:8" x14ac:dyDescent="0.25">
      <c r="A290" s="87" t="s">
        <v>400</v>
      </c>
      <c r="B290">
        <v>1</v>
      </c>
      <c r="H290" s="88"/>
    </row>
    <row r="291" spans="1:8" x14ac:dyDescent="0.25">
      <c r="A291" s="87" t="s">
        <v>401</v>
      </c>
      <c r="B291">
        <v>5</v>
      </c>
      <c r="H291" s="88"/>
    </row>
    <row r="292" spans="1:8" x14ac:dyDescent="0.25">
      <c r="A292" s="87" t="s">
        <v>402</v>
      </c>
      <c r="B292">
        <v>13</v>
      </c>
      <c r="H292" s="88"/>
    </row>
    <row r="293" spans="1:8" x14ac:dyDescent="0.25">
      <c r="A293" s="87" t="s">
        <v>403</v>
      </c>
      <c r="B293">
        <v>4</v>
      </c>
      <c r="H293" s="88"/>
    </row>
    <row r="294" spans="1:8" x14ac:dyDescent="0.25">
      <c r="A294" s="87" t="s">
        <v>404</v>
      </c>
      <c r="B294">
        <v>3</v>
      </c>
      <c r="H294" s="88"/>
    </row>
    <row r="295" spans="1:8" x14ac:dyDescent="0.25">
      <c r="A295" s="87" t="s">
        <v>405</v>
      </c>
      <c r="B295">
        <v>24</v>
      </c>
      <c r="H295" s="88"/>
    </row>
    <row r="296" spans="1:8" x14ac:dyDescent="0.25">
      <c r="A296" s="87" t="s">
        <v>406</v>
      </c>
      <c r="B296">
        <v>23</v>
      </c>
      <c r="H296" s="88"/>
    </row>
    <row r="297" spans="1:8" x14ac:dyDescent="0.25">
      <c r="A297" s="87" t="s">
        <v>407</v>
      </c>
      <c r="B297">
        <v>15</v>
      </c>
      <c r="H297" s="88"/>
    </row>
    <row r="298" spans="1:8" x14ac:dyDescent="0.25">
      <c r="A298" s="87" t="s">
        <v>408</v>
      </c>
      <c r="B298">
        <v>16</v>
      </c>
      <c r="H298" s="88"/>
    </row>
    <row r="299" spans="1:8" x14ac:dyDescent="0.25">
      <c r="A299" s="87" t="s">
        <v>409</v>
      </c>
      <c r="B299">
        <v>17</v>
      </c>
      <c r="H299" s="88"/>
    </row>
    <row r="300" spans="1:8" x14ac:dyDescent="0.25">
      <c r="A300" t="s">
        <v>427</v>
      </c>
      <c r="B300">
        <v>2</v>
      </c>
      <c r="H300" s="88"/>
    </row>
    <row r="301" spans="1:8" x14ac:dyDescent="0.25">
      <c r="A301" s="87" t="s">
        <v>424</v>
      </c>
      <c r="B301">
        <v>8</v>
      </c>
      <c r="H301" s="88"/>
    </row>
    <row r="302" spans="1:8" x14ac:dyDescent="0.25">
      <c r="A302" s="87" t="s">
        <v>425</v>
      </c>
      <c r="B302">
        <v>9</v>
      </c>
      <c r="H302" s="88"/>
    </row>
    <row r="303" spans="1:8" ht="13.8" thickBot="1" x14ac:dyDescent="0.3">
      <c r="A303" s="91" t="s">
        <v>426</v>
      </c>
      <c r="B303" s="92">
        <v>10</v>
      </c>
      <c r="C303" s="92"/>
      <c r="D303" s="92"/>
      <c r="E303" s="92"/>
      <c r="F303" s="92"/>
      <c r="G303" s="92"/>
      <c r="H303" s="93"/>
    </row>
    <row r="307" spans="1:2" x14ac:dyDescent="0.25">
      <c r="A307" s="167"/>
    </row>
    <row r="308" spans="1:2" x14ac:dyDescent="0.25">
      <c r="A308" s="461" t="s">
        <v>695</v>
      </c>
      <c r="B308" s="54" t="str">
        <f>ROUND('Power Calculations'!AU209*1,1)&amp;"%"</f>
        <v>95%</v>
      </c>
    </row>
    <row r="309" spans="1:2" x14ac:dyDescent="0.25">
      <c r="A309" s="461" t="s">
        <v>696</v>
      </c>
      <c r="B309" s="54" t="str">
        <f>ROUND('Power Calculations'!AU109*1,1)&amp;"%"</f>
        <v>93.7%</v>
      </c>
    </row>
    <row r="346" spans="1:1" x14ac:dyDescent="0.25">
      <c r="A346" t="s">
        <v>316</v>
      </c>
    </row>
    <row r="347" spans="1:1" x14ac:dyDescent="0.25">
      <c r="A347" t="s">
        <v>317</v>
      </c>
    </row>
    <row r="348" spans="1:1" x14ac:dyDescent="0.25">
      <c r="A348" t="s">
        <v>318</v>
      </c>
    </row>
    <row r="349" spans="1:1" x14ac:dyDescent="0.25">
      <c r="A349" t="s">
        <v>319</v>
      </c>
    </row>
  </sheetData>
  <sheetProtection selectLockedCells="1"/>
  <mergeCells count="2">
    <mergeCell ref="D5:G5"/>
    <mergeCell ref="A1:H1"/>
  </mergeCells>
  <phoneticPr fontId="5" type="noConversion"/>
  <pageMargins left="0.75" right="0.75" top="1" bottom="1" header="0.5" footer="0.5"/>
  <pageSetup orientation="portrait" r:id="rId1"/>
  <headerFooter alignWithMargins="0"/>
  <ignoredErrors>
    <ignoredError sqref="L69:L73" numberStoredAsText="1"/>
  </ignoredErrors>
  <drawing r:id="rId2"/>
  <legacyDrawing r:id="rId3"/>
  <oleObjects>
    <mc:AlternateContent xmlns:mc="http://schemas.openxmlformats.org/markup-compatibility/2006">
      <mc:Choice Requires="x14">
        <oleObject progId="Visio.Drawing.11" shapeId="3073" r:id="rId4">
          <objectPr defaultSize="0" autoPict="0" r:id="rId5">
            <anchor moveWithCells="1">
              <from>
                <xdr:col>9</xdr:col>
                <xdr:colOff>220980</xdr:colOff>
                <xdr:row>10</xdr:row>
                <xdr:rowOff>114300</xdr:rowOff>
              </from>
              <to>
                <xdr:col>16</xdr:col>
                <xdr:colOff>30480</xdr:colOff>
                <xdr:row>31</xdr:row>
                <xdr:rowOff>121920</xdr:rowOff>
              </to>
            </anchor>
          </objectPr>
        </oleObject>
      </mc:Choice>
      <mc:Fallback>
        <oleObject progId="Visio.Drawing.11" shapeId="3073" r:id="rId4"/>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2:T159"/>
  <sheetViews>
    <sheetView workbookViewId="0">
      <selection activeCell="S4" sqref="S4"/>
    </sheetView>
  </sheetViews>
  <sheetFormatPr defaultRowHeight="13.2" x14ac:dyDescent="0.25"/>
  <cols>
    <col min="1" max="1" width="17.33203125" customWidth="1"/>
    <col min="2" max="2" width="12" bestFit="1" customWidth="1"/>
    <col min="3" max="5" width="12.44140625" bestFit="1" customWidth="1"/>
    <col min="8" max="8" width="12.44140625" bestFit="1" customWidth="1"/>
    <col min="14" max="14" width="11.88671875" customWidth="1"/>
    <col min="17" max="17" width="12.109375" customWidth="1"/>
    <col min="18" max="18" width="12.44140625" bestFit="1" customWidth="1"/>
    <col min="19" max="19" width="15.44140625" customWidth="1"/>
  </cols>
  <sheetData>
    <row r="2" spans="1:20" x14ac:dyDescent="0.25">
      <c r="A2" t="s">
        <v>307</v>
      </c>
      <c r="B2" t="s">
        <v>295</v>
      </c>
      <c r="C2" t="s">
        <v>54</v>
      </c>
      <c r="D2" t="s">
        <v>55</v>
      </c>
      <c r="E2" t="s">
        <v>57</v>
      </c>
      <c r="F2" t="s">
        <v>36</v>
      </c>
      <c r="G2" t="s">
        <v>127</v>
      </c>
      <c r="H2" t="s">
        <v>700</v>
      </c>
      <c r="I2" t="s">
        <v>321</v>
      </c>
      <c r="J2" t="s">
        <v>305</v>
      </c>
      <c r="K2" t="s">
        <v>325</v>
      </c>
      <c r="L2" t="s">
        <v>304</v>
      </c>
      <c r="M2" t="s">
        <v>315</v>
      </c>
      <c r="N2" t="s">
        <v>359</v>
      </c>
    </row>
    <row r="3" spans="1:20" x14ac:dyDescent="0.25">
      <c r="A3" t="s">
        <v>310</v>
      </c>
      <c r="B3">
        <f>Css</f>
        <v>9.9999999999999995E-8</v>
      </c>
      <c r="C3">
        <f>Cc1ea</f>
        <v>2.1455669474664967E-9</v>
      </c>
      <c r="D3">
        <f>Cc2ea</f>
        <v>1.3695108175318065E-10</v>
      </c>
      <c r="E3">
        <f>Cc3ea</f>
        <v>2.1759189461837966E-9</v>
      </c>
      <c r="F3">
        <f>Cout</f>
        <v>1.3200000000000001E-4</v>
      </c>
      <c r="G3">
        <f>Cin</f>
        <v>1.1E-4</v>
      </c>
      <c r="H3">
        <f>Cilim</f>
        <v>3.2352677469152362E-11</v>
      </c>
      <c r="I3">
        <f>Cdd</f>
        <v>0</v>
      </c>
      <c r="J3">
        <f>Csb</f>
        <v>0</v>
      </c>
      <c r="K3">
        <f>Csby</f>
        <v>100</v>
      </c>
      <c r="L3">
        <f>Cby</f>
        <v>0</v>
      </c>
      <c r="M3">
        <f>Cb</f>
        <v>0</v>
      </c>
      <c r="N3" t="e">
        <f>'Variable Management'!#REF!</f>
        <v>#REF!</v>
      </c>
      <c r="Q3" t="s">
        <v>312</v>
      </c>
      <c r="R3" t="s">
        <v>314</v>
      </c>
      <c r="S3" s="2" t="s">
        <v>309</v>
      </c>
    </row>
    <row r="4" spans="1:20" ht="13.8" x14ac:dyDescent="0.3">
      <c r="A4" s="7" t="s">
        <v>309</v>
      </c>
      <c r="B4" s="7">
        <f>SUM(B6:B158)/1000000000000</f>
        <v>9.9999999999999995E-8</v>
      </c>
      <c r="C4" s="7">
        <f t="shared" ref="C4:H4" si="0">SUM(C6:C158)/1000000000000</f>
        <v>2.1999999999999998E-9</v>
      </c>
      <c r="D4" s="7">
        <f t="shared" si="0"/>
        <v>1.5E-10</v>
      </c>
      <c r="E4" s="7">
        <f t="shared" si="0"/>
        <v>2.1999999999999998E-9</v>
      </c>
      <c r="F4" s="7">
        <f t="shared" si="0"/>
        <v>1.2E-4</v>
      </c>
      <c r="G4" s="7">
        <f t="shared" si="0"/>
        <v>1.2E-4</v>
      </c>
      <c r="H4" s="7">
        <f t="shared" si="0"/>
        <v>3.3000000000000002E-11</v>
      </c>
      <c r="I4" s="7">
        <f t="shared" ref="I4:N4" si="1">IF(I3="OPEN","OPEN",SUM(I6:I158)/1000000000000)</f>
        <v>0</v>
      </c>
      <c r="J4" s="7">
        <f t="shared" si="1"/>
        <v>0</v>
      </c>
      <c r="K4" s="7">
        <f t="shared" si="1"/>
        <v>0</v>
      </c>
      <c r="L4" s="7">
        <f t="shared" si="1"/>
        <v>0</v>
      </c>
      <c r="M4" s="7">
        <f t="shared" si="1"/>
        <v>0</v>
      </c>
      <c r="N4" s="7" t="e">
        <f t="shared" si="1"/>
        <v>#REF!</v>
      </c>
      <c r="Q4" t="s">
        <v>313</v>
      </c>
      <c r="R4">
        <f>Rfadj</f>
        <v>33333.333333333336</v>
      </c>
      <c r="S4" s="2">
        <f t="shared" ref="S4:S6" si="2">IF(R4&gt;(INT(0.5+100*POWER(10,IF(96*(LOG(R4)-INT(LOG(R4)))-ROUND(96*(LOG(R4)-INT(LOG(R4))),0)&lt;0,ROUND(96*(LOG(R4)-INT(LOG(R4))),0)-1,ROUND(96*(LOG(R4)-INT(LOG(R4))),0))/96))*POWER(10,INT(LOG(R4))-2)+INT(0.5+100*POWER(10,(IF(96*(LOG(R4)-INT(LOG(R4)))-ROUND(96*(LOG(R4)-INT(LOG(R4))),0)&lt;0,ROUND(96*(LOG(R4)-INT(LOG(R4))),0)-1,ROUND(96*(LOG(R4)-INT(LOG(R4))),0))+1)/96))*POWER(10,INT(LOG(R4))-2))/2,INT(0.5+100*POWER(10,(IF(96*(LOG(R4)-INT(LOG(R4)))-ROUND(96*(LOG(R4)-INT(LOG(R4))),0)&lt;0,ROUND(96*(LOG(R4)-INT(LOG(R4))),0)-1,ROUND(96*(LOG(R4)-INT(LOG(R4))),0))+1)/96))*POWER(10,INT(LOG(R4))-2),INT(0.5+100*POWER(10,IF(96*(LOG(R4)-INT(LOG(R4)))-ROUND(96*(LOG(R4)-INT(LOG(R4))),0)&lt;0,ROUND(96*(LOG(R4)-INT(LOG(R4))),0)-1,ROUND(96*(LOG(R4)-INT(LOG(R4))),0))/96))*POWER(10,INT(LOG(R4))-2))</f>
        <v>33200</v>
      </c>
      <c r="T4" s="55" t="s">
        <v>539</v>
      </c>
    </row>
    <row r="5" spans="1:20" ht="13.8" x14ac:dyDescent="0.3">
      <c r="A5" t="s">
        <v>308</v>
      </c>
      <c r="Q5" s="171" t="s">
        <v>594</v>
      </c>
      <c r="R5">
        <f>Rilim_Rdson_ideal</f>
        <v>174.65887500000002</v>
      </c>
      <c r="S5" s="2">
        <f t="shared" si="2"/>
        <v>174</v>
      </c>
      <c r="T5" s="55" t="s">
        <v>539</v>
      </c>
    </row>
    <row r="6" spans="1:20" ht="13.8" x14ac:dyDescent="0.3">
      <c r="A6">
        <v>0.47</v>
      </c>
      <c r="B6">
        <f>IF(IF((B$3*10^12-$A7)*(B$3*10^12-$A6)*-1&lt;0,0,1)*IF(ABS(B$3*10^12-$A7)&gt;(B$3*10^12-$A6),$A6,$A7)=B7,0,IF((B$3*10^12-$A7)*(B$3*10^12-$A6)*-1&lt;0,0,1)*IF(ABS(B$3*10^12-$A7)&gt;(B$3*10^12-$A6),$A6,$A7))</f>
        <v>0</v>
      </c>
      <c r="C6">
        <f>IF(IF((C$3*10^12-$A7)*(C$3*10^12-$A6)*-1&lt;0,0,1)*IF(ABS(C$3*10^12-$A7)&gt;(C$3*10^12-$A6),$A6,$A7)=C7,0,IF((C$3*10^12-$A7)*(C$3*10^12-$A6)*-1&lt;0,0,1)*IF(ABS(C$3*10^12-$A7)&gt;(C$3*10^12-$A6),$A6,$A7))</f>
        <v>0</v>
      </c>
      <c r="D6">
        <f t="shared" ref="D6:D69" si="3">IF(IF((D$3*10^12-$A7)*(D$3*10^12-$A6)*-1&lt;0,0,1)*IF(ABS(D$3*10^12-$A7)&gt;(D$3*10^12-$A6),$A6,$A7)=D7,0,IF((D$3*10^12-$A7)*(D$3*10^12-$A6)*-1&lt;0,0,1)*IF(ABS(D$3*10^12-$A7)&gt;(D$3*10^12-$A6),$A6,$A7))</f>
        <v>0</v>
      </c>
      <c r="E6">
        <f t="shared" ref="E6:E69" si="4">IF(IF((E$3*10^12-$A7)*(E$3*10^12-$A6)*-1&lt;0,0,1)*IF(ABS(E$3*10^12-$A7)&gt;(E$3*10^12-$A6),$A6,$A7)=E7,0,IF((E$3*10^12-$A7)*(E$3*10^12-$A6)*-1&lt;0,0,1)*IF(ABS(E$3*10^12-$A7)&gt;(E$3*10^12-$A6),$A6,$A7))</f>
        <v>0</v>
      </c>
      <c r="F6">
        <f t="shared" ref="F6:F69" si="5">IF(IF((F$3*10^12-$A7)*(F$3*10^12-$A6)*-1&lt;0,0,1)*IF(ABS(F$3*10^12-$A7)&gt;(F$3*10^12-$A6),$A6,$A7)=F7,0,IF((F$3*10^12-$A7)*(F$3*10^12-$A6)*-1&lt;0,0,1)*IF(ABS(F$3*10^12-$A7)&gt;(F$3*10^12-$A6),$A6,$A7))</f>
        <v>0</v>
      </c>
      <c r="G6">
        <f t="shared" ref="G6:G69" si="6">IF(IF((G$3*10^12-$A7)*(G$3*10^12-$A6)*-1&lt;0,0,1)*IF(ABS(G$3*10^12-$A7)&gt;(G$3*10^12-$A6),$A6,$A7)=G7,0,IF((G$3*10^12-$A7)*(G$3*10^12-$A6)*-1&lt;0,0,1)*IF(ABS(G$3*10^12-$A7)&gt;(G$3*10^12-$A6),$A6,$A7))</f>
        <v>0</v>
      </c>
      <c r="H6">
        <f t="shared" ref="H6:K69" si="7">IF(IF((H$3*10^12-$A7)*(H$3*10^12-$A6)*-1&lt;0,0,1)*IF(ABS(H$3*10^12-$A7)&gt;(H$3*10^12-$A6),$A6,$A7)=H7,0,IF((H$3*10^12-$A7)*(H$3*10^12-$A6)*-1&lt;0,0,1)*IF(ABS(H$3*10^12-$A7)&gt;(H$3*10^12-$A6),$A6,$A7))</f>
        <v>0</v>
      </c>
      <c r="I6">
        <f t="shared" si="7"/>
        <v>0</v>
      </c>
      <c r="J6">
        <f t="shared" si="7"/>
        <v>0</v>
      </c>
      <c r="K6">
        <f t="shared" si="7"/>
        <v>0</v>
      </c>
      <c r="L6">
        <f t="shared" ref="L6:L69" si="8">IF(IF((L$3*10^12-$A7)*(L$3*10^12-$A6)*-1&lt;0,0,1)*IF(ABS(L$3*10^12-$A7)&gt;(L$3*10^12-$A6),$A6,$A7)=L7,0,IF((L$3*10^12-$A7)*(L$3*10^12-$A6)*-1&lt;0,0,1)*IF(ABS(L$3*10^12-$A7)&gt;(L$3*10^12-$A6),$A6,$A7))</f>
        <v>0</v>
      </c>
      <c r="M6">
        <f t="shared" ref="M6:M37" si="9">IF(IF((M$3*10^12-$A7)*(M$3*10^12-$A6)*-1&lt;0,0,1)*IF(ABS(M$3*10^12-$A7)&gt;(M$3*10^12-$A6),$A6,$A7)=M7,0,IF((M$3*10^12-$A7)*(M$3*10^12-$A6)*-1&lt;0,0,1)*IF(ABS(M$3*10^12-$A7)&gt;(M$3*10^12-$A6),$A6,$A7))</f>
        <v>0</v>
      </c>
      <c r="N6" t="e">
        <f t="shared" ref="N6:N37" si="10">IF(IF((N$3*10^12-$A7)*(N$3*10^12-$A6)*-1&lt;0,0,1)*IF(ABS(N$3*10^12-$A7)&gt;(N$3*10^12-$A6),$A6,$A7)=N7,0,IF((N$3*10^12-$A7)*(N$3*10^12-$A6)*-1&lt;0,0,1)*IF(ABS(N$3*10^12-$A7)&gt;(N$3*10^12-$A6),$A6,$A7))</f>
        <v>#REF!</v>
      </c>
      <c r="Q6" s="171" t="s">
        <v>594</v>
      </c>
      <c r="R6">
        <f>Rilim_Rdson_ideal</f>
        <v>174.65887500000002</v>
      </c>
      <c r="S6" s="2">
        <f t="shared" si="2"/>
        <v>174</v>
      </c>
      <c r="T6" s="55" t="s">
        <v>539</v>
      </c>
    </row>
    <row r="7" spans="1:20" x14ac:dyDescent="0.25">
      <c r="A7">
        <v>0.56000000000000005</v>
      </c>
      <c r="B7">
        <f t="shared" ref="B7:B70" si="11">IF(IF((B$3*10^12-$A8)*(B$3*10^12-$A7)*-1&lt;0,0,1)*IF(ABS(B$3*10^12-$A8)&gt;(B$3*10^12-$A7),$A7,$A8)=B8,0,IF((B$3*10^12-$A8)*(B$3*10^12-$A7)*-1&lt;0,0,1)*IF(ABS(B$3*10^12-$A8)&gt;(B$3*10^12-$A7),$A7,$A8))</f>
        <v>0</v>
      </c>
      <c r="C7">
        <f t="shared" ref="C7:C38" si="12">IF(IF((C$3*10^12-$A8)*(C$3*10^12-$A7)*-1&lt;0,0,1)*IF(ABS(C$3*10^12-$A8)&gt;(C$3*10^12-$A7),$A7,$A8)=C8,0,IF((C$3*10^12-$A8)*(C$3*10^12-$A7)*-1&lt;0,0,1)*IF(ABS(C$3*10^12-$A8)&gt;(C$3*10^12-$A7),$A7,$A8))</f>
        <v>0</v>
      </c>
      <c r="D7">
        <f t="shared" si="3"/>
        <v>0</v>
      </c>
      <c r="E7">
        <f t="shared" si="4"/>
        <v>0</v>
      </c>
      <c r="F7">
        <f t="shared" si="5"/>
        <v>0</v>
      </c>
      <c r="G7">
        <f t="shared" si="6"/>
        <v>0</v>
      </c>
      <c r="H7">
        <f t="shared" si="7"/>
        <v>0</v>
      </c>
      <c r="I7">
        <f t="shared" si="7"/>
        <v>0</v>
      </c>
      <c r="J7">
        <f t="shared" si="7"/>
        <v>0</v>
      </c>
      <c r="K7">
        <f t="shared" si="7"/>
        <v>0</v>
      </c>
      <c r="L7">
        <f t="shared" si="8"/>
        <v>0</v>
      </c>
      <c r="M7">
        <f t="shared" si="9"/>
        <v>0</v>
      </c>
      <c r="N7" t="e">
        <f t="shared" si="10"/>
        <v>#REF!</v>
      </c>
    </row>
    <row r="8" spans="1:20" ht="13.8" x14ac:dyDescent="0.3">
      <c r="A8">
        <v>0.68</v>
      </c>
      <c r="B8">
        <f t="shared" si="11"/>
        <v>0</v>
      </c>
      <c r="C8">
        <f t="shared" si="12"/>
        <v>0</v>
      </c>
      <c r="D8">
        <f t="shared" si="3"/>
        <v>0</v>
      </c>
      <c r="E8">
        <f t="shared" si="4"/>
        <v>0</v>
      </c>
      <c r="F8">
        <f t="shared" si="5"/>
        <v>0</v>
      </c>
      <c r="G8">
        <f t="shared" si="6"/>
        <v>0</v>
      </c>
      <c r="H8">
        <f t="shared" si="7"/>
        <v>0</v>
      </c>
      <c r="I8">
        <f t="shared" si="7"/>
        <v>0</v>
      </c>
      <c r="J8">
        <f t="shared" si="7"/>
        <v>0</v>
      </c>
      <c r="K8">
        <f t="shared" si="7"/>
        <v>0</v>
      </c>
      <c r="L8">
        <f t="shared" si="8"/>
        <v>0</v>
      </c>
      <c r="M8">
        <f t="shared" si="9"/>
        <v>0</v>
      </c>
      <c r="N8" t="e">
        <f t="shared" si="10"/>
        <v>#REF!</v>
      </c>
      <c r="Q8" t="s">
        <v>345</v>
      </c>
      <c r="R8">
        <f>Rcea1</f>
        <v>8242.055838366734</v>
      </c>
      <c r="S8" s="2">
        <f>IF(R8&gt;(INT(0.5+100*POWER(10,IF(96*(LOG(R8)-INT(LOG(R8)))-ROUND(96*(LOG(R8)-INT(LOG(R8))),0)&lt;0,ROUND(96*(LOG(R8)-INT(LOG(R8))),0)-1,ROUND(96*(LOG(R8)-INT(LOG(R8))),0))/96))*POWER(10,INT(LOG(R8))-2)+INT(0.5+100*POWER(10,(IF(96*(LOG(R8)-INT(LOG(R8)))-ROUND(96*(LOG(R8)-INT(LOG(R8))),0)&lt;0,ROUND(96*(LOG(R8)-INT(LOG(R8))),0)-1,ROUND(96*(LOG(R8)-INT(LOG(R8))),0))+1)/96))*POWER(10,INT(LOG(R8))-2))/2,INT(0.5+100*POWER(10,(IF(96*(LOG(R8)-INT(LOG(R8)))-ROUND(96*(LOG(R8)-INT(LOG(R8))),0)&lt;0,ROUND(96*(LOG(R8)-INT(LOG(R8))),0)-1,ROUND(96*(LOG(R8)-INT(LOG(R8))),0))+1)/96))*POWER(10,INT(LOG(R8))-2),INT(0.5+100*POWER(10,IF(96*(LOG(R8)-INT(LOG(R8)))-ROUND(96*(LOG(R8)-INT(LOG(R8))),0)&lt;0,ROUND(96*(LOG(R8)-INT(LOG(R8))),0)-1,ROUND(96*(LOG(R8)-INT(LOG(R8))),0))/96))*POWER(10,INT(LOG(R8))-2))</f>
        <v>8250</v>
      </c>
      <c r="T8" s="55" t="s">
        <v>539</v>
      </c>
    </row>
    <row r="9" spans="1:20" ht="13.8" x14ac:dyDescent="0.3">
      <c r="A9">
        <v>0.82</v>
      </c>
      <c r="B9">
        <f t="shared" si="11"/>
        <v>0</v>
      </c>
      <c r="C9">
        <f t="shared" si="12"/>
        <v>0</v>
      </c>
      <c r="D9">
        <f t="shared" si="3"/>
        <v>0</v>
      </c>
      <c r="E9">
        <f t="shared" si="4"/>
        <v>0</v>
      </c>
      <c r="F9">
        <f t="shared" si="5"/>
        <v>0</v>
      </c>
      <c r="G9">
        <f t="shared" si="6"/>
        <v>0</v>
      </c>
      <c r="H9">
        <f t="shared" si="7"/>
        <v>0</v>
      </c>
      <c r="I9">
        <f t="shared" si="7"/>
        <v>0</v>
      </c>
      <c r="J9">
        <f t="shared" si="7"/>
        <v>0</v>
      </c>
      <c r="K9">
        <f t="shared" si="7"/>
        <v>0</v>
      </c>
      <c r="L9">
        <f t="shared" si="8"/>
        <v>0</v>
      </c>
      <c r="M9">
        <f t="shared" si="9"/>
        <v>0</v>
      </c>
      <c r="N9" t="e">
        <f t="shared" si="10"/>
        <v>#REF!</v>
      </c>
      <c r="Q9" t="s">
        <v>346</v>
      </c>
      <c r="R9">
        <f>Rcea2</f>
        <v>606.64024379909131</v>
      </c>
      <c r="S9" s="2">
        <f>IF(R9&gt;(INT(0.5+100*POWER(10,IF(96*(LOG(R9)-INT(LOG(R9)))-ROUND(96*(LOG(R9)-INT(LOG(R9))),0)&lt;0,ROUND(96*(LOG(R9)-INT(LOG(R9))),0)-1,ROUND(96*(LOG(R9)-INT(LOG(R9))),0))/96))*POWER(10,INT(LOG(R9))-2)+INT(0.5+100*POWER(10,(IF(96*(LOG(R9)-INT(LOG(R9)))-ROUND(96*(LOG(R9)-INT(LOG(R9))),0)&lt;0,ROUND(96*(LOG(R9)-INT(LOG(R9))),0)-1,ROUND(96*(LOG(R9)-INT(LOG(R9))),0))+1)/96))*POWER(10,INT(LOG(R9))-2))/2,INT(0.5+100*POWER(10,(IF(96*(LOG(R9)-INT(LOG(R9)))-ROUND(96*(LOG(R9)-INT(LOG(R9))),0)&lt;0,ROUND(96*(LOG(R9)-INT(LOG(R9))),0)-1,ROUND(96*(LOG(R9)-INT(LOG(R9))),0))+1)/96))*POWER(10,INT(LOG(R9))-2),INT(0.5+100*POWER(10,IF(96*(LOG(R9)-INT(LOG(R9)))-ROUND(96*(LOG(R9)-INT(LOG(R9))),0)&lt;0,ROUND(96*(LOG(R9)-INT(LOG(R9))),0)-1,ROUND(96*(LOG(R9)-INT(LOG(R9))),0))/96))*POWER(10,INT(LOG(R9))-2))</f>
        <v>604</v>
      </c>
      <c r="T9" s="55" t="s">
        <v>539</v>
      </c>
    </row>
    <row r="10" spans="1:20" ht="13.8" x14ac:dyDescent="0.3">
      <c r="A10">
        <v>1</v>
      </c>
      <c r="B10">
        <f t="shared" si="11"/>
        <v>0</v>
      </c>
      <c r="C10">
        <f t="shared" si="12"/>
        <v>0</v>
      </c>
      <c r="D10">
        <f t="shared" si="3"/>
        <v>0</v>
      </c>
      <c r="E10">
        <f t="shared" si="4"/>
        <v>0</v>
      </c>
      <c r="F10">
        <f t="shared" si="5"/>
        <v>0</v>
      </c>
      <c r="G10">
        <f t="shared" si="6"/>
        <v>0</v>
      </c>
      <c r="H10">
        <f t="shared" si="7"/>
        <v>0</v>
      </c>
      <c r="I10">
        <f t="shared" si="7"/>
        <v>0</v>
      </c>
      <c r="J10">
        <f t="shared" si="7"/>
        <v>0</v>
      </c>
      <c r="K10">
        <f t="shared" si="7"/>
        <v>0</v>
      </c>
      <c r="L10">
        <f t="shared" si="8"/>
        <v>0</v>
      </c>
      <c r="M10">
        <f t="shared" si="9"/>
        <v>0</v>
      </c>
      <c r="N10" t="e">
        <f t="shared" si="10"/>
        <v>#REF!</v>
      </c>
      <c r="Q10" t="s">
        <v>52</v>
      </c>
      <c r="R10">
        <f>_Rfb1</f>
        <v>18000</v>
      </c>
      <c r="S10" s="2">
        <f>IF(R10&gt;(INT(0.5+100*POWER(10,IF(96*(LOG(R10)-INT(LOG(R10)))-ROUND(96*(LOG(R10)-INT(LOG(R10))),0)&lt;0,ROUND(96*(LOG(R10)-INT(LOG(R10))),0)-1,ROUND(96*(LOG(R10)-INT(LOG(R10))),0))/96))*POWER(10,INT(LOG(R10))-2)+INT(0.5+100*POWER(10,(IF(96*(LOG(R10)-INT(LOG(R10)))-ROUND(96*(LOG(R10)-INT(LOG(R10))),0)&lt;0,ROUND(96*(LOG(R10)-INT(LOG(R10))),0)-1,ROUND(96*(LOG(R10)-INT(LOG(R10))),0))+1)/96))*POWER(10,INT(LOG(R10))-2))/2,INT(0.5+100*POWER(10,(IF(96*(LOG(R10)-INT(LOG(R10)))-ROUND(96*(LOG(R10)-INT(LOG(R10))),0)&lt;0,ROUND(96*(LOG(R10)-INT(LOG(R10))),0)-1,ROUND(96*(LOG(R10)-INT(LOG(R10))),0))+1)/96))*POWER(10,INT(LOG(R10))-2),INT(0.5+100*POWER(10,IF(96*(LOG(R10)-INT(LOG(R10)))-ROUND(96*(LOG(R10)-INT(LOG(R10))),0)&lt;0,ROUND(96*(LOG(R10)-INT(LOG(R10))),0)-1,ROUND(96*(LOG(R10)-INT(LOG(R10))),0))/96))*POWER(10,INT(LOG(R10))-2))</f>
        <v>17800</v>
      </c>
      <c r="T10" s="55" t="s">
        <v>539</v>
      </c>
    </row>
    <row r="11" spans="1:20" ht="13.8" x14ac:dyDescent="0.3">
      <c r="A11">
        <v>1.2</v>
      </c>
      <c r="B11">
        <f t="shared" si="11"/>
        <v>0</v>
      </c>
      <c r="C11">
        <f t="shared" si="12"/>
        <v>0</v>
      </c>
      <c r="D11">
        <f t="shared" si="3"/>
        <v>0</v>
      </c>
      <c r="E11">
        <f t="shared" si="4"/>
        <v>0</v>
      </c>
      <c r="F11">
        <f t="shared" si="5"/>
        <v>0</v>
      </c>
      <c r="G11">
        <f t="shared" si="6"/>
        <v>0</v>
      </c>
      <c r="H11">
        <f t="shared" si="7"/>
        <v>0</v>
      </c>
      <c r="I11">
        <f t="shared" si="7"/>
        <v>0</v>
      </c>
      <c r="J11">
        <f t="shared" si="7"/>
        <v>0</v>
      </c>
      <c r="K11">
        <f t="shared" si="7"/>
        <v>0</v>
      </c>
      <c r="L11">
        <f t="shared" si="8"/>
        <v>0</v>
      </c>
      <c r="M11">
        <f t="shared" si="9"/>
        <v>0</v>
      </c>
      <c r="N11" t="e">
        <f t="shared" si="10"/>
        <v>#REF!</v>
      </c>
      <c r="Q11" t="s">
        <v>77</v>
      </c>
      <c r="R11">
        <f>_Rfb2</f>
        <v>3348.8372093023258</v>
      </c>
      <c r="S11" s="2">
        <f>IF(R11="OPEN","OPEN",IF(R11&gt;(INT(0.5+100*POWER(10,IF(96*(LOG(R11)-INT(LOG(R11)))-ROUND(96*(LOG(R11)-INT(LOG(R11))),0)&lt;0,ROUND(96*(LOG(R11)-INT(LOG(R11))),0)-1,ROUND(96*(LOG(R11)-INT(LOG(R11))),0))/96))*POWER(10,INT(LOG(R11))-2)+INT(0.5+100*POWER(10,(IF(96*(LOG(R11)-INT(LOG(R11)))-ROUND(96*(LOG(R11)-INT(LOG(R11))),0)&lt;0,ROUND(96*(LOG(R11)-INT(LOG(R11))),0)-1,ROUND(96*(LOG(R11)-INT(LOG(R11))),0))+1)/96))*POWER(10,INT(LOG(R11))-2))/2,INT(0.5+100*POWER(10,(IF(96*(LOG(R11)-INT(LOG(R11)))-ROUND(96*(LOG(R11)-INT(LOG(R11))),0)&lt;0,ROUND(96*(LOG(R11)-INT(LOG(R11))),0)-1,ROUND(96*(LOG(R11)-INT(LOG(R11))),0))+1)/96))*POWER(10,INT(LOG(R11))-2),INT(0.5+100*POWER(10,IF(96*(LOG(R11)-INT(LOG(R11)))-ROUND(96*(LOG(R11)-INT(LOG(R11))),0)&lt;0,ROUND(96*(LOG(R11)-INT(LOG(R11))),0)-1,ROUND(96*(LOG(R11)-INT(LOG(R11))),0))/96))*POWER(10,INT(LOG(R11))-2)))</f>
        <v>3320</v>
      </c>
      <c r="T11" s="55" t="s">
        <v>539</v>
      </c>
    </row>
    <row r="12" spans="1:20" x14ac:dyDescent="0.25">
      <c r="A12">
        <v>1.5</v>
      </c>
      <c r="B12">
        <f t="shared" si="11"/>
        <v>0</v>
      </c>
      <c r="C12">
        <f t="shared" si="12"/>
        <v>0</v>
      </c>
      <c r="D12">
        <f t="shared" si="3"/>
        <v>0</v>
      </c>
      <c r="E12">
        <f t="shared" si="4"/>
        <v>0</v>
      </c>
      <c r="F12">
        <f t="shared" si="5"/>
        <v>0</v>
      </c>
      <c r="G12">
        <f t="shared" si="6"/>
        <v>0</v>
      </c>
      <c r="H12">
        <f t="shared" si="7"/>
        <v>0</v>
      </c>
      <c r="I12">
        <f t="shared" si="7"/>
        <v>0</v>
      </c>
      <c r="J12">
        <f t="shared" si="7"/>
        <v>0</v>
      </c>
      <c r="K12">
        <f t="shared" si="7"/>
        <v>0</v>
      </c>
      <c r="L12">
        <f t="shared" si="8"/>
        <v>0</v>
      </c>
      <c r="M12">
        <f t="shared" si="9"/>
        <v>0</v>
      </c>
      <c r="N12" t="e">
        <f t="shared" si="10"/>
        <v>#REF!</v>
      </c>
      <c r="Q12" t="s">
        <v>316</v>
      </c>
      <c r="R12">
        <f>_Rs1</f>
        <v>33</v>
      </c>
      <c r="S12" s="2"/>
    </row>
    <row r="13" spans="1:20" x14ac:dyDescent="0.25">
      <c r="A13">
        <v>1.8</v>
      </c>
      <c r="B13">
        <f t="shared" si="11"/>
        <v>0</v>
      </c>
      <c r="C13">
        <f t="shared" si="12"/>
        <v>0</v>
      </c>
      <c r="D13">
        <f t="shared" si="3"/>
        <v>0</v>
      </c>
      <c r="E13">
        <f t="shared" si="4"/>
        <v>0</v>
      </c>
      <c r="F13">
        <f t="shared" si="5"/>
        <v>0</v>
      </c>
      <c r="G13">
        <f t="shared" si="6"/>
        <v>0</v>
      </c>
      <c r="H13">
        <f t="shared" si="7"/>
        <v>0</v>
      </c>
      <c r="I13">
        <f t="shared" si="7"/>
        <v>0</v>
      </c>
      <c r="J13">
        <f t="shared" si="7"/>
        <v>0</v>
      </c>
      <c r="K13">
        <f t="shared" si="7"/>
        <v>0</v>
      </c>
      <c r="L13">
        <f t="shared" si="8"/>
        <v>0</v>
      </c>
      <c r="M13">
        <f t="shared" si="9"/>
        <v>0</v>
      </c>
      <c r="N13" t="e">
        <f t="shared" si="10"/>
        <v>#REF!</v>
      </c>
      <c r="Q13" t="s">
        <v>317</v>
      </c>
      <c r="R13">
        <f>_Rs2</f>
        <v>3.2352677469152362E-11</v>
      </c>
      <c r="S13" s="2"/>
    </row>
    <row r="14" spans="1:20" x14ac:dyDescent="0.25">
      <c r="A14">
        <v>2.2000000000000002</v>
      </c>
      <c r="B14">
        <f t="shared" si="11"/>
        <v>0</v>
      </c>
      <c r="C14">
        <f t="shared" si="12"/>
        <v>0</v>
      </c>
      <c r="D14">
        <f t="shared" si="3"/>
        <v>0</v>
      </c>
      <c r="E14">
        <f t="shared" si="4"/>
        <v>0</v>
      </c>
      <c r="F14">
        <f t="shared" si="5"/>
        <v>0</v>
      </c>
      <c r="G14">
        <f t="shared" si="6"/>
        <v>0</v>
      </c>
      <c r="H14">
        <f t="shared" si="7"/>
        <v>0</v>
      </c>
      <c r="I14">
        <f t="shared" si="7"/>
        <v>0</v>
      </c>
      <c r="J14">
        <f t="shared" si="7"/>
        <v>0</v>
      </c>
      <c r="K14">
        <f t="shared" si="7"/>
        <v>0</v>
      </c>
      <c r="L14">
        <f t="shared" si="8"/>
        <v>0</v>
      </c>
      <c r="M14">
        <f t="shared" si="9"/>
        <v>0</v>
      </c>
      <c r="N14" t="e">
        <f t="shared" si="10"/>
        <v>#REF!</v>
      </c>
      <c r="Q14" t="s">
        <v>318</v>
      </c>
      <c r="R14">
        <f>_Rs3</f>
        <v>0.16</v>
      </c>
      <c r="S14" s="2"/>
    </row>
    <row r="15" spans="1:20" x14ac:dyDescent="0.25">
      <c r="A15">
        <v>2.7</v>
      </c>
      <c r="B15">
        <f t="shared" si="11"/>
        <v>0</v>
      </c>
      <c r="C15">
        <f t="shared" si="12"/>
        <v>0</v>
      </c>
      <c r="D15">
        <f t="shared" si="3"/>
        <v>0</v>
      </c>
      <c r="E15">
        <f t="shared" si="4"/>
        <v>0</v>
      </c>
      <c r="F15">
        <f t="shared" si="5"/>
        <v>0</v>
      </c>
      <c r="G15">
        <f t="shared" si="6"/>
        <v>0</v>
      </c>
      <c r="H15">
        <f t="shared" si="7"/>
        <v>0</v>
      </c>
      <c r="I15">
        <f t="shared" si="7"/>
        <v>0</v>
      </c>
      <c r="J15">
        <f t="shared" si="7"/>
        <v>0</v>
      </c>
      <c r="K15">
        <f t="shared" si="7"/>
        <v>0</v>
      </c>
      <c r="L15">
        <f t="shared" si="8"/>
        <v>0</v>
      </c>
      <c r="M15">
        <f t="shared" si="9"/>
        <v>0</v>
      </c>
      <c r="N15" t="e">
        <f t="shared" si="10"/>
        <v>#REF!</v>
      </c>
      <c r="S15" s="2"/>
    </row>
    <row r="16" spans="1:20" ht="13.8" x14ac:dyDescent="0.3">
      <c r="A16">
        <v>3.3</v>
      </c>
      <c r="B16">
        <f t="shared" si="11"/>
        <v>0</v>
      </c>
      <c r="C16">
        <f t="shared" si="12"/>
        <v>0</v>
      </c>
      <c r="D16">
        <f t="shared" si="3"/>
        <v>0</v>
      </c>
      <c r="E16">
        <f t="shared" si="4"/>
        <v>0</v>
      </c>
      <c r="F16">
        <f t="shared" si="5"/>
        <v>0</v>
      </c>
      <c r="G16">
        <f t="shared" si="6"/>
        <v>0</v>
      </c>
      <c r="H16">
        <f t="shared" si="7"/>
        <v>0</v>
      </c>
      <c r="I16">
        <f t="shared" si="7"/>
        <v>0</v>
      </c>
      <c r="J16">
        <f t="shared" si="7"/>
        <v>0</v>
      </c>
      <c r="K16">
        <f t="shared" si="7"/>
        <v>0</v>
      </c>
      <c r="L16">
        <f t="shared" si="8"/>
        <v>0</v>
      </c>
      <c r="M16">
        <f t="shared" si="9"/>
        <v>0</v>
      </c>
      <c r="N16" t="e">
        <f t="shared" si="10"/>
        <v>#REF!</v>
      </c>
      <c r="Q16" s="171" t="s">
        <v>527</v>
      </c>
      <c r="R16">
        <f>Ruvlo1</f>
        <v>75</v>
      </c>
      <c r="S16" s="2">
        <f t="shared" ref="S16:S17" si="13">IF(R16="OPEN","OPEN",IF(R16&gt;(INT(0.5+100*POWER(10,IF(96*(LOG(R16)-INT(LOG(R16)))-ROUND(96*(LOG(R16)-INT(LOG(R16))),0)&lt;0,ROUND(96*(LOG(R16)-INT(LOG(R16))),0)-1,ROUND(96*(LOG(R16)-INT(LOG(R16))),0))/96))*POWER(10,INT(LOG(R16))-2)+INT(0.5+100*POWER(10,(IF(96*(LOG(R16)-INT(LOG(R16)))-ROUND(96*(LOG(R16)-INT(LOG(R16))),0)&lt;0,ROUND(96*(LOG(R16)-INT(LOG(R16))),0)-1,ROUND(96*(LOG(R16)-INT(LOG(R16))),0))+1)/96))*POWER(10,INT(LOG(R16))-2))/2,INT(0.5+100*POWER(10,(IF(96*(LOG(R16)-INT(LOG(R16)))-ROUND(96*(LOG(R16)-INT(LOG(R16))),0)&lt;0,ROUND(96*(LOG(R16)-INT(LOG(R16))),0)-1,ROUND(96*(LOG(R16)-INT(LOG(R16))),0))+1)/96))*POWER(10,INT(LOG(R16))-2),INT(0.5+100*POWER(10,IF(96*(LOG(R16)-INT(LOG(R16)))-ROUND(96*(LOG(R16)-INT(LOG(R16))),0)&lt;0,ROUND(96*(LOG(R16)-INT(LOG(R16))),0)-1,ROUND(96*(LOG(R16)-INT(LOG(R16))),0))/96))*POWER(10,INT(LOG(R16))-2)))</f>
        <v>75</v>
      </c>
      <c r="T16" s="55" t="s">
        <v>493</v>
      </c>
    </row>
    <row r="17" spans="1:20" ht="13.8" x14ac:dyDescent="0.3">
      <c r="A17">
        <v>3.9</v>
      </c>
      <c r="B17">
        <f t="shared" si="11"/>
        <v>0</v>
      </c>
      <c r="C17">
        <f t="shared" si="12"/>
        <v>0</v>
      </c>
      <c r="D17">
        <f t="shared" si="3"/>
        <v>0</v>
      </c>
      <c r="E17">
        <f t="shared" si="4"/>
        <v>0</v>
      </c>
      <c r="F17">
        <f t="shared" si="5"/>
        <v>0</v>
      </c>
      <c r="G17">
        <f t="shared" si="6"/>
        <v>0</v>
      </c>
      <c r="H17">
        <f t="shared" si="7"/>
        <v>0</v>
      </c>
      <c r="I17">
        <f t="shared" si="7"/>
        <v>0</v>
      </c>
      <c r="J17">
        <f t="shared" si="7"/>
        <v>0</v>
      </c>
      <c r="K17">
        <f t="shared" si="7"/>
        <v>0</v>
      </c>
      <c r="L17">
        <f t="shared" si="8"/>
        <v>0</v>
      </c>
      <c r="M17">
        <f t="shared" si="9"/>
        <v>0</v>
      </c>
      <c r="N17" t="e">
        <f t="shared" si="10"/>
        <v>#REF!</v>
      </c>
      <c r="Q17" s="171" t="s">
        <v>528</v>
      </c>
      <c r="R17">
        <f>Ruvlo2</f>
        <v>12.622720897615709</v>
      </c>
      <c r="S17" s="2">
        <f t="shared" si="13"/>
        <v>12.700000000000001</v>
      </c>
      <c r="T17" s="55" t="s">
        <v>493</v>
      </c>
    </row>
    <row r="18" spans="1:20" x14ac:dyDescent="0.25">
      <c r="A18">
        <v>4.7</v>
      </c>
      <c r="B18">
        <f t="shared" si="11"/>
        <v>0</v>
      </c>
      <c r="C18">
        <f t="shared" si="12"/>
        <v>0</v>
      </c>
      <c r="D18">
        <f t="shared" si="3"/>
        <v>0</v>
      </c>
      <c r="E18">
        <f t="shared" si="4"/>
        <v>0</v>
      </c>
      <c r="F18">
        <f t="shared" si="5"/>
        <v>0</v>
      </c>
      <c r="G18">
        <f t="shared" si="6"/>
        <v>0</v>
      </c>
      <c r="H18">
        <f t="shared" si="7"/>
        <v>0</v>
      </c>
      <c r="I18">
        <f t="shared" si="7"/>
        <v>0</v>
      </c>
      <c r="J18">
        <f t="shared" si="7"/>
        <v>0</v>
      </c>
      <c r="K18">
        <f t="shared" si="7"/>
        <v>0</v>
      </c>
      <c r="L18">
        <f t="shared" si="8"/>
        <v>0</v>
      </c>
      <c r="M18">
        <f t="shared" si="9"/>
        <v>0</v>
      </c>
      <c r="N18" t="e">
        <f t="shared" si="10"/>
        <v>#REF!</v>
      </c>
      <c r="S18" s="2"/>
    </row>
    <row r="19" spans="1:20" x14ac:dyDescent="0.25">
      <c r="A19">
        <v>5.6</v>
      </c>
      <c r="B19">
        <f t="shared" si="11"/>
        <v>0</v>
      </c>
      <c r="C19">
        <f t="shared" si="12"/>
        <v>0</v>
      </c>
      <c r="D19">
        <f t="shared" si="3"/>
        <v>0</v>
      </c>
      <c r="E19">
        <f t="shared" si="4"/>
        <v>0</v>
      </c>
      <c r="F19">
        <f t="shared" si="5"/>
        <v>0</v>
      </c>
      <c r="G19">
        <f t="shared" si="6"/>
        <v>0</v>
      </c>
      <c r="H19">
        <f t="shared" si="7"/>
        <v>0</v>
      </c>
      <c r="I19">
        <f t="shared" si="7"/>
        <v>0</v>
      </c>
      <c r="J19">
        <f t="shared" si="7"/>
        <v>0</v>
      </c>
      <c r="K19">
        <f t="shared" si="7"/>
        <v>0</v>
      </c>
      <c r="L19">
        <f t="shared" si="8"/>
        <v>0</v>
      </c>
      <c r="M19">
        <f t="shared" si="9"/>
        <v>0</v>
      </c>
      <c r="N19" t="e">
        <f t="shared" si="10"/>
        <v>#REF!</v>
      </c>
      <c r="S19" s="2"/>
    </row>
    <row r="20" spans="1:20" x14ac:dyDescent="0.25">
      <c r="A20">
        <v>6.8</v>
      </c>
      <c r="B20">
        <f t="shared" si="11"/>
        <v>0</v>
      </c>
      <c r="C20">
        <f t="shared" si="12"/>
        <v>0</v>
      </c>
      <c r="D20">
        <f t="shared" si="3"/>
        <v>0</v>
      </c>
      <c r="E20">
        <f t="shared" si="4"/>
        <v>0</v>
      </c>
      <c r="F20">
        <f t="shared" si="5"/>
        <v>0</v>
      </c>
      <c r="G20">
        <f t="shared" si="6"/>
        <v>0</v>
      </c>
      <c r="H20">
        <f t="shared" si="7"/>
        <v>0</v>
      </c>
      <c r="I20">
        <f t="shared" si="7"/>
        <v>0</v>
      </c>
      <c r="J20">
        <f t="shared" si="7"/>
        <v>0</v>
      </c>
      <c r="K20">
        <f t="shared" si="7"/>
        <v>0</v>
      </c>
      <c r="L20">
        <f t="shared" si="8"/>
        <v>0</v>
      </c>
      <c r="M20">
        <f t="shared" si="9"/>
        <v>0</v>
      </c>
      <c r="N20" t="e">
        <f t="shared" si="10"/>
        <v>#REF!</v>
      </c>
      <c r="S20" s="2"/>
    </row>
    <row r="21" spans="1:20" ht="13.8" x14ac:dyDescent="0.3">
      <c r="A21">
        <v>8.1999999999999993</v>
      </c>
      <c r="B21">
        <f t="shared" si="11"/>
        <v>0</v>
      </c>
      <c r="C21">
        <f t="shared" si="12"/>
        <v>0</v>
      </c>
      <c r="D21">
        <f t="shared" si="3"/>
        <v>0</v>
      </c>
      <c r="E21">
        <f t="shared" si="4"/>
        <v>0</v>
      </c>
      <c r="F21">
        <f t="shared" si="5"/>
        <v>0</v>
      </c>
      <c r="G21">
        <f t="shared" si="6"/>
        <v>0</v>
      </c>
      <c r="H21">
        <f t="shared" si="7"/>
        <v>0</v>
      </c>
      <c r="I21">
        <f t="shared" si="7"/>
        <v>0</v>
      </c>
      <c r="J21">
        <f t="shared" si="7"/>
        <v>0</v>
      </c>
      <c r="K21">
        <f t="shared" si="7"/>
        <v>0</v>
      </c>
      <c r="L21">
        <f t="shared" si="8"/>
        <v>0</v>
      </c>
      <c r="M21">
        <f t="shared" si="9"/>
        <v>0</v>
      </c>
      <c r="N21" t="e">
        <f t="shared" si="10"/>
        <v>#REF!</v>
      </c>
      <c r="Q21" s="171"/>
      <c r="S21" s="2"/>
      <c r="T21" s="55"/>
    </row>
    <row r="22" spans="1:20" ht="13.8" x14ac:dyDescent="0.3">
      <c r="A22">
        <v>10</v>
      </c>
      <c r="B22">
        <f t="shared" si="11"/>
        <v>0</v>
      </c>
      <c r="C22">
        <f t="shared" si="12"/>
        <v>0</v>
      </c>
      <c r="D22">
        <f t="shared" si="3"/>
        <v>0</v>
      </c>
      <c r="E22">
        <f t="shared" si="4"/>
        <v>0</v>
      </c>
      <c r="F22">
        <f t="shared" si="5"/>
        <v>0</v>
      </c>
      <c r="G22">
        <f t="shared" si="6"/>
        <v>0</v>
      </c>
      <c r="H22">
        <f t="shared" si="7"/>
        <v>0</v>
      </c>
      <c r="I22">
        <f t="shared" si="7"/>
        <v>0</v>
      </c>
      <c r="J22">
        <f t="shared" si="7"/>
        <v>0</v>
      </c>
      <c r="K22">
        <f t="shared" si="7"/>
        <v>0</v>
      </c>
      <c r="L22">
        <f t="shared" si="8"/>
        <v>0</v>
      </c>
      <c r="M22">
        <f t="shared" si="9"/>
        <v>0</v>
      </c>
      <c r="N22" t="e">
        <f t="shared" si="10"/>
        <v>#REF!</v>
      </c>
      <c r="Q22" s="171" t="s">
        <v>595</v>
      </c>
      <c r="R22" s="408">
        <f>Rilim_shunt_ideal</f>
        <v>349.31775000000005</v>
      </c>
      <c r="S22" s="2">
        <f>IF(R22=0,0,IF(R22&gt;(INT(0.5+100*POWER(10,IF(96*(LOG(R22)-INT(LOG(R22)))-ROUND(96*(LOG(R22)-INT(LOG(R22))),0)&lt;0,ROUND(96*(LOG(R22)-INT(LOG(R22))),0)-1,ROUND(96*(LOG(R22)-INT(LOG(R22))),0))/96))*POWER(10,INT(LOG(R22))-2)+INT(0.5+100*POWER(10,(IF(96*(LOG(R22)-INT(LOG(R22)))-ROUND(96*(LOG(R22)-INT(LOG(R22))),0)&lt;0,ROUND(96*(LOG(R22)-INT(LOG(R22))),0)-1,ROUND(96*(LOG(R22)-INT(LOG(R22))),0))+1)/96))*POWER(10,INT(LOG(R22))-2))/2,INT(0.5+100*POWER(10,(IF(96*(LOG(R22)-INT(LOG(R22)))-ROUND(96*(LOG(R22)-INT(LOG(R22))),0)&lt;0,ROUND(96*(LOG(R22)-INT(LOG(R22))),0)-1,ROUND(96*(LOG(R22)-INT(LOG(R22))),0))+1)/96))*POWER(10,INT(LOG(R22))-2),INT(0.5+100*POWER(10,IF(96*(LOG(R22)-INT(LOG(R22)))-ROUND(96*(LOG(R22)-INT(LOG(R22))),0)&lt;0,ROUND(96*(LOG(R22)-INT(LOG(R22))),0)-1,ROUND(96*(LOG(R22)-INT(LOG(R22))),0))/96))*POWER(10,INT(LOG(R22))-2)))</f>
        <v>348</v>
      </c>
      <c r="T22" s="55" t="s">
        <v>539</v>
      </c>
    </row>
    <row r="23" spans="1:20" x14ac:dyDescent="0.25">
      <c r="A23">
        <v>12</v>
      </c>
      <c r="B23">
        <f t="shared" si="11"/>
        <v>0</v>
      </c>
      <c r="C23">
        <f t="shared" si="12"/>
        <v>0</v>
      </c>
      <c r="D23">
        <f t="shared" si="3"/>
        <v>0</v>
      </c>
      <c r="E23">
        <f t="shared" si="4"/>
        <v>0</v>
      </c>
      <c r="F23">
        <f t="shared" si="5"/>
        <v>0</v>
      </c>
      <c r="G23">
        <f t="shared" si="6"/>
        <v>0</v>
      </c>
      <c r="H23">
        <f t="shared" si="7"/>
        <v>0</v>
      </c>
      <c r="I23">
        <f t="shared" si="7"/>
        <v>0</v>
      </c>
      <c r="J23">
        <f t="shared" si="7"/>
        <v>0</v>
      </c>
      <c r="K23">
        <f t="shared" si="7"/>
        <v>0</v>
      </c>
      <c r="L23">
        <f t="shared" si="8"/>
        <v>0</v>
      </c>
      <c r="M23">
        <f t="shared" si="9"/>
        <v>0</v>
      </c>
      <c r="N23" t="e">
        <f t="shared" si="10"/>
        <v>#REF!</v>
      </c>
      <c r="Q23" t="s">
        <v>700</v>
      </c>
      <c r="R23" s="40">
        <f>Cilim</f>
        <v>3.2352677469152362E-11</v>
      </c>
      <c r="S23" s="2">
        <f>H4*1000000000000</f>
        <v>33</v>
      </c>
      <c r="T23" t="s">
        <v>53</v>
      </c>
    </row>
    <row r="24" spans="1:20" ht="13.8" x14ac:dyDescent="0.3">
      <c r="A24">
        <v>15</v>
      </c>
      <c r="B24">
        <f t="shared" si="11"/>
        <v>0</v>
      </c>
      <c r="C24">
        <f t="shared" si="12"/>
        <v>0</v>
      </c>
      <c r="D24">
        <f t="shared" si="3"/>
        <v>0</v>
      </c>
      <c r="E24">
        <f t="shared" si="4"/>
        <v>0</v>
      </c>
      <c r="F24">
        <f t="shared" si="5"/>
        <v>0</v>
      </c>
      <c r="G24">
        <f t="shared" si="6"/>
        <v>0</v>
      </c>
      <c r="H24">
        <f t="shared" si="7"/>
        <v>0</v>
      </c>
      <c r="I24">
        <f t="shared" si="7"/>
        <v>0</v>
      </c>
      <c r="J24">
        <f t="shared" si="7"/>
        <v>0</v>
      </c>
      <c r="K24">
        <f t="shared" si="7"/>
        <v>0</v>
      </c>
      <c r="L24">
        <f t="shared" si="8"/>
        <v>0</v>
      </c>
      <c r="M24">
        <f t="shared" si="9"/>
        <v>0</v>
      </c>
      <c r="N24" t="e">
        <f t="shared" si="10"/>
        <v>#REF!</v>
      </c>
      <c r="Q24" s="171"/>
      <c r="S24" s="2"/>
      <c r="T24" s="55"/>
    </row>
    <row r="25" spans="1:20" x14ac:dyDescent="0.25">
      <c r="A25">
        <v>18</v>
      </c>
      <c r="B25">
        <f t="shared" si="11"/>
        <v>0</v>
      </c>
      <c r="C25">
        <f t="shared" si="12"/>
        <v>0</v>
      </c>
      <c r="D25">
        <f t="shared" si="3"/>
        <v>0</v>
      </c>
      <c r="E25">
        <f t="shared" si="4"/>
        <v>0</v>
      </c>
      <c r="F25">
        <f t="shared" si="5"/>
        <v>0</v>
      </c>
      <c r="G25">
        <f t="shared" si="6"/>
        <v>0</v>
      </c>
      <c r="H25">
        <f t="shared" si="7"/>
        <v>0</v>
      </c>
      <c r="I25">
        <f t="shared" si="7"/>
        <v>0</v>
      </c>
      <c r="J25">
        <f t="shared" si="7"/>
        <v>0</v>
      </c>
      <c r="K25">
        <f t="shared" si="7"/>
        <v>0</v>
      </c>
      <c r="L25">
        <f t="shared" si="8"/>
        <v>0</v>
      </c>
      <c r="M25">
        <f t="shared" si="9"/>
        <v>0</v>
      </c>
      <c r="N25" t="e">
        <f t="shared" si="10"/>
        <v>#REF!</v>
      </c>
    </row>
    <row r="26" spans="1:20" x14ac:dyDescent="0.25">
      <c r="A26">
        <v>22</v>
      </c>
      <c r="B26">
        <f t="shared" si="11"/>
        <v>0</v>
      </c>
      <c r="C26">
        <f t="shared" si="12"/>
        <v>0</v>
      </c>
      <c r="D26">
        <f t="shared" si="3"/>
        <v>0</v>
      </c>
      <c r="E26">
        <f t="shared" si="4"/>
        <v>0</v>
      </c>
      <c r="F26">
        <f t="shared" si="5"/>
        <v>0</v>
      </c>
      <c r="G26">
        <f t="shared" si="6"/>
        <v>0</v>
      </c>
      <c r="H26">
        <f t="shared" si="7"/>
        <v>0</v>
      </c>
      <c r="I26">
        <f t="shared" si="7"/>
        <v>0</v>
      </c>
      <c r="J26">
        <f t="shared" si="7"/>
        <v>0</v>
      </c>
      <c r="K26">
        <f t="shared" si="7"/>
        <v>0</v>
      </c>
      <c r="L26">
        <f t="shared" si="8"/>
        <v>0</v>
      </c>
      <c r="M26">
        <f t="shared" si="9"/>
        <v>0</v>
      </c>
      <c r="N26" t="e">
        <f t="shared" si="10"/>
        <v>#REF!</v>
      </c>
    </row>
    <row r="27" spans="1:20" ht="13.8" x14ac:dyDescent="0.3">
      <c r="A27">
        <v>27</v>
      </c>
      <c r="B27">
        <f t="shared" si="11"/>
        <v>0</v>
      </c>
      <c r="C27">
        <f t="shared" si="12"/>
        <v>0</v>
      </c>
      <c r="D27">
        <f t="shared" si="3"/>
        <v>0</v>
      </c>
      <c r="E27">
        <f t="shared" si="4"/>
        <v>0</v>
      </c>
      <c r="F27">
        <f t="shared" si="5"/>
        <v>0</v>
      </c>
      <c r="G27">
        <f t="shared" si="6"/>
        <v>0</v>
      </c>
      <c r="H27">
        <f t="shared" si="7"/>
        <v>33</v>
      </c>
      <c r="I27">
        <f t="shared" si="7"/>
        <v>0</v>
      </c>
      <c r="J27">
        <f t="shared" si="7"/>
        <v>0</v>
      </c>
      <c r="K27">
        <f t="shared" si="7"/>
        <v>0</v>
      </c>
      <c r="L27">
        <f t="shared" si="8"/>
        <v>0</v>
      </c>
      <c r="M27">
        <f t="shared" si="9"/>
        <v>0</v>
      </c>
      <c r="N27" t="e">
        <f t="shared" si="10"/>
        <v>#REF!</v>
      </c>
      <c r="Q27" s="3" t="s">
        <v>326</v>
      </c>
      <c r="R27" t="str">
        <f>S8/1000&amp;" kΩ"</f>
        <v>8.25 kΩ</v>
      </c>
      <c r="S27">
        <f>S8/1000</f>
        <v>8.25</v>
      </c>
      <c r="T27" s="55" t="s">
        <v>493</v>
      </c>
    </row>
    <row r="28" spans="1:20" x14ac:dyDescent="0.25">
      <c r="A28">
        <v>33</v>
      </c>
      <c r="B28">
        <f t="shared" si="11"/>
        <v>0</v>
      </c>
      <c r="C28">
        <f t="shared" si="12"/>
        <v>0</v>
      </c>
      <c r="D28">
        <f t="shared" si="3"/>
        <v>0</v>
      </c>
      <c r="E28">
        <f t="shared" si="4"/>
        <v>0</v>
      </c>
      <c r="F28">
        <f t="shared" si="5"/>
        <v>0</v>
      </c>
      <c r="G28">
        <f t="shared" si="6"/>
        <v>0</v>
      </c>
      <c r="H28">
        <f t="shared" si="7"/>
        <v>0</v>
      </c>
      <c r="I28">
        <f t="shared" si="7"/>
        <v>0</v>
      </c>
      <c r="J28">
        <f t="shared" si="7"/>
        <v>0</v>
      </c>
      <c r="K28">
        <f t="shared" si="7"/>
        <v>0</v>
      </c>
      <c r="L28">
        <f t="shared" si="8"/>
        <v>0</v>
      </c>
      <c r="M28">
        <f t="shared" si="9"/>
        <v>0</v>
      </c>
      <c r="N28" t="e">
        <f t="shared" si="10"/>
        <v>#REF!</v>
      </c>
      <c r="Q28" s="3" t="s">
        <v>322</v>
      </c>
      <c r="R28" t="str">
        <f>C4*1000000000000&amp;" pF"</f>
        <v>2200 pF</v>
      </c>
      <c r="S28">
        <f>C4*1000000000000</f>
        <v>2200</v>
      </c>
      <c r="T28" s="171" t="s">
        <v>53</v>
      </c>
    </row>
    <row r="29" spans="1:20" x14ac:dyDescent="0.25">
      <c r="A29">
        <v>39</v>
      </c>
      <c r="B29">
        <f t="shared" si="11"/>
        <v>0</v>
      </c>
      <c r="C29">
        <f t="shared" si="12"/>
        <v>0</v>
      </c>
      <c r="D29">
        <f t="shared" si="3"/>
        <v>0</v>
      </c>
      <c r="E29">
        <f t="shared" si="4"/>
        <v>0</v>
      </c>
      <c r="F29">
        <f t="shared" si="5"/>
        <v>0</v>
      </c>
      <c r="G29">
        <f t="shared" si="6"/>
        <v>0</v>
      </c>
      <c r="H29">
        <f t="shared" si="7"/>
        <v>0</v>
      </c>
      <c r="I29">
        <f t="shared" si="7"/>
        <v>0</v>
      </c>
      <c r="J29">
        <f t="shared" si="7"/>
        <v>0</v>
      </c>
      <c r="K29">
        <f t="shared" si="7"/>
        <v>0</v>
      </c>
      <c r="L29">
        <f t="shared" si="8"/>
        <v>0</v>
      </c>
      <c r="M29">
        <f t="shared" si="9"/>
        <v>0</v>
      </c>
      <c r="N29" t="e">
        <f t="shared" si="10"/>
        <v>#REF!</v>
      </c>
      <c r="Q29" s="3" t="s">
        <v>323</v>
      </c>
      <c r="R29" t="str">
        <f>D4*1000000000000&amp;" pF"</f>
        <v>150 pF</v>
      </c>
      <c r="S29">
        <f>D4*1000000000000</f>
        <v>150</v>
      </c>
      <c r="T29" s="171" t="s">
        <v>53</v>
      </c>
    </row>
    <row r="30" spans="1:20" ht="13.8" x14ac:dyDescent="0.3">
      <c r="A30">
        <v>47</v>
      </c>
      <c r="B30">
        <f t="shared" si="11"/>
        <v>0</v>
      </c>
      <c r="C30">
        <f t="shared" si="12"/>
        <v>0</v>
      </c>
      <c r="D30">
        <f t="shared" si="3"/>
        <v>0</v>
      </c>
      <c r="E30">
        <f t="shared" si="4"/>
        <v>0</v>
      </c>
      <c r="F30">
        <f t="shared" si="5"/>
        <v>0</v>
      </c>
      <c r="G30">
        <f t="shared" si="6"/>
        <v>0</v>
      </c>
      <c r="H30">
        <f t="shared" si="7"/>
        <v>0</v>
      </c>
      <c r="I30">
        <f t="shared" si="7"/>
        <v>0</v>
      </c>
      <c r="J30">
        <f t="shared" si="7"/>
        <v>0</v>
      </c>
      <c r="K30">
        <f t="shared" si="7"/>
        <v>0</v>
      </c>
      <c r="L30">
        <f t="shared" si="8"/>
        <v>0</v>
      </c>
      <c r="M30">
        <f t="shared" si="9"/>
        <v>0</v>
      </c>
      <c r="N30" t="e">
        <f t="shared" si="10"/>
        <v>#REF!</v>
      </c>
      <c r="Q30" s="3" t="s">
        <v>327</v>
      </c>
      <c r="R30" t="str">
        <f>S9&amp;" Ω"</f>
        <v>604 Ω</v>
      </c>
      <c r="S30">
        <f>S9</f>
        <v>604</v>
      </c>
      <c r="T30" s="55" t="s">
        <v>539</v>
      </c>
    </row>
    <row r="31" spans="1:20" x14ac:dyDescent="0.25">
      <c r="A31">
        <v>56</v>
      </c>
      <c r="B31">
        <f t="shared" si="11"/>
        <v>0</v>
      </c>
      <c r="C31">
        <f t="shared" si="12"/>
        <v>0</v>
      </c>
      <c r="D31">
        <f t="shared" si="3"/>
        <v>0</v>
      </c>
      <c r="E31">
        <f t="shared" si="4"/>
        <v>0</v>
      </c>
      <c r="F31">
        <f t="shared" si="5"/>
        <v>0</v>
      </c>
      <c r="G31">
        <f t="shared" si="6"/>
        <v>0</v>
      </c>
      <c r="H31">
        <f t="shared" si="7"/>
        <v>0</v>
      </c>
      <c r="I31">
        <f t="shared" si="7"/>
        <v>0</v>
      </c>
      <c r="J31">
        <f t="shared" si="7"/>
        <v>0</v>
      </c>
      <c r="K31">
        <f t="shared" si="7"/>
        <v>0</v>
      </c>
      <c r="L31">
        <f t="shared" si="8"/>
        <v>0</v>
      </c>
      <c r="M31">
        <f t="shared" si="9"/>
        <v>0</v>
      </c>
      <c r="N31" t="e">
        <f t="shared" si="10"/>
        <v>#REF!</v>
      </c>
      <c r="Q31" s="3" t="s">
        <v>324</v>
      </c>
      <c r="R31" t="str">
        <f>E4*1000000000000&amp;" pF"</f>
        <v>2200 pF</v>
      </c>
      <c r="S31">
        <f>E4*1000000000000</f>
        <v>2200</v>
      </c>
      <c r="T31" s="171" t="s">
        <v>53</v>
      </c>
    </row>
    <row r="32" spans="1:20" x14ac:dyDescent="0.25">
      <c r="A32">
        <v>68</v>
      </c>
      <c r="B32">
        <f t="shared" si="11"/>
        <v>0</v>
      </c>
      <c r="C32">
        <f t="shared" si="12"/>
        <v>0</v>
      </c>
      <c r="D32">
        <f t="shared" si="3"/>
        <v>0</v>
      </c>
      <c r="E32">
        <f t="shared" si="4"/>
        <v>0</v>
      </c>
      <c r="F32">
        <f t="shared" si="5"/>
        <v>0</v>
      </c>
      <c r="G32">
        <f t="shared" si="6"/>
        <v>0</v>
      </c>
      <c r="H32">
        <f t="shared" si="7"/>
        <v>0</v>
      </c>
      <c r="I32">
        <f t="shared" si="7"/>
        <v>0</v>
      </c>
      <c r="J32">
        <f t="shared" si="7"/>
        <v>0</v>
      </c>
      <c r="K32">
        <f t="shared" si="7"/>
        <v>0</v>
      </c>
      <c r="L32">
        <f t="shared" si="8"/>
        <v>0</v>
      </c>
      <c r="M32">
        <f t="shared" si="9"/>
        <v>0</v>
      </c>
      <c r="N32" t="e">
        <f t="shared" si="10"/>
        <v>#REF!</v>
      </c>
    </row>
    <row r="33" spans="1:17" x14ac:dyDescent="0.25">
      <c r="A33">
        <v>82</v>
      </c>
      <c r="B33">
        <f t="shared" si="11"/>
        <v>0</v>
      </c>
      <c r="C33">
        <f t="shared" si="12"/>
        <v>0</v>
      </c>
      <c r="D33">
        <f t="shared" si="3"/>
        <v>0</v>
      </c>
      <c r="E33">
        <f t="shared" si="4"/>
        <v>0</v>
      </c>
      <c r="F33">
        <f t="shared" si="5"/>
        <v>0</v>
      </c>
      <c r="G33">
        <f t="shared" si="6"/>
        <v>0</v>
      </c>
      <c r="H33">
        <f t="shared" si="7"/>
        <v>0</v>
      </c>
      <c r="I33">
        <f t="shared" si="7"/>
        <v>0</v>
      </c>
      <c r="J33">
        <f t="shared" si="7"/>
        <v>0</v>
      </c>
      <c r="K33">
        <f t="shared" si="7"/>
        <v>0</v>
      </c>
      <c r="L33">
        <f t="shared" si="8"/>
        <v>0</v>
      </c>
      <c r="M33">
        <f t="shared" si="9"/>
        <v>0</v>
      </c>
      <c r="N33" t="e">
        <f t="shared" si="10"/>
        <v>#REF!</v>
      </c>
    </row>
    <row r="34" spans="1:17" x14ac:dyDescent="0.25">
      <c r="A34">
        <f>A22*10</f>
        <v>100</v>
      </c>
      <c r="B34">
        <f t="shared" si="11"/>
        <v>0</v>
      </c>
      <c r="C34">
        <f t="shared" si="12"/>
        <v>0</v>
      </c>
      <c r="D34">
        <f t="shared" si="3"/>
        <v>0</v>
      </c>
      <c r="E34">
        <f t="shared" si="4"/>
        <v>0</v>
      </c>
      <c r="F34">
        <f t="shared" si="5"/>
        <v>0</v>
      </c>
      <c r="G34">
        <f t="shared" si="6"/>
        <v>0</v>
      </c>
      <c r="H34">
        <f t="shared" si="7"/>
        <v>0</v>
      </c>
      <c r="I34">
        <f t="shared" si="7"/>
        <v>0</v>
      </c>
      <c r="J34">
        <f t="shared" si="7"/>
        <v>0</v>
      </c>
      <c r="K34">
        <f t="shared" si="7"/>
        <v>0</v>
      </c>
      <c r="L34">
        <f t="shared" si="8"/>
        <v>0</v>
      </c>
      <c r="M34">
        <f t="shared" si="9"/>
        <v>0</v>
      </c>
      <c r="N34" t="e">
        <f t="shared" si="10"/>
        <v>#REF!</v>
      </c>
      <c r="Q34" s="171"/>
    </row>
    <row r="35" spans="1:17" x14ac:dyDescent="0.25">
      <c r="A35">
        <f t="shared" ref="A35:A98" si="14">A23*10</f>
        <v>120</v>
      </c>
      <c r="B35">
        <f t="shared" si="11"/>
        <v>0</v>
      </c>
      <c r="C35">
        <f t="shared" si="12"/>
        <v>0</v>
      </c>
      <c r="D35">
        <f t="shared" si="3"/>
        <v>150</v>
      </c>
      <c r="E35">
        <f t="shared" si="4"/>
        <v>0</v>
      </c>
      <c r="F35">
        <f t="shared" si="5"/>
        <v>0</v>
      </c>
      <c r="G35">
        <f t="shared" si="6"/>
        <v>0</v>
      </c>
      <c r="H35">
        <f t="shared" si="7"/>
        <v>0</v>
      </c>
      <c r="I35">
        <f t="shared" si="7"/>
        <v>0</v>
      </c>
      <c r="J35">
        <f t="shared" si="7"/>
        <v>0</v>
      </c>
      <c r="K35">
        <f t="shared" si="7"/>
        <v>0</v>
      </c>
      <c r="L35">
        <f t="shared" si="8"/>
        <v>0</v>
      </c>
      <c r="M35">
        <f t="shared" si="9"/>
        <v>0</v>
      </c>
      <c r="N35" t="e">
        <f t="shared" si="10"/>
        <v>#REF!</v>
      </c>
      <c r="Q35" s="171"/>
    </row>
    <row r="36" spans="1:17" x14ac:dyDescent="0.25">
      <c r="A36">
        <f t="shared" si="14"/>
        <v>150</v>
      </c>
      <c r="B36">
        <f t="shared" si="11"/>
        <v>0</v>
      </c>
      <c r="C36">
        <f t="shared" si="12"/>
        <v>0</v>
      </c>
      <c r="D36">
        <f t="shared" si="3"/>
        <v>0</v>
      </c>
      <c r="E36">
        <f t="shared" si="4"/>
        <v>0</v>
      </c>
      <c r="F36">
        <f t="shared" si="5"/>
        <v>0</v>
      </c>
      <c r="G36">
        <f t="shared" si="6"/>
        <v>0</v>
      </c>
      <c r="H36">
        <f t="shared" si="7"/>
        <v>0</v>
      </c>
      <c r="I36">
        <f t="shared" si="7"/>
        <v>0</v>
      </c>
      <c r="J36">
        <f t="shared" si="7"/>
        <v>0</v>
      </c>
      <c r="K36">
        <f t="shared" si="7"/>
        <v>0</v>
      </c>
      <c r="L36">
        <f t="shared" si="8"/>
        <v>0</v>
      </c>
      <c r="M36">
        <f t="shared" si="9"/>
        <v>0</v>
      </c>
      <c r="N36" t="e">
        <f t="shared" si="10"/>
        <v>#REF!</v>
      </c>
    </row>
    <row r="37" spans="1:17" x14ac:dyDescent="0.25">
      <c r="A37">
        <f t="shared" si="14"/>
        <v>180</v>
      </c>
      <c r="B37">
        <f t="shared" si="11"/>
        <v>0</v>
      </c>
      <c r="C37">
        <f t="shared" si="12"/>
        <v>0</v>
      </c>
      <c r="D37">
        <f t="shared" si="3"/>
        <v>0</v>
      </c>
      <c r="E37">
        <f t="shared" si="4"/>
        <v>0</v>
      </c>
      <c r="F37">
        <f t="shared" si="5"/>
        <v>0</v>
      </c>
      <c r="G37">
        <f t="shared" si="6"/>
        <v>0</v>
      </c>
      <c r="H37">
        <f t="shared" si="7"/>
        <v>0</v>
      </c>
      <c r="I37">
        <f t="shared" si="7"/>
        <v>0</v>
      </c>
      <c r="J37">
        <f t="shared" si="7"/>
        <v>0</v>
      </c>
      <c r="K37">
        <f t="shared" si="7"/>
        <v>0</v>
      </c>
      <c r="L37">
        <f t="shared" si="8"/>
        <v>0</v>
      </c>
      <c r="M37">
        <f t="shared" si="9"/>
        <v>0</v>
      </c>
      <c r="N37" t="e">
        <f t="shared" si="10"/>
        <v>#REF!</v>
      </c>
    </row>
    <row r="38" spans="1:17" x14ac:dyDescent="0.25">
      <c r="A38">
        <f t="shared" si="14"/>
        <v>220</v>
      </c>
      <c r="B38">
        <f t="shared" si="11"/>
        <v>0</v>
      </c>
      <c r="C38">
        <f t="shared" si="12"/>
        <v>0</v>
      </c>
      <c r="D38">
        <f t="shared" si="3"/>
        <v>0</v>
      </c>
      <c r="E38">
        <f t="shared" si="4"/>
        <v>0</v>
      </c>
      <c r="F38">
        <f t="shared" si="5"/>
        <v>0</v>
      </c>
      <c r="G38">
        <f t="shared" si="6"/>
        <v>0</v>
      </c>
      <c r="H38">
        <f t="shared" si="7"/>
        <v>0</v>
      </c>
      <c r="I38">
        <f t="shared" si="7"/>
        <v>0</v>
      </c>
      <c r="J38">
        <f t="shared" si="7"/>
        <v>0</v>
      </c>
      <c r="K38">
        <f t="shared" si="7"/>
        <v>0</v>
      </c>
      <c r="L38">
        <f t="shared" si="8"/>
        <v>0</v>
      </c>
      <c r="M38">
        <f t="shared" ref="M38:M69" si="15">IF(IF((M$3*10^12-$A39)*(M$3*10^12-$A38)*-1&lt;0,0,1)*IF(ABS(M$3*10^12-$A39)&gt;(M$3*10^12-$A38),$A38,$A39)=M39,0,IF((M$3*10^12-$A39)*(M$3*10^12-$A38)*-1&lt;0,0,1)*IF(ABS(M$3*10^12-$A39)&gt;(M$3*10^12-$A38),$A38,$A39))</f>
        <v>0</v>
      </c>
      <c r="N38" t="e">
        <f t="shared" ref="N38:N69" si="16">IF(IF((N$3*10^12-$A39)*(N$3*10^12-$A38)*-1&lt;0,0,1)*IF(ABS(N$3*10^12-$A39)&gt;(N$3*10^12-$A38),$A38,$A39)=N39,0,IF((N$3*10^12-$A39)*(N$3*10^12-$A38)*-1&lt;0,0,1)*IF(ABS(N$3*10^12-$A39)&gt;(N$3*10^12-$A38),$A38,$A39))</f>
        <v>#REF!</v>
      </c>
    </row>
    <row r="39" spans="1:17" x14ac:dyDescent="0.25">
      <c r="A39">
        <f t="shared" si="14"/>
        <v>270</v>
      </c>
      <c r="B39">
        <f t="shared" si="11"/>
        <v>0</v>
      </c>
      <c r="C39">
        <f t="shared" ref="C39:C70" si="17">IF(IF((C$3*10^12-$A40)*(C$3*10^12-$A39)*-1&lt;0,0,1)*IF(ABS(C$3*10^12-$A40)&gt;(C$3*10^12-$A39),$A39,$A40)=C40,0,IF((C$3*10^12-$A40)*(C$3*10^12-$A39)*-1&lt;0,0,1)*IF(ABS(C$3*10^12-$A40)&gt;(C$3*10^12-$A39),$A39,$A40))</f>
        <v>0</v>
      </c>
      <c r="D39">
        <f t="shared" si="3"/>
        <v>0</v>
      </c>
      <c r="E39">
        <f t="shared" si="4"/>
        <v>0</v>
      </c>
      <c r="F39">
        <f t="shared" si="5"/>
        <v>0</v>
      </c>
      <c r="G39">
        <f t="shared" si="6"/>
        <v>0</v>
      </c>
      <c r="H39">
        <f t="shared" si="7"/>
        <v>0</v>
      </c>
      <c r="I39">
        <f t="shared" si="7"/>
        <v>0</v>
      </c>
      <c r="J39">
        <f t="shared" si="7"/>
        <v>0</v>
      </c>
      <c r="K39">
        <f t="shared" si="7"/>
        <v>0</v>
      </c>
      <c r="L39">
        <f t="shared" si="8"/>
        <v>0</v>
      </c>
      <c r="M39">
        <f t="shared" si="15"/>
        <v>0</v>
      </c>
      <c r="N39" t="e">
        <f t="shared" si="16"/>
        <v>#REF!</v>
      </c>
    </row>
    <row r="40" spans="1:17" x14ac:dyDescent="0.25">
      <c r="A40">
        <f t="shared" si="14"/>
        <v>330</v>
      </c>
      <c r="B40">
        <f t="shared" si="11"/>
        <v>0</v>
      </c>
      <c r="C40">
        <f t="shared" si="17"/>
        <v>0</v>
      </c>
      <c r="D40">
        <f t="shared" si="3"/>
        <v>0</v>
      </c>
      <c r="E40">
        <f t="shared" si="4"/>
        <v>0</v>
      </c>
      <c r="F40">
        <f t="shared" si="5"/>
        <v>0</v>
      </c>
      <c r="G40">
        <f t="shared" si="6"/>
        <v>0</v>
      </c>
      <c r="H40">
        <f t="shared" si="7"/>
        <v>0</v>
      </c>
      <c r="I40">
        <f t="shared" si="7"/>
        <v>0</v>
      </c>
      <c r="J40">
        <f t="shared" si="7"/>
        <v>0</v>
      </c>
      <c r="K40">
        <f t="shared" si="7"/>
        <v>0</v>
      </c>
      <c r="L40">
        <f t="shared" si="8"/>
        <v>0</v>
      </c>
      <c r="M40">
        <f t="shared" si="15"/>
        <v>0</v>
      </c>
      <c r="N40" t="e">
        <f t="shared" si="16"/>
        <v>#REF!</v>
      </c>
    </row>
    <row r="41" spans="1:17" x14ac:dyDescent="0.25">
      <c r="A41">
        <f t="shared" si="14"/>
        <v>390</v>
      </c>
      <c r="B41">
        <f t="shared" si="11"/>
        <v>0</v>
      </c>
      <c r="C41">
        <f t="shared" si="17"/>
        <v>0</v>
      </c>
      <c r="D41">
        <f t="shared" si="3"/>
        <v>0</v>
      </c>
      <c r="E41">
        <f t="shared" si="4"/>
        <v>0</v>
      </c>
      <c r="F41">
        <f t="shared" si="5"/>
        <v>0</v>
      </c>
      <c r="G41">
        <f t="shared" si="6"/>
        <v>0</v>
      </c>
      <c r="H41">
        <f t="shared" si="7"/>
        <v>0</v>
      </c>
      <c r="I41">
        <f t="shared" si="7"/>
        <v>0</v>
      </c>
      <c r="J41">
        <f t="shared" si="7"/>
        <v>0</v>
      </c>
      <c r="K41">
        <f t="shared" si="7"/>
        <v>0</v>
      </c>
      <c r="L41">
        <f t="shared" si="8"/>
        <v>0</v>
      </c>
      <c r="M41">
        <f t="shared" si="15"/>
        <v>0</v>
      </c>
      <c r="N41" t="e">
        <f t="shared" si="16"/>
        <v>#REF!</v>
      </c>
    </row>
    <row r="42" spans="1:17" x14ac:dyDescent="0.25">
      <c r="A42">
        <f t="shared" si="14"/>
        <v>470</v>
      </c>
      <c r="B42">
        <f t="shared" si="11"/>
        <v>0</v>
      </c>
      <c r="C42">
        <f t="shared" si="17"/>
        <v>0</v>
      </c>
      <c r="D42">
        <f t="shared" si="3"/>
        <v>0</v>
      </c>
      <c r="E42">
        <f t="shared" si="4"/>
        <v>0</v>
      </c>
      <c r="F42">
        <f t="shared" si="5"/>
        <v>0</v>
      </c>
      <c r="G42">
        <f t="shared" si="6"/>
        <v>0</v>
      </c>
      <c r="H42">
        <f t="shared" si="7"/>
        <v>0</v>
      </c>
      <c r="I42">
        <f t="shared" si="7"/>
        <v>0</v>
      </c>
      <c r="J42">
        <f t="shared" si="7"/>
        <v>0</v>
      </c>
      <c r="K42">
        <f t="shared" si="7"/>
        <v>0</v>
      </c>
      <c r="L42">
        <f t="shared" si="8"/>
        <v>0</v>
      </c>
      <c r="M42">
        <f t="shared" si="15"/>
        <v>0</v>
      </c>
      <c r="N42" t="e">
        <f t="shared" si="16"/>
        <v>#REF!</v>
      </c>
    </row>
    <row r="43" spans="1:17" x14ac:dyDescent="0.25">
      <c r="A43">
        <f t="shared" si="14"/>
        <v>560</v>
      </c>
      <c r="B43">
        <f t="shared" si="11"/>
        <v>0</v>
      </c>
      <c r="C43">
        <f t="shared" si="17"/>
        <v>0</v>
      </c>
      <c r="D43">
        <f t="shared" si="3"/>
        <v>0</v>
      </c>
      <c r="E43">
        <f t="shared" si="4"/>
        <v>0</v>
      </c>
      <c r="F43">
        <f t="shared" si="5"/>
        <v>0</v>
      </c>
      <c r="G43">
        <f t="shared" si="6"/>
        <v>0</v>
      </c>
      <c r="H43">
        <f t="shared" si="7"/>
        <v>0</v>
      </c>
      <c r="I43">
        <f t="shared" si="7"/>
        <v>0</v>
      </c>
      <c r="J43">
        <f t="shared" si="7"/>
        <v>0</v>
      </c>
      <c r="K43">
        <f t="shared" si="7"/>
        <v>0</v>
      </c>
      <c r="L43">
        <f t="shared" si="8"/>
        <v>0</v>
      </c>
      <c r="M43">
        <f t="shared" si="15"/>
        <v>0</v>
      </c>
      <c r="N43" t="e">
        <f t="shared" si="16"/>
        <v>#REF!</v>
      </c>
    </row>
    <row r="44" spans="1:17" x14ac:dyDescent="0.25">
      <c r="A44">
        <f t="shared" si="14"/>
        <v>680</v>
      </c>
      <c r="B44">
        <f t="shared" si="11"/>
        <v>0</v>
      </c>
      <c r="C44">
        <f t="shared" si="17"/>
        <v>0</v>
      </c>
      <c r="D44">
        <f t="shared" si="3"/>
        <v>0</v>
      </c>
      <c r="E44">
        <f t="shared" si="4"/>
        <v>0</v>
      </c>
      <c r="F44">
        <f t="shared" si="5"/>
        <v>0</v>
      </c>
      <c r="G44">
        <f t="shared" si="6"/>
        <v>0</v>
      </c>
      <c r="H44">
        <f t="shared" si="7"/>
        <v>0</v>
      </c>
      <c r="I44">
        <f t="shared" si="7"/>
        <v>0</v>
      </c>
      <c r="J44">
        <f t="shared" si="7"/>
        <v>0</v>
      </c>
      <c r="K44">
        <f t="shared" si="7"/>
        <v>0</v>
      </c>
      <c r="L44">
        <f t="shared" si="8"/>
        <v>0</v>
      </c>
      <c r="M44">
        <f t="shared" si="15"/>
        <v>0</v>
      </c>
      <c r="N44" t="e">
        <f t="shared" si="16"/>
        <v>#REF!</v>
      </c>
    </row>
    <row r="45" spans="1:17" x14ac:dyDescent="0.25">
      <c r="A45">
        <f>A33*10</f>
        <v>820</v>
      </c>
      <c r="B45">
        <f t="shared" si="11"/>
        <v>0</v>
      </c>
      <c r="C45">
        <f t="shared" si="17"/>
        <v>0</v>
      </c>
      <c r="D45">
        <f t="shared" si="3"/>
        <v>0</v>
      </c>
      <c r="E45">
        <f t="shared" si="4"/>
        <v>0</v>
      </c>
      <c r="F45">
        <f t="shared" si="5"/>
        <v>0</v>
      </c>
      <c r="G45">
        <f t="shared" si="6"/>
        <v>0</v>
      </c>
      <c r="H45">
        <f t="shared" si="7"/>
        <v>0</v>
      </c>
      <c r="I45">
        <f t="shared" si="7"/>
        <v>0</v>
      </c>
      <c r="J45">
        <f t="shared" si="7"/>
        <v>0</v>
      </c>
      <c r="K45">
        <f t="shared" si="7"/>
        <v>0</v>
      </c>
      <c r="L45">
        <f t="shared" si="8"/>
        <v>0</v>
      </c>
      <c r="M45">
        <f t="shared" si="15"/>
        <v>0</v>
      </c>
      <c r="N45" t="e">
        <f t="shared" si="16"/>
        <v>#REF!</v>
      </c>
    </row>
    <row r="46" spans="1:17" x14ac:dyDescent="0.25">
      <c r="A46">
        <f t="shared" si="14"/>
        <v>1000</v>
      </c>
      <c r="B46">
        <f t="shared" si="11"/>
        <v>0</v>
      </c>
      <c r="C46">
        <f t="shared" si="17"/>
        <v>0</v>
      </c>
      <c r="D46">
        <f t="shared" si="3"/>
        <v>0</v>
      </c>
      <c r="E46">
        <f t="shared" si="4"/>
        <v>0</v>
      </c>
      <c r="F46">
        <f t="shared" si="5"/>
        <v>0</v>
      </c>
      <c r="G46">
        <f t="shared" si="6"/>
        <v>0</v>
      </c>
      <c r="H46">
        <f t="shared" si="7"/>
        <v>0</v>
      </c>
      <c r="I46">
        <f t="shared" si="7"/>
        <v>0</v>
      </c>
      <c r="J46">
        <f t="shared" si="7"/>
        <v>0</v>
      </c>
      <c r="K46">
        <f t="shared" si="7"/>
        <v>0</v>
      </c>
      <c r="L46">
        <f t="shared" si="8"/>
        <v>0</v>
      </c>
      <c r="M46">
        <f t="shared" si="15"/>
        <v>0</v>
      </c>
      <c r="N46" t="e">
        <f t="shared" si="16"/>
        <v>#REF!</v>
      </c>
    </row>
    <row r="47" spans="1:17" x14ac:dyDescent="0.25">
      <c r="A47">
        <f t="shared" si="14"/>
        <v>1200</v>
      </c>
      <c r="B47">
        <f t="shared" si="11"/>
        <v>0</v>
      </c>
      <c r="C47">
        <f t="shared" si="17"/>
        <v>0</v>
      </c>
      <c r="D47">
        <f t="shared" si="3"/>
        <v>0</v>
      </c>
      <c r="E47">
        <f t="shared" si="4"/>
        <v>0</v>
      </c>
      <c r="F47">
        <f t="shared" si="5"/>
        <v>0</v>
      </c>
      <c r="G47">
        <f t="shared" si="6"/>
        <v>0</v>
      </c>
      <c r="H47">
        <f t="shared" si="7"/>
        <v>0</v>
      </c>
      <c r="I47">
        <f t="shared" si="7"/>
        <v>0</v>
      </c>
      <c r="J47">
        <f t="shared" si="7"/>
        <v>0</v>
      </c>
      <c r="K47">
        <f t="shared" si="7"/>
        <v>0</v>
      </c>
      <c r="L47">
        <f t="shared" si="8"/>
        <v>0</v>
      </c>
      <c r="M47">
        <f t="shared" si="15"/>
        <v>0</v>
      </c>
      <c r="N47" t="e">
        <f t="shared" si="16"/>
        <v>#REF!</v>
      </c>
    </row>
    <row r="48" spans="1:17" x14ac:dyDescent="0.25">
      <c r="A48">
        <f t="shared" si="14"/>
        <v>1500</v>
      </c>
      <c r="B48">
        <f t="shared" si="11"/>
        <v>0</v>
      </c>
      <c r="C48">
        <f t="shared" si="17"/>
        <v>0</v>
      </c>
      <c r="D48">
        <f t="shared" si="3"/>
        <v>0</v>
      </c>
      <c r="E48">
        <f t="shared" si="4"/>
        <v>0</v>
      </c>
      <c r="F48">
        <f t="shared" si="5"/>
        <v>0</v>
      </c>
      <c r="G48">
        <f t="shared" si="6"/>
        <v>0</v>
      </c>
      <c r="H48">
        <f t="shared" si="7"/>
        <v>0</v>
      </c>
      <c r="I48">
        <f t="shared" si="7"/>
        <v>0</v>
      </c>
      <c r="J48">
        <f t="shared" si="7"/>
        <v>0</v>
      </c>
      <c r="K48">
        <f t="shared" si="7"/>
        <v>0</v>
      </c>
      <c r="L48">
        <f t="shared" si="8"/>
        <v>0</v>
      </c>
      <c r="M48">
        <f t="shared" si="15"/>
        <v>0</v>
      </c>
      <c r="N48" t="e">
        <f t="shared" si="16"/>
        <v>#REF!</v>
      </c>
    </row>
    <row r="49" spans="1:14" x14ac:dyDescent="0.25">
      <c r="A49">
        <f t="shared" si="14"/>
        <v>1800</v>
      </c>
      <c r="B49">
        <f t="shared" si="11"/>
        <v>0</v>
      </c>
      <c r="C49">
        <f t="shared" si="17"/>
        <v>2200</v>
      </c>
      <c r="D49">
        <f t="shared" si="3"/>
        <v>0</v>
      </c>
      <c r="E49">
        <f t="shared" si="4"/>
        <v>2200</v>
      </c>
      <c r="F49">
        <f t="shared" si="5"/>
        <v>0</v>
      </c>
      <c r="G49">
        <f t="shared" si="6"/>
        <v>0</v>
      </c>
      <c r="H49">
        <f t="shared" si="7"/>
        <v>0</v>
      </c>
      <c r="I49">
        <f t="shared" si="7"/>
        <v>0</v>
      </c>
      <c r="J49">
        <f t="shared" si="7"/>
        <v>0</v>
      </c>
      <c r="K49">
        <f t="shared" si="7"/>
        <v>0</v>
      </c>
      <c r="L49">
        <f t="shared" si="8"/>
        <v>0</v>
      </c>
      <c r="M49">
        <f t="shared" si="15"/>
        <v>0</v>
      </c>
      <c r="N49" t="e">
        <f t="shared" si="16"/>
        <v>#REF!</v>
      </c>
    </row>
    <row r="50" spans="1:14" x14ac:dyDescent="0.25">
      <c r="A50">
        <f t="shared" si="14"/>
        <v>2200</v>
      </c>
      <c r="B50">
        <f t="shared" si="11"/>
        <v>0</v>
      </c>
      <c r="C50">
        <f t="shared" si="17"/>
        <v>0</v>
      </c>
      <c r="D50">
        <f t="shared" si="3"/>
        <v>0</v>
      </c>
      <c r="E50">
        <f t="shared" si="4"/>
        <v>0</v>
      </c>
      <c r="F50">
        <f t="shared" si="5"/>
        <v>0</v>
      </c>
      <c r="G50">
        <f t="shared" si="6"/>
        <v>0</v>
      </c>
      <c r="H50">
        <f t="shared" si="7"/>
        <v>0</v>
      </c>
      <c r="I50">
        <f t="shared" si="7"/>
        <v>0</v>
      </c>
      <c r="J50">
        <f t="shared" si="7"/>
        <v>0</v>
      </c>
      <c r="K50">
        <f t="shared" si="7"/>
        <v>0</v>
      </c>
      <c r="L50">
        <f t="shared" si="8"/>
        <v>0</v>
      </c>
      <c r="M50">
        <f t="shared" si="15"/>
        <v>0</v>
      </c>
      <c r="N50" t="e">
        <f t="shared" si="16"/>
        <v>#REF!</v>
      </c>
    </row>
    <row r="51" spans="1:14" x14ac:dyDescent="0.25">
      <c r="A51">
        <f t="shared" si="14"/>
        <v>2700</v>
      </c>
      <c r="B51">
        <f t="shared" si="11"/>
        <v>0</v>
      </c>
      <c r="C51">
        <f t="shared" si="17"/>
        <v>0</v>
      </c>
      <c r="D51">
        <f t="shared" si="3"/>
        <v>0</v>
      </c>
      <c r="E51">
        <f t="shared" si="4"/>
        <v>0</v>
      </c>
      <c r="F51">
        <f t="shared" si="5"/>
        <v>0</v>
      </c>
      <c r="G51">
        <f t="shared" si="6"/>
        <v>0</v>
      </c>
      <c r="H51">
        <f t="shared" si="7"/>
        <v>0</v>
      </c>
      <c r="I51">
        <f t="shared" si="7"/>
        <v>0</v>
      </c>
      <c r="J51">
        <f t="shared" si="7"/>
        <v>0</v>
      </c>
      <c r="K51">
        <f t="shared" si="7"/>
        <v>0</v>
      </c>
      <c r="L51">
        <f t="shared" si="8"/>
        <v>0</v>
      </c>
      <c r="M51">
        <f t="shared" si="15"/>
        <v>0</v>
      </c>
      <c r="N51" t="e">
        <f t="shared" si="16"/>
        <v>#REF!</v>
      </c>
    </row>
    <row r="52" spans="1:14" x14ac:dyDescent="0.25">
      <c r="A52">
        <f t="shared" si="14"/>
        <v>3300</v>
      </c>
      <c r="B52">
        <f t="shared" si="11"/>
        <v>0</v>
      </c>
      <c r="C52">
        <f t="shared" si="17"/>
        <v>0</v>
      </c>
      <c r="D52">
        <f t="shared" si="3"/>
        <v>0</v>
      </c>
      <c r="E52">
        <f t="shared" si="4"/>
        <v>0</v>
      </c>
      <c r="F52">
        <f t="shared" si="5"/>
        <v>0</v>
      </c>
      <c r="G52">
        <f t="shared" si="6"/>
        <v>0</v>
      </c>
      <c r="H52">
        <f t="shared" si="7"/>
        <v>0</v>
      </c>
      <c r="I52">
        <f t="shared" si="7"/>
        <v>0</v>
      </c>
      <c r="J52">
        <f t="shared" si="7"/>
        <v>0</v>
      </c>
      <c r="K52">
        <f t="shared" si="7"/>
        <v>0</v>
      </c>
      <c r="L52">
        <f t="shared" si="8"/>
        <v>0</v>
      </c>
      <c r="M52">
        <f t="shared" si="15"/>
        <v>0</v>
      </c>
      <c r="N52" t="e">
        <f t="shared" si="16"/>
        <v>#REF!</v>
      </c>
    </row>
    <row r="53" spans="1:14" x14ac:dyDescent="0.25">
      <c r="A53">
        <f t="shared" si="14"/>
        <v>3900</v>
      </c>
      <c r="B53">
        <f t="shared" si="11"/>
        <v>0</v>
      </c>
      <c r="C53">
        <f t="shared" si="17"/>
        <v>0</v>
      </c>
      <c r="D53">
        <f t="shared" si="3"/>
        <v>0</v>
      </c>
      <c r="E53">
        <f t="shared" si="4"/>
        <v>0</v>
      </c>
      <c r="F53">
        <f t="shared" si="5"/>
        <v>0</v>
      </c>
      <c r="G53">
        <f t="shared" si="6"/>
        <v>0</v>
      </c>
      <c r="H53">
        <f t="shared" si="7"/>
        <v>0</v>
      </c>
      <c r="I53">
        <f t="shared" si="7"/>
        <v>0</v>
      </c>
      <c r="J53">
        <f t="shared" si="7"/>
        <v>0</v>
      </c>
      <c r="K53">
        <f t="shared" si="7"/>
        <v>0</v>
      </c>
      <c r="L53">
        <f t="shared" si="8"/>
        <v>0</v>
      </c>
      <c r="M53">
        <f t="shared" si="15"/>
        <v>0</v>
      </c>
      <c r="N53" t="e">
        <f t="shared" si="16"/>
        <v>#REF!</v>
      </c>
    </row>
    <row r="54" spans="1:14" x14ac:dyDescent="0.25">
      <c r="A54">
        <f t="shared" si="14"/>
        <v>4700</v>
      </c>
      <c r="B54">
        <f t="shared" si="11"/>
        <v>0</v>
      </c>
      <c r="C54">
        <f t="shared" si="17"/>
        <v>0</v>
      </c>
      <c r="D54">
        <f t="shared" si="3"/>
        <v>0</v>
      </c>
      <c r="E54">
        <f t="shared" si="4"/>
        <v>0</v>
      </c>
      <c r="F54">
        <f t="shared" si="5"/>
        <v>0</v>
      </c>
      <c r="G54">
        <f t="shared" si="6"/>
        <v>0</v>
      </c>
      <c r="H54">
        <f t="shared" si="7"/>
        <v>0</v>
      </c>
      <c r="I54">
        <f t="shared" si="7"/>
        <v>0</v>
      </c>
      <c r="J54">
        <f t="shared" si="7"/>
        <v>0</v>
      </c>
      <c r="K54">
        <f t="shared" si="7"/>
        <v>0</v>
      </c>
      <c r="L54">
        <f t="shared" si="8"/>
        <v>0</v>
      </c>
      <c r="M54">
        <f t="shared" si="15"/>
        <v>0</v>
      </c>
      <c r="N54" t="e">
        <f t="shared" si="16"/>
        <v>#REF!</v>
      </c>
    </row>
    <row r="55" spans="1:14" x14ac:dyDescent="0.25">
      <c r="A55">
        <f t="shared" si="14"/>
        <v>5600</v>
      </c>
      <c r="B55">
        <f t="shared" si="11"/>
        <v>0</v>
      </c>
      <c r="C55">
        <f t="shared" si="17"/>
        <v>0</v>
      </c>
      <c r="D55">
        <f t="shared" si="3"/>
        <v>0</v>
      </c>
      <c r="E55">
        <f t="shared" si="4"/>
        <v>0</v>
      </c>
      <c r="F55">
        <f t="shared" si="5"/>
        <v>0</v>
      </c>
      <c r="G55">
        <f t="shared" si="6"/>
        <v>0</v>
      </c>
      <c r="H55">
        <f t="shared" si="7"/>
        <v>0</v>
      </c>
      <c r="I55">
        <f t="shared" si="7"/>
        <v>0</v>
      </c>
      <c r="J55">
        <f t="shared" si="7"/>
        <v>0</v>
      </c>
      <c r="K55">
        <f t="shared" si="7"/>
        <v>0</v>
      </c>
      <c r="L55">
        <f t="shared" si="8"/>
        <v>0</v>
      </c>
      <c r="M55">
        <f t="shared" si="15"/>
        <v>0</v>
      </c>
      <c r="N55" t="e">
        <f t="shared" si="16"/>
        <v>#REF!</v>
      </c>
    </row>
    <row r="56" spans="1:14" x14ac:dyDescent="0.25">
      <c r="A56">
        <f t="shared" si="14"/>
        <v>6800</v>
      </c>
      <c r="B56">
        <f t="shared" si="11"/>
        <v>0</v>
      </c>
      <c r="C56">
        <f t="shared" si="17"/>
        <v>0</v>
      </c>
      <c r="D56">
        <f t="shared" si="3"/>
        <v>0</v>
      </c>
      <c r="E56">
        <f t="shared" si="4"/>
        <v>0</v>
      </c>
      <c r="F56">
        <f t="shared" si="5"/>
        <v>0</v>
      </c>
      <c r="G56">
        <f t="shared" si="6"/>
        <v>0</v>
      </c>
      <c r="H56">
        <f t="shared" si="7"/>
        <v>0</v>
      </c>
      <c r="I56">
        <f t="shared" si="7"/>
        <v>0</v>
      </c>
      <c r="J56">
        <f t="shared" si="7"/>
        <v>0</v>
      </c>
      <c r="K56">
        <f t="shared" si="7"/>
        <v>0</v>
      </c>
      <c r="L56">
        <f t="shared" si="8"/>
        <v>0</v>
      </c>
      <c r="M56">
        <f t="shared" si="15"/>
        <v>0</v>
      </c>
      <c r="N56" t="e">
        <f t="shared" si="16"/>
        <v>#REF!</v>
      </c>
    </row>
    <row r="57" spans="1:14" x14ac:dyDescent="0.25">
      <c r="A57">
        <f t="shared" si="14"/>
        <v>8200</v>
      </c>
      <c r="B57">
        <f t="shared" si="11"/>
        <v>0</v>
      </c>
      <c r="C57">
        <f t="shared" si="17"/>
        <v>0</v>
      </c>
      <c r="D57">
        <f t="shared" si="3"/>
        <v>0</v>
      </c>
      <c r="E57">
        <f t="shared" si="4"/>
        <v>0</v>
      </c>
      <c r="F57">
        <f t="shared" si="5"/>
        <v>0</v>
      </c>
      <c r="G57">
        <f t="shared" si="6"/>
        <v>0</v>
      </c>
      <c r="H57">
        <f t="shared" si="7"/>
        <v>0</v>
      </c>
      <c r="I57">
        <f t="shared" si="7"/>
        <v>0</v>
      </c>
      <c r="J57">
        <f t="shared" si="7"/>
        <v>0</v>
      </c>
      <c r="K57">
        <f t="shared" si="7"/>
        <v>0</v>
      </c>
      <c r="L57">
        <f t="shared" si="8"/>
        <v>0</v>
      </c>
      <c r="M57">
        <f t="shared" si="15"/>
        <v>0</v>
      </c>
      <c r="N57" t="e">
        <f t="shared" si="16"/>
        <v>#REF!</v>
      </c>
    </row>
    <row r="58" spans="1:14" x14ac:dyDescent="0.25">
      <c r="A58">
        <f t="shared" si="14"/>
        <v>10000</v>
      </c>
      <c r="B58">
        <f t="shared" si="11"/>
        <v>0</v>
      </c>
      <c r="C58">
        <f t="shared" si="17"/>
        <v>0</v>
      </c>
      <c r="D58">
        <f t="shared" si="3"/>
        <v>0</v>
      </c>
      <c r="E58">
        <f t="shared" si="4"/>
        <v>0</v>
      </c>
      <c r="F58">
        <f t="shared" si="5"/>
        <v>0</v>
      </c>
      <c r="G58">
        <f t="shared" si="6"/>
        <v>0</v>
      </c>
      <c r="H58">
        <f t="shared" si="7"/>
        <v>0</v>
      </c>
      <c r="I58">
        <f t="shared" si="7"/>
        <v>0</v>
      </c>
      <c r="J58">
        <f t="shared" si="7"/>
        <v>0</v>
      </c>
      <c r="K58">
        <f t="shared" si="7"/>
        <v>0</v>
      </c>
      <c r="L58">
        <f t="shared" si="8"/>
        <v>0</v>
      </c>
      <c r="M58">
        <f t="shared" si="15"/>
        <v>0</v>
      </c>
      <c r="N58" t="e">
        <f t="shared" si="16"/>
        <v>#REF!</v>
      </c>
    </row>
    <row r="59" spans="1:14" x14ac:dyDescent="0.25">
      <c r="A59">
        <f t="shared" si="14"/>
        <v>12000</v>
      </c>
      <c r="B59">
        <f t="shared" si="11"/>
        <v>0</v>
      </c>
      <c r="C59">
        <f t="shared" si="17"/>
        <v>0</v>
      </c>
      <c r="D59">
        <f t="shared" si="3"/>
        <v>0</v>
      </c>
      <c r="E59">
        <f t="shared" si="4"/>
        <v>0</v>
      </c>
      <c r="F59">
        <f t="shared" si="5"/>
        <v>0</v>
      </c>
      <c r="G59">
        <f t="shared" si="6"/>
        <v>0</v>
      </c>
      <c r="H59">
        <f t="shared" si="7"/>
        <v>0</v>
      </c>
      <c r="I59">
        <f t="shared" si="7"/>
        <v>0</v>
      </c>
      <c r="J59">
        <f t="shared" si="7"/>
        <v>0</v>
      </c>
      <c r="K59">
        <f t="shared" si="7"/>
        <v>0</v>
      </c>
      <c r="L59">
        <f t="shared" si="8"/>
        <v>0</v>
      </c>
      <c r="M59">
        <f t="shared" si="15"/>
        <v>0</v>
      </c>
      <c r="N59" t="e">
        <f t="shared" si="16"/>
        <v>#REF!</v>
      </c>
    </row>
    <row r="60" spans="1:14" x14ac:dyDescent="0.25">
      <c r="A60">
        <f t="shared" si="14"/>
        <v>15000</v>
      </c>
      <c r="B60">
        <f t="shared" si="11"/>
        <v>0</v>
      </c>
      <c r="C60">
        <f t="shared" si="17"/>
        <v>0</v>
      </c>
      <c r="D60">
        <f t="shared" si="3"/>
        <v>0</v>
      </c>
      <c r="E60">
        <f t="shared" si="4"/>
        <v>0</v>
      </c>
      <c r="F60">
        <f t="shared" si="5"/>
        <v>0</v>
      </c>
      <c r="G60">
        <f t="shared" si="6"/>
        <v>0</v>
      </c>
      <c r="H60">
        <f t="shared" si="7"/>
        <v>0</v>
      </c>
      <c r="I60">
        <f t="shared" si="7"/>
        <v>0</v>
      </c>
      <c r="J60">
        <f t="shared" si="7"/>
        <v>0</v>
      </c>
      <c r="K60">
        <f t="shared" si="7"/>
        <v>0</v>
      </c>
      <c r="L60">
        <f t="shared" si="8"/>
        <v>0</v>
      </c>
      <c r="M60">
        <f t="shared" si="15"/>
        <v>0</v>
      </c>
      <c r="N60" t="e">
        <f t="shared" si="16"/>
        <v>#REF!</v>
      </c>
    </row>
    <row r="61" spans="1:14" x14ac:dyDescent="0.25">
      <c r="A61">
        <f t="shared" si="14"/>
        <v>18000</v>
      </c>
      <c r="B61">
        <f t="shared" si="11"/>
        <v>0</v>
      </c>
      <c r="C61">
        <f t="shared" si="17"/>
        <v>0</v>
      </c>
      <c r="D61">
        <f t="shared" si="3"/>
        <v>0</v>
      </c>
      <c r="E61">
        <f t="shared" si="4"/>
        <v>0</v>
      </c>
      <c r="F61">
        <f t="shared" si="5"/>
        <v>0</v>
      </c>
      <c r="G61">
        <f t="shared" si="6"/>
        <v>0</v>
      </c>
      <c r="H61">
        <f t="shared" si="7"/>
        <v>0</v>
      </c>
      <c r="I61">
        <f t="shared" si="7"/>
        <v>0</v>
      </c>
      <c r="J61">
        <f t="shared" si="7"/>
        <v>0</v>
      </c>
      <c r="K61">
        <f t="shared" si="7"/>
        <v>0</v>
      </c>
      <c r="L61">
        <f t="shared" si="8"/>
        <v>0</v>
      </c>
      <c r="M61">
        <f t="shared" si="15"/>
        <v>0</v>
      </c>
      <c r="N61" t="e">
        <f t="shared" si="16"/>
        <v>#REF!</v>
      </c>
    </row>
    <row r="62" spans="1:14" x14ac:dyDescent="0.25">
      <c r="A62">
        <f t="shared" si="14"/>
        <v>22000</v>
      </c>
      <c r="B62">
        <f t="shared" si="11"/>
        <v>0</v>
      </c>
      <c r="C62">
        <f t="shared" si="17"/>
        <v>0</v>
      </c>
      <c r="D62">
        <f t="shared" si="3"/>
        <v>0</v>
      </c>
      <c r="E62">
        <f t="shared" si="4"/>
        <v>0</v>
      </c>
      <c r="F62">
        <f t="shared" si="5"/>
        <v>0</v>
      </c>
      <c r="G62">
        <f t="shared" si="6"/>
        <v>0</v>
      </c>
      <c r="H62">
        <f t="shared" si="7"/>
        <v>0</v>
      </c>
      <c r="I62">
        <f t="shared" si="7"/>
        <v>0</v>
      </c>
      <c r="J62">
        <f t="shared" si="7"/>
        <v>0</v>
      </c>
      <c r="K62">
        <f t="shared" si="7"/>
        <v>0</v>
      </c>
      <c r="L62">
        <f t="shared" si="8"/>
        <v>0</v>
      </c>
      <c r="M62">
        <f t="shared" si="15"/>
        <v>0</v>
      </c>
      <c r="N62" t="e">
        <f t="shared" si="16"/>
        <v>#REF!</v>
      </c>
    </row>
    <row r="63" spans="1:14" x14ac:dyDescent="0.25">
      <c r="A63">
        <f t="shared" si="14"/>
        <v>27000</v>
      </c>
      <c r="B63">
        <f t="shared" si="11"/>
        <v>0</v>
      </c>
      <c r="C63">
        <f t="shared" si="17"/>
        <v>0</v>
      </c>
      <c r="D63">
        <f t="shared" si="3"/>
        <v>0</v>
      </c>
      <c r="E63">
        <f t="shared" si="4"/>
        <v>0</v>
      </c>
      <c r="F63">
        <f t="shared" si="5"/>
        <v>0</v>
      </c>
      <c r="G63">
        <f t="shared" si="6"/>
        <v>0</v>
      </c>
      <c r="H63">
        <f t="shared" si="7"/>
        <v>0</v>
      </c>
      <c r="I63">
        <f t="shared" si="7"/>
        <v>0</v>
      </c>
      <c r="J63">
        <f t="shared" si="7"/>
        <v>0</v>
      </c>
      <c r="K63">
        <f t="shared" si="7"/>
        <v>0</v>
      </c>
      <c r="L63">
        <f t="shared" si="8"/>
        <v>0</v>
      </c>
      <c r="M63">
        <f t="shared" si="15"/>
        <v>0</v>
      </c>
      <c r="N63" t="e">
        <f t="shared" si="16"/>
        <v>#REF!</v>
      </c>
    </row>
    <row r="64" spans="1:14" x14ac:dyDescent="0.25">
      <c r="A64">
        <f t="shared" si="14"/>
        <v>33000</v>
      </c>
      <c r="B64">
        <f t="shared" si="11"/>
        <v>0</v>
      </c>
      <c r="C64">
        <f t="shared" si="17"/>
        <v>0</v>
      </c>
      <c r="D64">
        <f t="shared" si="3"/>
        <v>0</v>
      </c>
      <c r="E64">
        <f t="shared" si="4"/>
        <v>0</v>
      </c>
      <c r="F64">
        <f t="shared" si="5"/>
        <v>0</v>
      </c>
      <c r="G64">
        <f t="shared" si="6"/>
        <v>0</v>
      </c>
      <c r="H64">
        <f t="shared" si="7"/>
        <v>0</v>
      </c>
      <c r="I64">
        <f t="shared" si="7"/>
        <v>0</v>
      </c>
      <c r="J64">
        <f t="shared" si="7"/>
        <v>0</v>
      </c>
      <c r="K64">
        <f t="shared" si="7"/>
        <v>0</v>
      </c>
      <c r="L64">
        <f t="shared" si="8"/>
        <v>0</v>
      </c>
      <c r="M64">
        <f t="shared" si="15"/>
        <v>0</v>
      </c>
      <c r="N64" t="e">
        <f t="shared" si="16"/>
        <v>#REF!</v>
      </c>
    </row>
    <row r="65" spans="1:14" x14ac:dyDescent="0.25">
      <c r="A65">
        <f t="shared" si="14"/>
        <v>39000</v>
      </c>
      <c r="B65">
        <f t="shared" si="11"/>
        <v>0</v>
      </c>
      <c r="C65">
        <f t="shared" si="17"/>
        <v>0</v>
      </c>
      <c r="D65">
        <f t="shared" si="3"/>
        <v>0</v>
      </c>
      <c r="E65">
        <f t="shared" si="4"/>
        <v>0</v>
      </c>
      <c r="F65">
        <f t="shared" si="5"/>
        <v>0</v>
      </c>
      <c r="G65">
        <f t="shared" si="6"/>
        <v>0</v>
      </c>
      <c r="H65">
        <f t="shared" si="7"/>
        <v>0</v>
      </c>
      <c r="I65">
        <f t="shared" si="7"/>
        <v>0</v>
      </c>
      <c r="J65">
        <f t="shared" si="7"/>
        <v>0</v>
      </c>
      <c r="K65">
        <f t="shared" si="7"/>
        <v>0</v>
      </c>
      <c r="L65">
        <f t="shared" si="8"/>
        <v>0</v>
      </c>
      <c r="M65">
        <f t="shared" si="15"/>
        <v>0</v>
      </c>
      <c r="N65" t="e">
        <f t="shared" si="16"/>
        <v>#REF!</v>
      </c>
    </row>
    <row r="66" spans="1:14" x14ac:dyDescent="0.25">
      <c r="A66">
        <f t="shared" si="14"/>
        <v>47000</v>
      </c>
      <c r="B66">
        <f t="shared" si="11"/>
        <v>0</v>
      </c>
      <c r="C66">
        <f t="shared" si="17"/>
        <v>0</v>
      </c>
      <c r="D66">
        <f t="shared" si="3"/>
        <v>0</v>
      </c>
      <c r="E66">
        <f t="shared" si="4"/>
        <v>0</v>
      </c>
      <c r="F66">
        <f t="shared" si="5"/>
        <v>0</v>
      </c>
      <c r="G66">
        <f t="shared" si="6"/>
        <v>0</v>
      </c>
      <c r="H66">
        <f t="shared" si="7"/>
        <v>0</v>
      </c>
      <c r="I66">
        <f t="shared" si="7"/>
        <v>0</v>
      </c>
      <c r="J66">
        <f t="shared" si="7"/>
        <v>0</v>
      </c>
      <c r="K66">
        <f t="shared" si="7"/>
        <v>0</v>
      </c>
      <c r="L66">
        <f t="shared" si="8"/>
        <v>0</v>
      </c>
      <c r="M66">
        <f t="shared" si="15"/>
        <v>0</v>
      </c>
      <c r="N66" t="e">
        <f t="shared" si="16"/>
        <v>#REF!</v>
      </c>
    </row>
    <row r="67" spans="1:14" x14ac:dyDescent="0.25">
      <c r="A67">
        <f t="shared" si="14"/>
        <v>56000</v>
      </c>
      <c r="B67">
        <f t="shared" si="11"/>
        <v>0</v>
      </c>
      <c r="C67">
        <f t="shared" si="17"/>
        <v>0</v>
      </c>
      <c r="D67">
        <f t="shared" si="3"/>
        <v>0</v>
      </c>
      <c r="E67">
        <f t="shared" si="4"/>
        <v>0</v>
      </c>
      <c r="F67">
        <f t="shared" si="5"/>
        <v>0</v>
      </c>
      <c r="G67">
        <f t="shared" si="6"/>
        <v>0</v>
      </c>
      <c r="H67">
        <f t="shared" si="7"/>
        <v>0</v>
      </c>
      <c r="I67">
        <f t="shared" si="7"/>
        <v>0</v>
      </c>
      <c r="J67">
        <f t="shared" si="7"/>
        <v>0</v>
      </c>
      <c r="K67">
        <f t="shared" si="7"/>
        <v>0</v>
      </c>
      <c r="L67">
        <f t="shared" si="8"/>
        <v>0</v>
      </c>
      <c r="M67">
        <f t="shared" si="15"/>
        <v>0</v>
      </c>
      <c r="N67" t="e">
        <f t="shared" si="16"/>
        <v>#REF!</v>
      </c>
    </row>
    <row r="68" spans="1:14" x14ac:dyDescent="0.25">
      <c r="A68">
        <f t="shared" si="14"/>
        <v>68000</v>
      </c>
      <c r="B68">
        <f t="shared" si="11"/>
        <v>0</v>
      </c>
      <c r="C68">
        <f t="shared" si="17"/>
        <v>0</v>
      </c>
      <c r="D68">
        <f t="shared" si="3"/>
        <v>0</v>
      </c>
      <c r="E68">
        <f t="shared" si="4"/>
        <v>0</v>
      </c>
      <c r="F68">
        <f t="shared" si="5"/>
        <v>0</v>
      </c>
      <c r="G68">
        <f t="shared" si="6"/>
        <v>0</v>
      </c>
      <c r="H68">
        <f t="shared" si="7"/>
        <v>0</v>
      </c>
      <c r="I68">
        <f t="shared" si="7"/>
        <v>0</v>
      </c>
      <c r="J68">
        <f t="shared" si="7"/>
        <v>0</v>
      </c>
      <c r="K68">
        <f t="shared" si="7"/>
        <v>0</v>
      </c>
      <c r="L68">
        <f t="shared" si="8"/>
        <v>0</v>
      </c>
      <c r="M68">
        <f t="shared" si="15"/>
        <v>0</v>
      </c>
      <c r="N68" t="e">
        <f t="shared" si="16"/>
        <v>#REF!</v>
      </c>
    </row>
    <row r="69" spans="1:14" x14ac:dyDescent="0.25">
      <c r="A69">
        <f t="shared" si="14"/>
        <v>82000</v>
      </c>
      <c r="B69">
        <f t="shared" si="11"/>
        <v>0</v>
      </c>
      <c r="C69">
        <f t="shared" si="17"/>
        <v>0</v>
      </c>
      <c r="D69">
        <f t="shared" si="3"/>
        <v>0</v>
      </c>
      <c r="E69">
        <f t="shared" si="4"/>
        <v>0</v>
      </c>
      <c r="F69">
        <f t="shared" si="5"/>
        <v>0</v>
      </c>
      <c r="G69">
        <f t="shared" si="6"/>
        <v>0</v>
      </c>
      <c r="H69">
        <f t="shared" si="7"/>
        <v>0</v>
      </c>
      <c r="I69">
        <f t="shared" si="7"/>
        <v>0</v>
      </c>
      <c r="J69">
        <f t="shared" si="7"/>
        <v>0</v>
      </c>
      <c r="K69">
        <f t="shared" ref="K69:L132" si="18">IF(IF((K$3*10^12-$A70)*(K$3*10^12-$A69)*-1&lt;0,0,1)*IF(ABS(K$3*10^12-$A70)&gt;(K$3*10^12-$A69),$A69,$A70)=K70,0,IF((K$3*10^12-$A70)*(K$3*10^12-$A69)*-1&lt;0,0,1)*IF(ABS(K$3*10^12-$A70)&gt;(K$3*10^12-$A69),$A69,$A70))</f>
        <v>0</v>
      </c>
      <c r="L69">
        <f t="shared" si="8"/>
        <v>0</v>
      </c>
      <c r="M69">
        <f t="shared" si="15"/>
        <v>0</v>
      </c>
      <c r="N69" t="e">
        <f t="shared" si="16"/>
        <v>#REF!</v>
      </c>
    </row>
    <row r="70" spans="1:14" x14ac:dyDescent="0.25">
      <c r="A70">
        <f t="shared" si="14"/>
        <v>100000</v>
      </c>
      <c r="B70">
        <f t="shared" si="11"/>
        <v>100000</v>
      </c>
      <c r="C70">
        <f t="shared" si="17"/>
        <v>0</v>
      </c>
      <c r="D70">
        <f t="shared" ref="D70:J70" si="19">IF(IF((D$3*10^12-$A71)*(D$3*10^12-$A70)*-1&lt;0,0,1)*IF(ABS(D$3*10^12-$A71)&gt;(D$3*10^12-$A70),$A70,$A71)=D71,0,IF((D$3*10^12-$A71)*(D$3*10^12-$A70)*-1&lt;0,0,1)*IF(ABS(D$3*10^12-$A71)&gt;(D$3*10^12-$A70),$A70,$A71))</f>
        <v>0</v>
      </c>
      <c r="E70">
        <f t="shared" si="19"/>
        <v>0</v>
      </c>
      <c r="F70">
        <f t="shared" si="19"/>
        <v>0</v>
      </c>
      <c r="G70">
        <f t="shared" si="19"/>
        <v>0</v>
      </c>
      <c r="H70">
        <f t="shared" si="19"/>
        <v>0</v>
      </c>
      <c r="I70">
        <f t="shared" si="19"/>
        <v>0</v>
      </c>
      <c r="J70">
        <f t="shared" si="19"/>
        <v>0</v>
      </c>
      <c r="K70">
        <f t="shared" si="18"/>
        <v>0</v>
      </c>
      <c r="L70">
        <f t="shared" si="18"/>
        <v>0</v>
      </c>
      <c r="M70">
        <f t="shared" ref="M70:M101" si="20">IF(IF((M$3*10^12-$A71)*(M$3*10^12-$A70)*-1&lt;0,0,1)*IF(ABS(M$3*10^12-$A71)&gt;(M$3*10^12-$A70),$A70,$A71)=M71,0,IF((M$3*10^12-$A71)*(M$3*10^12-$A70)*-1&lt;0,0,1)*IF(ABS(M$3*10^12-$A71)&gt;(M$3*10^12-$A70),$A70,$A71))</f>
        <v>0</v>
      </c>
      <c r="N70" t="e">
        <f t="shared" ref="N70:N101" si="21">IF(IF((N$3*10^12-$A71)*(N$3*10^12-$A70)*-1&lt;0,0,1)*IF(ABS(N$3*10^12-$A71)&gt;(N$3*10^12-$A70),$A70,$A71)=N71,0,IF((N$3*10^12-$A71)*(N$3*10^12-$A70)*-1&lt;0,0,1)*IF(ABS(N$3*10^12-$A71)&gt;(N$3*10^12-$A70),$A70,$A71))</f>
        <v>#REF!</v>
      </c>
    </row>
    <row r="71" spans="1:14" x14ac:dyDescent="0.25">
      <c r="A71">
        <f t="shared" si="14"/>
        <v>120000</v>
      </c>
      <c r="B71">
        <f t="shared" ref="B71:B134" si="22">IF(IF((B$3*10^12-$A72)*(B$3*10^12-$A71)*-1&lt;0,0,1)*IF(ABS(B$3*10^12-$A72)&gt;(B$3*10^12-$A71),$A71,$A72)=B72,0,IF((B$3*10^12-$A72)*(B$3*10^12-$A71)*-1&lt;0,0,1)*IF(ABS(B$3*10^12-$A72)&gt;(B$3*10^12-$A71),$A71,$A72))</f>
        <v>0</v>
      </c>
      <c r="C71">
        <f t="shared" ref="C71:F134" si="23">IF(IF((C$3*10^12-$A72)*(C$3*10^12-$A71)*-1&lt;0,0,1)*IF(ABS(C$3*10^12-$A72)&gt;(C$3*10^12-$A71),$A71,$A72)=C72,0,IF((C$3*10^12-$A72)*(C$3*10^12-$A71)*-1&lt;0,0,1)*IF(ABS(C$3*10^12-$A72)&gt;(C$3*10^12-$A71),$A71,$A72))</f>
        <v>0</v>
      </c>
      <c r="D71">
        <f t="shared" si="23"/>
        <v>0</v>
      </c>
      <c r="E71">
        <f t="shared" si="23"/>
        <v>0</v>
      </c>
      <c r="F71">
        <f t="shared" si="23"/>
        <v>0</v>
      </c>
      <c r="G71">
        <f t="shared" ref="G71:G102" si="24">IF(IF((G$3*10^12-$A72)*(G$3*10^12-$A71)*-1&lt;0,0,1)*IF(ABS(G$3*10^12-$A72)&gt;(G$3*10^12-$A71),$A71,$A72)=G72,0,IF((G$3*10^12-$A72)*(G$3*10^12-$A71)*-1&lt;0,0,1)*IF(ABS(G$3*10^12-$A72)&gt;(G$3*10^12-$A71),$A71,$A72))</f>
        <v>0</v>
      </c>
      <c r="H71">
        <f t="shared" ref="H71:H102" si="25">IF(IF((H$3*10^12-$A72)*(H$3*10^12-$A71)*-1&lt;0,0,1)*IF(ABS(H$3*10^12-$A72)&gt;(H$3*10^12-$A71),$A71,$A72)=H72,0,IF((H$3*10^12-$A72)*(H$3*10^12-$A71)*-1&lt;0,0,1)*IF(ABS(H$3*10^12-$A72)&gt;(H$3*10^12-$A71),$A71,$A72))</f>
        <v>0</v>
      </c>
      <c r="I71">
        <f t="shared" ref="I71:I102" si="26">IF(IF((I$3*10^12-$A72)*(I$3*10^12-$A71)*-1&lt;0,0,1)*IF(ABS(I$3*10^12-$A72)&gt;(I$3*10^12-$A71),$A71,$A72)=I72,0,IF((I$3*10^12-$A72)*(I$3*10^12-$A71)*-1&lt;0,0,1)*IF(ABS(I$3*10^12-$A72)&gt;(I$3*10^12-$A71),$A71,$A72))</f>
        <v>0</v>
      </c>
      <c r="J71">
        <f t="shared" ref="J71:J102" si="27">IF(IF((J$3*10^12-$A72)*(J$3*10^12-$A71)*-1&lt;0,0,1)*IF(ABS(J$3*10^12-$A72)&gt;(J$3*10^12-$A71),$A71,$A72)=J72,0,IF((J$3*10^12-$A72)*(J$3*10^12-$A71)*-1&lt;0,0,1)*IF(ABS(J$3*10^12-$A72)&gt;(J$3*10^12-$A71),$A71,$A72))</f>
        <v>0</v>
      </c>
      <c r="K71">
        <f t="shared" si="18"/>
        <v>0</v>
      </c>
      <c r="L71">
        <f t="shared" si="18"/>
        <v>0</v>
      </c>
      <c r="M71">
        <f t="shared" si="20"/>
        <v>0</v>
      </c>
      <c r="N71" t="e">
        <f t="shared" si="21"/>
        <v>#REF!</v>
      </c>
    </row>
    <row r="72" spans="1:14" x14ac:dyDescent="0.25">
      <c r="A72">
        <f t="shared" si="14"/>
        <v>150000</v>
      </c>
      <c r="B72">
        <f t="shared" si="22"/>
        <v>0</v>
      </c>
      <c r="C72">
        <f t="shared" si="23"/>
        <v>0</v>
      </c>
      <c r="D72">
        <f t="shared" si="23"/>
        <v>0</v>
      </c>
      <c r="E72">
        <f t="shared" si="23"/>
        <v>0</v>
      </c>
      <c r="F72">
        <f t="shared" si="23"/>
        <v>0</v>
      </c>
      <c r="G72">
        <f t="shared" si="24"/>
        <v>0</v>
      </c>
      <c r="H72">
        <f t="shared" si="25"/>
        <v>0</v>
      </c>
      <c r="I72">
        <f t="shared" si="26"/>
        <v>0</v>
      </c>
      <c r="J72">
        <f t="shared" si="27"/>
        <v>0</v>
      </c>
      <c r="K72">
        <f t="shared" si="18"/>
        <v>0</v>
      </c>
      <c r="L72">
        <f t="shared" si="18"/>
        <v>0</v>
      </c>
      <c r="M72">
        <f t="shared" si="20"/>
        <v>0</v>
      </c>
      <c r="N72" t="e">
        <f t="shared" si="21"/>
        <v>#REF!</v>
      </c>
    </row>
    <row r="73" spans="1:14" x14ac:dyDescent="0.25">
      <c r="A73">
        <f t="shared" si="14"/>
        <v>180000</v>
      </c>
      <c r="B73">
        <f t="shared" si="22"/>
        <v>0</v>
      </c>
      <c r="C73">
        <f t="shared" si="23"/>
        <v>0</v>
      </c>
      <c r="D73">
        <f t="shared" si="23"/>
        <v>0</v>
      </c>
      <c r="E73">
        <f t="shared" si="23"/>
        <v>0</v>
      </c>
      <c r="F73">
        <f t="shared" si="23"/>
        <v>0</v>
      </c>
      <c r="G73">
        <f t="shared" si="24"/>
        <v>0</v>
      </c>
      <c r="H73">
        <f t="shared" si="25"/>
        <v>0</v>
      </c>
      <c r="I73">
        <f t="shared" si="26"/>
        <v>0</v>
      </c>
      <c r="J73">
        <f t="shared" si="27"/>
        <v>0</v>
      </c>
      <c r="K73">
        <f t="shared" si="18"/>
        <v>0</v>
      </c>
      <c r="L73">
        <f t="shared" si="18"/>
        <v>0</v>
      </c>
      <c r="M73">
        <f t="shared" si="20"/>
        <v>0</v>
      </c>
      <c r="N73" t="e">
        <f t="shared" si="21"/>
        <v>#REF!</v>
      </c>
    </row>
    <row r="74" spans="1:14" x14ac:dyDescent="0.25">
      <c r="A74">
        <f t="shared" si="14"/>
        <v>220000</v>
      </c>
      <c r="B74">
        <f t="shared" si="22"/>
        <v>0</v>
      </c>
      <c r="C74">
        <f t="shared" si="23"/>
        <v>0</v>
      </c>
      <c r="D74">
        <f t="shared" si="23"/>
        <v>0</v>
      </c>
      <c r="E74">
        <f t="shared" si="23"/>
        <v>0</v>
      </c>
      <c r="F74">
        <f t="shared" si="23"/>
        <v>0</v>
      </c>
      <c r="G74">
        <f t="shared" si="24"/>
        <v>0</v>
      </c>
      <c r="H74">
        <f t="shared" si="25"/>
        <v>0</v>
      </c>
      <c r="I74">
        <f t="shared" si="26"/>
        <v>0</v>
      </c>
      <c r="J74">
        <f t="shared" si="27"/>
        <v>0</v>
      </c>
      <c r="K74">
        <f t="shared" si="18"/>
        <v>0</v>
      </c>
      <c r="L74">
        <f t="shared" si="18"/>
        <v>0</v>
      </c>
      <c r="M74">
        <f t="shared" si="20"/>
        <v>0</v>
      </c>
      <c r="N74" t="e">
        <f t="shared" si="21"/>
        <v>#REF!</v>
      </c>
    </row>
    <row r="75" spans="1:14" x14ac:dyDescent="0.25">
      <c r="A75">
        <f t="shared" si="14"/>
        <v>270000</v>
      </c>
      <c r="B75">
        <f t="shared" si="22"/>
        <v>0</v>
      </c>
      <c r="C75">
        <f t="shared" si="23"/>
        <v>0</v>
      </c>
      <c r="D75">
        <f t="shared" si="23"/>
        <v>0</v>
      </c>
      <c r="E75">
        <f t="shared" si="23"/>
        <v>0</v>
      </c>
      <c r="F75">
        <f t="shared" si="23"/>
        <v>0</v>
      </c>
      <c r="G75">
        <f t="shared" si="24"/>
        <v>0</v>
      </c>
      <c r="H75">
        <f t="shared" si="25"/>
        <v>0</v>
      </c>
      <c r="I75">
        <f t="shared" si="26"/>
        <v>0</v>
      </c>
      <c r="J75">
        <f t="shared" si="27"/>
        <v>0</v>
      </c>
      <c r="K75">
        <f t="shared" si="18"/>
        <v>0</v>
      </c>
      <c r="L75">
        <f t="shared" si="18"/>
        <v>0</v>
      </c>
      <c r="M75">
        <f t="shared" si="20"/>
        <v>0</v>
      </c>
      <c r="N75" t="e">
        <f t="shared" si="21"/>
        <v>#REF!</v>
      </c>
    </row>
    <row r="76" spans="1:14" x14ac:dyDescent="0.25">
      <c r="A76">
        <f t="shared" si="14"/>
        <v>330000</v>
      </c>
      <c r="B76">
        <f t="shared" si="22"/>
        <v>0</v>
      </c>
      <c r="C76">
        <f t="shared" si="23"/>
        <v>0</v>
      </c>
      <c r="D76">
        <f t="shared" si="23"/>
        <v>0</v>
      </c>
      <c r="E76">
        <f t="shared" si="23"/>
        <v>0</v>
      </c>
      <c r="F76">
        <f t="shared" si="23"/>
        <v>0</v>
      </c>
      <c r="G76">
        <f t="shared" si="24"/>
        <v>0</v>
      </c>
      <c r="H76">
        <f t="shared" si="25"/>
        <v>0</v>
      </c>
      <c r="I76">
        <f t="shared" si="26"/>
        <v>0</v>
      </c>
      <c r="J76">
        <f t="shared" si="27"/>
        <v>0</v>
      </c>
      <c r="K76">
        <f t="shared" si="18"/>
        <v>0</v>
      </c>
      <c r="L76">
        <f t="shared" si="18"/>
        <v>0</v>
      </c>
      <c r="M76">
        <f t="shared" si="20"/>
        <v>0</v>
      </c>
      <c r="N76" t="e">
        <f t="shared" si="21"/>
        <v>#REF!</v>
      </c>
    </row>
    <row r="77" spans="1:14" x14ac:dyDescent="0.25">
      <c r="A77">
        <f t="shared" si="14"/>
        <v>390000</v>
      </c>
      <c r="B77">
        <f t="shared" si="22"/>
        <v>0</v>
      </c>
      <c r="C77">
        <f t="shared" si="23"/>
        <v>0</v>
      </c>
      <c r="D77">
        <f t="shared" si="23"/>
        <v>0</v>
      </c>
      <c r="E77">
        <f t="shared" si="23"/>
        <v>0</v>
      </c>
      <c r="F77">
        <f t="shared" si="23"/>
        <v>0</v>
      </c>
      <c r="G77">
        <f t="shared" si="24"/>
        <v>0</v>
      </c>
      <c r="H77">
        <f t="shared" si="25"/>
        <v>0</v>
      </c>
      <c r="I77">
        <f t="shared" si="26"/>
        <v>0</v>
      </c>
      <c r="J77">
        <f t="shared" si="27"/>
        <v>0</v>
      </c>
      <c r="K77">
        <f t="shared" si="18"/>
        <v>0</v>
      </c>
      <c r="L77">
        <f t="shared" si="18"/>
        <v>0</v>
      </c>
      <c r="M77">
        <f t="shared" si="20"/>
        <v>0</v>
      </c>
      <c r="N77" t="e">
        <f t="shared" si="21"/>
        <v>#REF!</v>
      </c>
    </row>
    <row r="78" spans="1:14" x14ac:dyDescent="0.25">
      <c r="A78">
        <f t="shared" si="14"/>
        <v>470000</v>
      </c>
      <c r="B78">
        <f t="shared" si="22"/>
        <v>0</v>
      </c>
      <c r="C78">
        <f t="shared" si="23"/>
        <v>0</v>
      </c>
      <c r="D78">
        <f t="shared" si="23"/>
        <v>0</v>
      </c>
      <c r="E78">
        <f t="shared" si="23"/>
        <v>0</v>
      </c>
      <c r="F78">
        <f t="shared" si="23"/>
        <v>0</v>
      </c>
      <c r="G78">
        <f t="shared" si="24"/>
        <v>0</v>
      </c>
      <c r="H78">
        <f t="shared" si="25"/>
        <v>0</v>
      </c>
      <c r="I78">
        <f t="shared" si="26"/>
        <v>0</v>
      </c>
      <c r="J78">
        <f t="shared" si="27"/>
        <v>0</v>
      </c>
      <c r="K78">
        <f t="shared" si="18"/>
        <v>0</v>
      </c>
      <c r="L78">
        <f t="shared" si="18"/>
        <v>0</v>
      </c>
      <c r="M78">
        <f t="shared" si="20"/>
        <v>0</v>
      </c>
      <c r="N78" t="e">
        <f t="shared" si="21"/>
        <v>#REF!</v>
      </c>
    </row>
    <row r="79" spans="1:14" x14ac:dyDescent="0.25">
      <c r="A79">
        <f t="shared" si="14"/>
        <v>560000</v>
      </c>
      <c r="B79">
        <f t="shared" si="22"/>
        <v>0</v>
      </c>
      <c r="C79">
        <f t="shared" si="23"/>
        <v>0</v>
      </c>
      <c r="D79">
        <f t="shared" si="23"/>
        <v>0</v>
      </c>
      <c r="E79">
        <f t="shared" si="23"/>
        <v>0</v>
      </c>
      <c r="F79">
        <f t="shared" si="23"/>
        <v>0</v>
      </c>
      <c r="G79">
        <f t="shared" si="24"/>
        <v>0</v>
      </c>
      <c r="H79">
        <f t="shared" si="25"/>
        <v>0</v>
      </c>
      <c r="I79">
        <f t="shared" si="26"/>
        <v>0</v>
      </c>
      <c r="J79">
        <f t="shared" si="27"/>
        <v>0</v>
      </c>
      <c r="K79">
        <f t="shared" si="18"/>
        <v>0</v>
      </c>
      <c r="L79">
        <f t="shared" si="18"/>
        <v>0</v>
      </c>
      <c r="M79">
        <f t="shared" si="20"/>
        <v>0</v>
      </c>
      <c r="N79" t="e">
        <f t="shared" si="21"/>
        <v>#REF!</v>
      </c>
    </row>
    <row r="80" spans="1:14" x14ac:dyDescent="0.25">
      <c r="A80">
        <f t="shared" si="14"/>
        <v>680000</v>
      </c>
      <c r="B80">
        <f t="shared" si="22"/>
        <v>0</v>
      </c>
      <c r="C80">
        <f t="shared" si="23"/>
        <v>0</v>
      </c>
      <c r="D80">
        <f t="shared" si="23"/>
        <v>0</v>
      </c>
      <c r="E80">
        <f t="shared" si="23"/>
        <v>0</v>
      </c>
      <c r="F80">
        <f t="shared" si="23"/>
        <v>0</v>
      </c>
      <c r="G80">
        <f t="shared" si="24"/>
        <v>0</v>
      </c>
      <c r="H80">
        <f t="shared" si="25"/>
        <v>0</v>
      </c>
      <c r="I80">
        <f t="shared" si="26"/>
        <v>0</v>
      </c>
      <c r="J80">
        <f t="shared" si="27"/>
        <v>0</v>
      </c>
      <c r="K80">
        <f t="shared" si="18"/>
        <v>0</v>
      </c>
      <c r="L80">
        <f t="shared" si="18"/>
        <v>0</v>
      </c>
      <c r="M80">
        <f t="shared" si="20"/>
        <v>0</v>
      </c>
      <c r="N80" t="e">
        <f t="shared" si="21"/>
        <v>#REF!</v>
      </c>
    </row>
    <row r="81" spans="1:14" x14ac:dyDescent="0.25">
      <c r="A81">
        <f t="shared" si="14"/>
        <v>820000</v>
      </c>
      <c r="B81">
        <f t="shared" si="22"/>
        <v>0</v>
      </c>
      <c r="C81">
        <f t="shared" si="23"/>
        <v>0</v>
      </c>
      <c r="D81">
        <f t="shared" si="23"/>
        <v>0</v>
      </c>
      <c r="E81">
        <f t="shared" si="23"/>
        <v>0</v>
      </c>
      <c r="F81">
        <f t="shared" si="23"/>
        <v>0</v>
      </c>
      <c r="G81">
        <f t="shared" si="24"/>
        <v>0</v>
      </c>
      <c r="H81">
        <f t="shared" si="25"/>
        <v>0</v>
      </c>
      <c r="I81">
        <f t="shared" si="26"/>
        <v>0</v>
      </c>
      <c r="J81">
        <f t="shared" si="27"/>
        <v>0</v>
      </c>
      <c r="K81">
        <f t="shared" si="18"/>
        <v>0</v>
      </c>
      <c r="L81">
        <f t="shared" si="18"/>
        <v>0</v>
      </c>
      <c r="M81">
        <f t="shared" si="20"/>
        <v>0</v>
      </c>
      <c r="N81" t="e">
        <f t="shared" si="21"/>
        <v>#REF!</v>
      </c>
    </row>
    <row r="82" spans="1:14" x14ac:dyDescent="0.25">
      <c r="A82">
        <f t="shared" si="14"/>
        <v>1000000</v>
      </c>
      <c r="B82">
        <f t="shared" si="22"/>
        <v>0</v>
      </c>
      <c r="C82">
        <f t="shared" si="23"/>
        <v>0</v>
      </c>
      <c r="D82">
        <f t="shared" si="23"/>
        <v>0</v>
      </c>
      <c r="E82">
        <f t="shared" si="23"/>
        <v>0</v>
      </c>
      <c r="F82">
        <f t="shared" si="23"/>
        <v>0</v>
      </c>
      <c r="G82">
        <f t="shared" si="24"/>
        <v>0</v>
      </c>
      <c r="H82">
        <f t="shared" si="25"/>
        <v>0</v>
      </c>
      <c r="I82">
        <f t="shared" si="26"/>
        <v>0</v>
      </c>
      <c r="J82">
        <f t="shared" si="27"/>
        <v>0</v>
      </c>
      <c r="K82">
        <f t="shared" si="18"/>
        <v>0</v>
      </c>
      <c r="L82">
        <f t="shared" si="18"/>
        <v>0</v>
      </c>
      <c r="M82">
        <f t="shared" si="20"/>
        <v>0</v>
      </c>
      <c r="N82" t="e">
        <f t="shared" si="21"/>
        <v>#REF!</v>
      </c>
    </row>
    <row r="83" spans="1:14" x14ac:dyDescent="0.25">
      <c r="A83">
        <f t="shared" si="14"/>
        <v>1200000</v>
      </c>
      <c r="B83">
        <f t="shared" si="22"/>
        <v>0</v>
      </c>
      <c r="C83">
        <f t="shared" si="23"/>
        <v>0</v>
      </c>
      <c r="D83">
        <f t="shared" si="23"/>
        <v>0</v>
      </c>
      <c r="E83">
        <f t="shared" si="23"/>
        <v>0</v>
      </c>
      <c r="F83">
        <f t="shared" si="23"/>
        <v>0</v>
      </c>
      <c r="G83">
        <f t="shared" si="24"/>
        <v>0</v>
      </c>
      <c r="H83">
        <f t="shared" si="25"/>
        <v>0</v>
      </c>
      <c r="I83">
        <f t="shared" si="26"/>
        <v>0</v>
      </c>
      <c r="J83">
        <f t="shared" si="27"/>
        <v>0</v>
      </c>
      <c r="K83">
        <f t="shared" si="18"/>
        <v>0</v>
      </c>
      <c r="L83">
        <f t="shared" si="18"/>
        <v>0</v>
      </c>
      <c r="M83">
        <f t="shared" si="20"/>
        <v>0</v>
      </c>
      <c r="N83" t="e">
        <f t="shared" si="21"/>
        <v>#REF!</v>
      </c>
    </row>
    <row r="84" spans="1:14" x14ac:dyDescent="0.25">
      <c r="A84">
        <f t="shared" si="14"/>
        <v>1500000</v>
      </c>
      <c r="B84">
        <f t="shared" si="22"/>
        <v>0</v>
      </c>
      <c r="C84">
        <f t="shared" si="23"/>
        <v>0</v>
      </c>
      <c r="D84">
        <f t="shared" si="23"/>
        <v>0</v>
      </c>
      <c r="E84">
        <f t="shared" si="23"/>
        <v>0</v>
      </c>
      <c r="F84">
        <f t="shared" si="23"/>
        <v>0</v>
      </c>
      <c r="G84">
        <f t="shared" si="24"/>
        <v>0</v>
      </c>
      <c r="H84">
        <f t="shared" si="25"/>
        <v>0</v>
      </c>
      <c r="I84">
        <f t="shared" si="26"/>
        <v>0</v>
      </c>
      <c r="J84">
        <f t="shared" si="27"/>
        <v>0</v>
      </c>
      <c r="K84">
        <f t="shared" si="18"/>
        <v>0</v>
      </c>
      <c r="L84">
        <f t="shared" si="18"/>
        <v>0</v>
      </c>
      <c r="M84">
        <f t="shared" si="20"/>
        <v>0</v>
      </c>
      <c r="N84" t="e">
        <f t="shared" si="21"/>
        <v>#REF!</v>
      </c>
    </row>
    <row r="85" spans="1:14" x14ac:dyDescent="0.25">
      <c r="A85">
        <f t="shared" si="14"/>
        <v>1800000</v>
      </c>
      <c r="B85">
        <f t="shared" si="22"/>
        <v>0</v>
      </c>
      <c r="C85">
        <f t="shared" si="23"/>
        <v>0</v>
      </c>
      <c r="D85">
        <f t="shared" si="23"/>
        <v>0</v>
      </c>
      <c r="E85">
        <f t="shared" si="23"/>
        <v>0</v>
      </c>
      <c r="F85">
        <f t="shared" si="23"/>
        <v>0</v>
      </c>
      <c r="G85">
        <f t="shared" si="24"/>
        <v>0</v>
      </c>
      <c r="H85">
        <f t="shared" si="25"/>
        <v>0</v>
      </c>
      <c r="I85">
        <f t="shared" si="26"/>
        <v>0</v>
      </c>
      <c r="J85">
        <f t="shared" si="27"/>
        <v>0</v>
      </c>
      <c r="K85">
        <f t="shared" si="18"/>
        <v>0</v>
      </c>
      <c r="L85">
        <f t="shared" si="18"/>
        <v>0</v>
      </c>
      <c r="M85">
        <f t="shared" si="20"/>
        <v>0</v>
      </c>
      <c r="N85" t="e">
        <f t="shared" si="21"/>
        <v>#REF!</v>
      </c>
    </row>
    <row r="86" spans="1:14" x14ac:dyDescent="0.25">
      <c r="A86">
        <f t="shared" si="14"/>
        <v>2200000</v>
      </c>
      <c r="B86">
        <f t="shared" si="22"/>
        <v>0</v>
      </c>
      <c r="C86">
        <f t="shared" si="23"/>
        <v>0</v>
      </c>
      <c r="D86">
        <f t="shared" si="23"/>
        <v>0</v>
      </c>
      <c r="E86">
        <f t="shared" si="23"/>
        <v>0</v>
      </c>
      <c r="F86">
        <f t="shared" si="23"/>
        <v>0</v>
      </c>
      <c r="G86">
        <f t="shared" si="24"/>
        <v>0</v>
      </c>
      <c r="H86">
        <f t="shared" si="25"/>
        <v>0</v>
      </c>
      <c r="I86">
        <f t="shared" si="26"/>
        <v>0</v>
      </c>
      <c r="J86">
        <f t="shared" si="27"/>
        <v>0</v>
      </c>
      <c r="K86">
        <f t="shared" si="18"/>
        <v>0</v>
      </c>
      <c r="L86">
        <f t="shared" si="18"/>
        <v>0</v>
      </c>
      <c r="M86">
        <f t="shared" si="20"/>
        <v>0</v>
      </c>
      <c r="N86" t="e">
        <f t="shared" si="21"/>
        <v>#REF!</v>
      </c>
    </row>
    <row r="87" spans="1:14" x14ac:dyDescent="0.25">
      <c r="A87">
        <f t="shared" si="14"/>
        <v>2700000</v>
      </c>
      <c r="B87">
        <f t="shared" si="22"/>
        <v>0</v>
      </c>
      <c r="C87">
        <f t="shared" si="23"/>
        <v>0</v>
      </c>
      <c r="D87">
        <f t="shared" si="23"/>
        <v>0</v>
      </c>
      <c r="E87">
        <f t="shared" si="23"/>
        <v>0</v>
      </c>
      <c r="F87">
        <f t="shared" si="23"/>
        <v>0</v>
      </c>
      <c r="G87">
        <f t="shared" si="24"/>
        <v>0</v>
      </c>
      <c r="H87">
        <f t="shared" si="25"/>
        <v>0</v>
      </c>
      <c r="I87">
        <f t="shared" si="26"/>
        <v>0</v>
      </c>
      <c r="J87">
        <f t="shared" si="27"/>
        <v>0</v>
      </c>
      <c r="K87">
        <f t="shared" si="18"/>
        <v>0</v>
      </c>
      <c r="L87">
        <f t="shared" si="18"/>
        <v>0</v>
      </c>
      <c r="M87">
        <f t="shared" si="20"/>
        <v>0</v>
      </c>
      <c r="N87" t="e">
        <f t="shared" si="21"/>
        <v>#REF!</v>
      </c>
    </row>
    <row r="88" spans="1:14" x14ac:dyDescent="0.25">
      <c r="A88">
        <f t="shared" si="14"/>
        <v>3300000</v>
      </c>
      <c r="B88">
        <f t="shared" si="22"/>
        <v>0</v>
      </c>
      <c r="C88">
        <f t="shared" si="23"/>
        <v>0</v>
      </c>
      <c r="D88">
        <f t="shared" si="23"/>
        <v>0</v>
      </c>
      <c r="E88">
        <f t="shared" si="23"/>
        <v>0</v>
      </c>
      <c r="F88">
        <f t="shared" si="23"/>
        <v>0</v>
      </c>
      <c r="G88">
        <f t="shared" si="24"/>
        <v>0</v>
      </c>
      <c r="H88">
        <f t="shared" si="25"/>
        <v>0</v>
      </c>
      <c r="I88">
        <f t="shared" si="26"/>
        <v>0</v>
      </c>
      <c r="J88">
        <f t="shared" si="27"/>
        <v>0</v>
      </c>
      <c r="K88">
        <f t="shared" si="18"/>
        <v>0</v>
      </c>
      <c r="L88">
        <f t="shared" si="18"/>
        <v>0</v>
      </c>
      <c r="M88">
        <f t="shared" si="20"/>
        <v>0</v>
      </c>
      <c r="N88" t="e">
        <f t="shared" si="21"/>
        <v>#REF!</v>
      </c>
    </row>
    <row r="89" spans="1:14" x14ac:dyDescent="0.25">
      <c r="A89">
        <f t="shared" si="14"/>
        <v>3900000</v>
      </c>
      <c r="B89">
        <f t="shared" si="22"/>
        <v>0</v>
      </c>
      <c r="C89">
        <f t="shared" si="23"/>
        <v>0</v>
      </c>
      <c r="D89">
        <f t="shared" si="23"/>
        <v>0</v>
      </c>
      <c r="E89">
        <f t="shared" si="23"/>
        <v>0</v>
      </c>
      <c r="F89">
        <f t="shared" si="23"/>
        <v>0</v>
      </c>
      <c r="G89">
        <f t="shared" si="24"/>
        <v>0</v>
      </c>
      <c r="H89">
        <f t="shared" si="25"/>
        <v>0</v>
      </c>
      <c r="I89">
        <f t="shared" si="26"/>
        <v>0</v>
      </c>
      <c r="J89">
        <f t="shared" si="27"/>
        <v>0</v>
      </c>
      <c r="K89">
        <f t="shared" si="18"/>
        <v>0</v>
      </c>
      <c r="L89">
        <f t="shared" si="18"/>
        <v>0</v>
      </c>
      <c r="M89">
        <f t="shared" si="20"/>
        <v>0</v>
      </c>
      <c r="N89" t="e">
        <f t="shared" si="21"/>
        <v>#REF!</v>
      </c>
    </row>
    <row r="90" spans="1:14" x14ac:dyDescent="0.25">
      <c r="A90">
        <f t="shared" si="14"/>
        <v>4700000</v>
      </c>
      <c r="B90">
        <f t="shared" si="22"/>
        <v>0</v>
      </c>
      <c r="C90">
        <f t="shared" si="23"/>
        <v>0</v>
      </c>
      <c r="D90">
        <f t="shared" si="23"/>
        <v>0</v>
      </c>
      <c r="E90">
        <f t="shared" si="23"/>
        <v>0</v>
      </c>
      <c r="F90">
        <f t="shared" si="23"/>
        <v>0</v>
      </c>
      <c r="G90">
        <f t="shared" si="24"/>
        <v>0</v>
      </c>
      <c r="H90">
        <f t="shared" si="25"/>
        <v>0</v>
      </c>
      <c r="I90">
        <f t="shared" si="26"/>
        <v>0</v>
      </c>
      <c r="J90">
        <f t="shared" si="27"/>
        <v>0</v>
      </c>
      <c r="K90">
        <f t="shared" si="18"/>
        <v>0</v>
      </c>
      <c r="L90">
        <f t="shared" si="18"/>
        <v>0</v>
      </c>
      <c r="M90">
        <f t="shared" si="20"/>
        <v>0</v>
      </c>
      <c r="N90" t="e">
        <f t="shared" si="21"/>
        <v>#REF!</v>
      </c>
    </row>
    <row r="91" spans="1:14" x14ac:dyDescent="0.25">
      <c r="A91">
        <f t="shared" si="14"/>
        <v>5600000</v>
      </c>
      <c r="B91">
        <f t="shared" si="22"/>
        <v>0</v>
      </c>
      <c r="C91">
        <f t="shared" si="23"/>
        <v>0</v>
      </c>
      <c r="D91">
        <f t="shared" si="23"/>
        <v>0</v>
      </c>
      <c r="E91">
        <f t="shared" si="23"/>
        <v>0</v>
      </c>
      <c r="F91">
        <f t="shared" si="23"/>
        <v>0</v>
      </c>
      <c r="G91">
        <f t="shared" si="24"/>
        <v>0</v>
      </c>
      <c r="H91">
        <f t="shared" si="25"/>
        <v>0</v>
      </c>
      <c r="I91">
        <f t="shared" si="26"/>
        <v>0</v>
      </c>
      <c r="J91">
        <f t="shared" si="27"/>
        <v>0</v>
      </c>
      <c r="K91">
        <f t="shared" si="18"/>
        <v>0</v>
      </c>
      <c r="L91">
        <f t="shared" si="18"/>
        <v>0</v>
      </c>
      <c r="M91">
        <f t="shared" si="20"/>
        <v>0</v>
      </c>
      <c r="N91" t="e">
        <f t="shared" si="21"/>
        <v>#REF!</v>
      </c>
    </row>
    <row r="92" spans="1:14" x14ac:dyDescent="0.25">
      <c r="A92">
        <f t="shared" si="14"/>
        <v>6800000</v>
      </c>
      <c r="B92">
        <f t="shared" si="22"/>
        <v>0</v>
      </c>
      <c r="C92">
        <f t="shared" si="23"/>
        <v>0</v>
      </c>
      <c r="D92">
        <f t="shared" si="23"/>
        <v>0</v>
      </c>
      <c r="E92">
        <f t="shared" si="23"/>
        <v>0</v>
      </c>
      <c r="F92">
        <f t="shared" si="23"/>
        <v>0</v>
      </c>
      <c r="G92">
        <f t="shared" si="24"/>
        <v>0</v>
      </c>
      <c r="H92">
        <f t="shared" si="25"/>
        <v>0</v>
      </c>
      <c r="I92">
        <f t="shared" si="26"/>
        <v>0</v>
      </c>
      <c r="J92">
        <f t="shared" si="27"/>
        <v>0</v>
      </c>
      <c r="K92">
        <f t="shared" si="18"/>
        <v>0</v>
      </c>
      <c r="L92">
        <f t="shared" si="18"/>
        <v>0</v>
      </c>
      <c r="M92">
        <f t="shared" si="20"/>
        <v>0</v>
      </c>
      <c r="N92" t="e">
        <f t="shared" si="21"/>
        <v>#REF!</v>
      </c>
    </row>
    <row r="93" spans="1:14" x14ac:dyDescent="0.25">
      <c r="A93">
        <f t="shared" si="14"/>
        <v>8200000</v>
      </c>
      <c r="B93">
        <f t="shared" si="22"/>
        <v>0</v>
      </c>
      <c r="C93">
        <f t="shared" si="23"/>
        <v>0</v>
      </c>
      <c r="D93">
        <f t="shared" si="23"/>
        <v>0</v>
      </c>
      <c r="E93">
        <f t="shared" si="23"/>
        <v>0</v>
      </c>
      <c r="F93">
        <f t="shared" si="23"/>
        <v>0</v>
      </c>
      <c r="G93">
        <f t="shared" si="24"/>
        <v>0</v>
      </c>
      <c r="H93">
        <f t="shared" si="25"/>
        <v>0</v>
      </c>
      <c r="I93">
        <f t="shared" si="26"/>
        <v>0</v>
      </c>
      <c r="J93">
        <f t="shared" si="27"/>
        <v>0</v>
      </c>
      <c r="K93">
        <f t="shared" si="18"/>
        <v>0</v>
      </c>
      <c r="L93">
        <f t="shared" si="18"/>
        <v>0</v>
      </c>
      <c r="M93">
        <f t="shared" si="20"/>
        <v>0</v>
      </c>
      <c r="N93" t="e">
        <f t="shared" si="21"/>
        <v>#REF!</v>
      </c>
    </row>
    <row r="94" spans="1:14" x14ac:dyDescent="0.25">
      <c r="A94">
        <f t="shared" si="14"/>
        <v>10000000</v>
      </c>
      <c r="B94">
        <f t="shared" si="22"/>
        <v>0</v>
      </c>
      <c r="C94">
        <f t="shared" si="23"/>
        <v>0</v>
      </c>
      <c r="D94">
        <f t="shared" si="23"/>
        <v>0</v>
      </c>
      <c r="E94">
        <f t="shared" si="23"/>
        <v>0</v>
      </c>
      <c r="F94">
        <f t="shared" si="23"/>
        <v>0</v>
      </c>
      <c r="G94">
        <f t="shared" si="24"/>
        <v>0</v>
      </c>
      <c r="H94">
        <f t="shared" si="25"/>
        <v>0</v>
      </c>
      <c r="I94">
        <f t="shared" si="26"/>
        <v>0</v>
      </c>
      <c r="J94">
        <f t="shared" si="27"/>
        <v>0</v>
      </c>
      <c r="K94">
        <f t="shared" si="18"/>
        <v>0</v>
      </c>
      <c r="L94">
        <f t="shared" si="18"/>
        <v>0</v>
      </c>
      <c r="M94">
        <f t="shared" si="20"/>
        <v>0</v>
      </c>
      <c r="N94" t="e">
        <f t="shared" si="21"/>
        <v>#REF!</v>
      </c>
    </row>
    <row r="95" spans="1:14" x14ac:dyDescent="0.25">
      <c r="A95">
        <f t="shared" si="14"/>
        <v>12000000</v>
      </c>
      <c r="B95">
        <f t="shared" si="22"/>
        <v>0</v>
      </c>
      <c r="C95">
        <f t="shared" si="23"/>
        <v>0</v>
      </c>
      <c r="D95">
        <f t="shared" si="23"/>
        <v>0</v>
      </c>
      <c r="E95">
        <f t="shared" si="23"/>
        <v>0</v>
      </c>
      <c r="F95">
        <f t="shared" si="23"/>
        <v>0</v>
      </c>
      <c r="G95">
        <f t="shared" si="24"/>
        <v>0</v>
      </c>
      <c r="H95">
        <f t="shared" si="25"/>
        <v>0</v>
      </c>
      <c r="I95">
        <f t="shared" si="26"/>
        <v>0</v>
      </c>
      <c r="J95">
        <f t="shared" si="27"/>
        <v>0</v>
      </c>
      <c r="K95">
        <f t="shared" si="18"/>
        <v>0</v>
      </c>
      <c r="L95">
        <f t="shared" si="18"/>
        <v>0</v>
      </c>
      <c r="M95">
        <f t="shared" si="20"/>
        <v>0</v>
      </c>
      <c r="N95" t="e">
        <f t="shared" si="21"/>
        <v>#REF!</v>
      </c>
    </row>
    <row r="96" spans="1:14" x14ac:dyDescent="0.25">
      <c r="A96">
        <f t="shared" si="14"/>
        <v>15000000</v>
      </c>
      <c r="B96">
        <f t="shared" si="22"/>
        <v>0</v>
      </c>
      <c r="C96">
        <f t="shared" si="23"/>
        <v>0</v>
      </c>
      <c r="D96">
        <f t="shared" si="23"/>
        <v>0</v>
      </c>
      <c r="E96">
        <f t="shared" si="23"/>
        <v>0</v>
      </c>
      <c r="F96">
        <f t="shared" si="23"/>
        <v>0</v>
      </c>
      <c r="G96">
        <f t="shared" si="24"/>
        <v>0</v>
      </c>
      <c r="H96">
        <f t="shared" si="25"/>
        <v>0</v>
      </c>
      <c r="I96">
        <f t="shared" si="26"/>
        <v>0</v>
      </c>
      <c r="J96">
        <f t="shared" si="27"/>
        <v>0</v>
      </c>
      <c r="K96">
        <f t="shared" si="18"/>
        <v>0</v>
      </c>
      <c r="L96">
        <f t="shared" si="18"/>
        <v>0</v>
      </c>
      <c r="M96">
        <f t="shared" si="20"/>
        <v>0</v>
      </c>
      <c r="N96" t="e">
        <f t="shared" si="21"/>
        <v>#REF!</v>
      </c>
    </row>
    <row r="97" spans="1:14" x14ac:dyDescent="0.25">
      <c r="A97">
        <f t="shared" si="14"/>
        <v>18000000</v>
      </c>
      <c r="B97">
        <f t="shared" si="22"/>
        <v>0</v>
      </c>
      <c r="C97">
        <f t="shared" si="23"/>
        <v>0</v>
      </c>
      <c r="D97">
        <f t="shared" si="23"/>
        <v>0</v>
      </c>
      <c r="E97">
        <f t="shared" si="23"/>
        <v>0</v>
      </c>
      <c r="F97">
        <f t="shared" si="23"/>
        <v>0</v>
      </c>
      <c r="G97">
        <f t="shared" si="24"/>
        <v>0</v>
      </c>
      <c r="H97">
        <f t="shared" si="25"/>
        <v>0</v>
      </c>
      <c r="I97">
        <f t="shared" si="26"/>
        <v>0</v>
      </c>
      <c r="J97">
        <f t="shared" si="27"/>
        <v>0</v>
      </c>
      <c r="K97">
        <f t="shared" si="18"/>
        <v>0</v>
      </c>
      <c r="L97">
        <f t="shared" si="18"/>
        <v>0</v>
      </c>
      <c r="M97">
        <f t="shared" si="20"/>
        <v>0</v>
      </c>
      <c r="N97" t="e">
        <f t="shared" si="21"/>
        <v>#REF!</v>
      </c>
    </row>
    <row r="98" spans="1:14" x14ac:dyDescent="0.25">
      <c r="A98">
        <f t="shared" si="14"/>
        <v>22000000</v>
      </c>
      <c r="B98">
        <f t="shared" si="22"/>
        <v>0</v>
      </c>
      <c r="C98">
        <f t="shared" si="23"/>
        <v>0</v>
      </c>
      <c r="D98">
        <f t="shared" si="23"/>
        <v>0</v>
      </c>
      <c r="E98">
        <f t="shared" si="23"/>
        <v>0</v>
      </c>
      <c r="F98">
        <f t="shared" si="23"/>
        <v>0</v>
      </c>
      <c r="G98">
        <f t="shared" si="24"/>
        <v>0</v>
      </c>
      <c r="H98">
        <f t="shared" si="25"/>
        <v>0</v>
      </c>
      <c r="I98">
        <f t="shared" si="26"/>
        <v>0</v>
      </c>
      <c r="J98">
        <f t="shared" si="27"/>
        <v>0</v>
      </c>
      <c r="K98">
        <f t="shared" si="18"/>
        <v>0</v>
      </c>
      <c r="L98">
        <f t="shared" si="18"/>
        <v>0</v>
      </c>
      <c r="M98">
        <f t="shared" si="20"/>
        <v>0</v>
      </c>
      <c r="N98" t="e">
        <f t="shared" si="21"/>
        <v>#REF!</v>
      </c>
    </row>
    <row r="99" spans="1:14" x14ac:dyDescent="0.25">
      <c r="A99">
        <f t="shared" ref="A99:A159" si="28">A87*10</f>
        <v>27000000</v>
      </c>
      <c r="B99">
        <f t="shared" si="22"/>
        <v>0</v>
      </c>
      <c r="C99">
        <f t="shared" si="23"/>
        <v>0</v>
      </c>
      <c r="D99">
        <f t="shared" si="23"/>
        <v>0</v>
      </c>
      <c r="E99">
        <f t="shared" si="23"/>
        <v>0</v>
      </c>
      <c r="F99">
        <f t="shared" si="23"/>
        <v>0</v>
      </c>
      <c r="G99">
        <f t="shared" si="24"/>
        <v>0</v>
      </c>
      <c r="H99">
        <f t="shared" si="25"/>
        <v>0</v>
      </c>
      <c r="I99">
        <f t="shared" si="26"/>
        <v>0</v>
      </c>
      <c r="J99">
        <f t="shared" si="27"/>
        <v>0</v>
      </c>
      <c r="K99">
        <f t="shared" si="18"/>
        <v>0</v>
      </c>
      <c r="L99">
        <f t="shared" si="18"/>
        <v>0</v>
      </c>
      <c r="M99">
        <f t="shared" si="20"/>
        <v>0</v>
      </c>
      <c r="N99" t="e">
        <f t="shared" si="21"/>
        <v>#REF!</v>
      </c>
    </row>
    <row r="100" spans="1:14" x14ac:dyDescent="0.25">
      <c r="A100">
        <f t="shared" si="28"/>
        <v>33000000</v>
      </c>
      <c r="B100">
        <f t="shared" si="22"/>
        <v>0</v>
      </c>
      <c r="C100">
        <f t="shared" si="23"/>
        <v>0</v>
      </c>
      <c r="D100">
        <f t="shared" si="23"/>
        <v>0</v>
      </c>
      <c r="E100">
        <f t="shared" si="23"/>
        <v>0</v>
      </c>
      <c r="F100">
        <f t="shared" si="23"/>
        <v>0</v>
      </c>
      <c r="G100">
        <f t="shared" si="24"/>
        <v>0</v>
      </c>
      <c r="H100">
        <f t="shared" si="25"/>
        <v>0</v>
      </c>
      <c r="I100">
        <f t="shared" si="26"/>
        <v>0</v>
      </c>
      <c r="J100">
        <f t="shared" si="27"/>
        <v>0</v>
      </c>
      <c r="K100">
        <f t="shared" si="18"/>
        <v>0</v>
      </c>
      <c r="L100">
        <f t="shared" si="18"/>
        <v>0</v>
      </c>
      <c r="M100">
        <f t="shared" si="20"/>
        <v>0</v>
      </c>
      <c r="N100" t="e">
        <f t="shared" si="21"/>
        <v>#REF!</v>
      </c>
    </row>
    <row r="101" spans="1:14" x14ac:dyDescent="0.25">
      <c r="A101">
        <f t="shared" si="28"/>
        <v>39000000</v>
      </c>
      <c r="B101">
        <f t="shared" si="22"/>
        <v>0</v>
      </c>
      <c r="C101">
        <f t="shared" si="23"/>
        <v>0</v>
      </c>
      <c r="D101">
        <f t="shared" si="23"/>
        <v>0</v>
      </c>
      <c r="E101">
        <f t="shared" si="23"/>
        <v>0</v>
      </c>
      <c r="F101">
        <f t="shared" si="23"/>
        <v>0</v>
      </c>
      <c r="G101">
        <f t="shared" si="24"/>
        <v>0</v>
      </c>
      <c r="H101">
        <f t="shared" si="25"/>
        <v>0</v>
      </c>
      <c r="I101">
        <f t="shared" si="26"/>
        <v>0</v>
      </c>
      <c r="J101">
        <f t="shared" si="27"/>
        <v>0</v>
      </c>
      <c r="K101">
        <f t="shared" si="18"/>
        <v>0</v>
      </c>
      <c r="L101">
        <f t="shared" si="18"/>
        <v>0</v>
      </c>
      <c r="M101">
        <f t="shared" si="20"/>
        <v>0</v>
      </c>
      <c r="N101" t="e">
        <f t="shared" si="21"/>
        <v>#REF!</v>
      </c>
    </row>
    <row r="102" spans="1:14" x14ac:dyDescent="0.25">
      <c r="A102">
        <f t="shared" si="28"/>
        <v>47000000</v>
      </c>
      <c r="B102">
        <f t="shared" si="22"/>
        <v>0</v>
      </c>
      <c r="C102">
        <f t="shared" si="23"/>
        <v>0</v>
      </c>
      <c r="D102">
        <f t="shared" si="23"/>
        <v>0</v>
      </c>
      <c r="E102">
        <f t="shared" si="23"/>
        <v>0</v>
      </c>
      <c r="F102">
        <f t="shared" si="23"/>
        <v>0</v>
      </c>
      <c r="G102">
        <f t="shared" si="24"/>
        <v>0</v>
      </c>
      <c r="H102">
        <f t="shared" si="25"/>
        <v>0</v>
      </c>
      <c r="I102">
        <f t="shared" si="26"/>
        <v>0</v>
      </c>
      <c r="J102">
        <f t="shared" si="27"/>
        <v>0</v>
      </c>
      <c r="K102">
        <f t="shared" si="18"/>
        <v>0</v>
      </c>
      <c r="L102">
        <f t="shared" si="18"/>
        <v>0</v>
      </c>
      <c r="M102">
        <f t="shared" ref="M102:M133" si="29">IF(IF((M$3*10^12-$A103)*(M$3*10^12-$A102)*-1&lt;0,0,1)*IF(ABS(M$3*10^12-$A103)&gt;(M$3*10^12-$A102),$A102,$A103)=M103,0,IF((M$3*10^12-$A103)*(M$3*10^12-$A102)*-1&lt;0,0,1)*IF(ABS(M$3*10^12-$A103)&gt;(M$3*10^12-$A102),$A102,$A103))</f>
        <v>0</v>
      </c>
      <c r="N102" t="e">
        <f t="shared" ref="N102:N133" si="30">IF(IF((N$3*10^12-$A103)*(N$3*10^12-$A102)*-1&lt;0,0,1)*IF(ABS(N$3*10^12-$A103)&gt;(N$3*10^12-$A102),$A102,$A103)=N103,0,IF((N$3*10^12-$A103)*(N$3*10^12-$A102)*-1&lt;0,0,1)*IF(ABS(N$3*10^12-$A103)&gt;(N$3*10^12-$A102),$A102,$A103))</f>
        <v>#REF!</v>
      </c>
    </row>
    <row r="103" spans="1:14" x14ac:dyDescent="0.25">
      <c r="A103">
        <f t="shared" si="28"/>
        <v>56000000</v>
      </c>
      <c r="B103">
        <f t="shared" si="22"/>
        <v>0</v>
      </c>
      <c r="C103">
        <f t="shared" si="23"/>
        <v>0</v>
      </c>
      <c r="D103">
        <f t="shared" si="23"/>
        <v>0</v>
      </c>
      <c r="E103">
        <f t="shared" si="23"/>
        <v>0</v>
      </c>
      <c r="F103">
        <f t="shared" si="23"/>
        <v>0</v>
      </c>
      <c r="G103">
        <f t="shared" ref="G103:G134" si="31">IF(IF((G$3*10^12-$A104)*(G$3*10^12-$A103)*-1&lt;0,0,1)*IF(ABS(G$3*10^12-$A104)&gt;(G$3*10^12-$A103),$A103,$A104)=G104,0,IF((G$3*10^12-$A104)*(G$3*10^12-$A103)*-1&lt;0,0,1)*IF(ABS(G$3*10^12-$A104)&gt;(G$3*10^12-$A103),$A103,$A104))</f>
        <v>0</v>
      </c>
      <c r="H103">
        <f t="shared" ref="H103:H134" si="32">IF(IF((H$3*10^12-$A104)*(H$3*10^12-$A103)*-1&lt;0,0,1)*IF(ABS(H$3*10^12-$A104)&gt;(H$3*10^12-$A103),$A103,$A104)=H104,0,IF((H$3*10^12-$A104)*(H$3*10^12-$A103)*-1&lt;0,0,1)*IF(ABS(H$3*10^12-$A104)&gt;(H$3*10^12-$A103),$A103,$A104))</f>
        <v>0</v>
      </c>
      <c r="I103">
        <f t="shared" ref="I103:I134" si="33">IF(IF((I$3*10^12-$A104)*(I$3*10^12-$A103)*-1&lt;0,0,1)*IF(ABS(I$3*10^12-$A104)&gt;(I$3*10^12-$A103),$A103,$A104)=I104,0,IF((I$3*10^12-$A104)*(I$3*10^12-$A103)*-1&lt;0,0,1)*IF(ABS(I$3*10^12-$A104)&gt;(I$3*10^12-$A103),$A103,$A104))</f>
        <v>0</v>
      </c>
      <c r="J103">
        <f t="shared" ref="J103:J134" si="34">IF(IF((J$3*10^12-$A104)*(J$3*10^12-$A103)*-1&lt;0,0,1)*IF(ABS(J$3*10^12-$A104)&gt;(J$3*10^12-$A103),$A103,$A104)=J104,0,IF((J$3*10^12-$A104)*(J$3*10^12-$A103)*-1&lt;0,0,1)*IF(ABS(J$3*10^12-$A104)&gt;(J$3*10^12-$A103),$A103,$A104))</f>
        <v>0</v>
      </c>
      <c r="K103">
        <f t="shared" si="18"/>
        <v>0</v>
      </c>
      <c r="L103">
        <f t="shared" si="18"/>
        <v>0</v>
      </c>
      <c r="M103">
        <f t="shared" si="29"/>
        <v>0</v>
      </c>
      <c r="N103" t="e">
        <f t="shared" si="30"/>
        <v>#REF!</v>
      </c>
    </row>
    <row r="104" spans="1:14" x14ac:dyDescent="0.25">
      <c r="A104">
        <f t="shared" si="28"/>
        <v>68000000</v>
      </c>
      <c r="B104">
        <f t="shared" si="22"/>
        <v>0</v>
      </c>
      <c r="C104">
        <f t="shared" si="23"/>
        <v>0</v>
      </c>
      <c r="D104">
        <f t="shared" si="23"/>
        <v>0</v>
      </c>
      <c r="E104">
        <f t="shared" si="23"/>
        <v>0</v>
      </c>
      <c r="F104">
        <f t="shared" si="23"/>
        <v>0</v>
      </c>
      <c r="G104">
        <f t="shared" si="31"/>
        <v>0</v>
      </c>
      <c r="H104">
        <f t="shared" si="32"/>
        <v>0</v>
      </c>
      <c r="I104">
        <f t="shared" si="33"/>
        <v>0</v>
      </c>
      <c r="J104">
        <f t="shared" si="34"/>
        <v>0</v>
      </c>
      <c r="K104">
        <f t="shared" si="18"/>
        <v>0</v>
      </c>
      <c r="L104">
        <f t="shared" si="18"/>
        <v>0</v>
      </c>
      <c r="M104">
        <f t="shared" si="29"/>
        <v>0</v>
      </c>
      <c r="N104" t="e">
        <f t="shared" si="30"/>
        <v>#REF!</v>
      </c>
    </row>
    <row r="105" spans="1:14" x14ac:dyDescent="0.25">
      <c r="A105">
        <f t="shared" si="28"/>
        <v>82000000</v>
      </c>
      <c r="B105">
        <f t="shared" si="22"/>
        <v>0</v>
      </c>
      <c r="C105">
        <f t="shared" si="23"/>
        <v>0</v>
      </c>
      <c r="D105">
        <f t="shared" si="23"/>
        <v>0</v>
      </c>
      <c r="E105">
        <f t="shared" si="23"/>
        <v>0</v>
      </c>
      <c r="F105">
        <f t="shared" si="23"/>
        <v>0</v>
      </c>
      <c r="G105">
        <f t="shared" si="31"/>
        <v>0</v>
      </c>
      <c r="H105">
        <f t="shared" si="32"/>
        <v>0</v>
      </c>
      <c r="I105">
        <f t="shared" si="33"/>
        <v>0</v>
      </c>
      <c r="J105">
        <f t="shared" si="34"/>
        <v>0</v>
      </c>
      <c r="K105">
        <f t="shared" si="18"/>
        <v>0</v>
      </c>
      <c r="L105">
        <f t="shared" si="18"/>
        <v>0</v>
      </c>
      <c r="M105">
        <f t="shared" si="29"/>
        <v>0</v>
      </c>
      <c r="N105" t="e">
        <f t="shared" si="30"/>
        <v>#REF!</v>
      </c>
    </row>
    <row r="106" spans="1:14" x14ac:dyDescent="0.25">
      <c r="A106">
        <f t="shared" si="28"/>
        <v>100000000</v>
      </c>
      <c r="B106">
        <f t="shared" si="22"/>
        <v>0</v>
      </c>
      <c r="C106">
        <f t="shared" si="23"/>
        <v>0</v>
      </c>
      <c r="D106">
        <f t="shared" si="23"/>
        <v>0</v>
      </c>
      <c r="E106">
        <f t="shared" si="23"/>
        <v>0</v>
      </c>
      <c r="F106">
        <f t="shared" si="23"/>
        <v>0</v>
      </c>
      <c r="G106">
        <f t="shared" si="31"/>
        <v>120000000</v>
      </c>
      <c r="H106">
        <f t="shared" si="32"/>
        <v>0</v>
      </c>
      <c r="I106">
        <f t="shared" si="33"/>
        <v>0</v>
      </c>
      <c r="J106">
        <f t="shared" si="34"/>
        <v>0</v>
      </c>
      <c r="K106">
        <f t="shared" si="18"/>
        <v>0</v>
      </c>
      <c r="L106">
        <f t="shared" si="18"/>
        <v>0</v>
      </c>
      <c r="M106">
        <f t="shared" si="29"/>
        <v>0</v>
      </c>
      <c r="N106" t="e">
        <f t="shared" si="30"/>
        <v>#REF!</v>
      </c>
    </row>
    <row r="107" spans="1:14" x14ac:dyDescent="0.25">
      <c r="A107">
        <f t="shared" si="28"/>
        <v>120000000</v>
      </c>
      <c r="B107">
        <f t="shared" si="22"/>
        <v>0</v>
      </c>
      <c r="C107">
        <f t="shared" si="23"/>
        <v>0</v>
      </c>
      <c r="D107">
        <f t="shared" si="23"/>
        <v>0</v>
      </c>
      <c r="E107">
        <f t="shared" si="23"/>
        <v>0</v>
      </c>
      <c r="F107">
        <f t="shared" si="23"/>
        <v>120000000</v>
      </c>
      <c r="G107">
        <f t="shared" si="31"/>
        <v>0</v>
      </c>
      <c r="H107">
        <f t="shared" si="32"/>
        <v>0</v>
      </c>
      <c r="I107">
        <f t="shared" si="33"/>
        <v>0</v>
      </c>
      <c r="J107">
        <f t="shared" si="34"/>
        <v>0</v>
      </c>
      <c r="K107">
        <f t="shared" si="18"/>
        <v>0</v>
      </c>
      <c r="L107">
        <f t="shared" si="18"/>
        <v>0</v>
      </c>
      <c r="M107">
        <f t="shared" si="29"/>
        <v>0</v>
      </c>
      <c r="N107" t="e">
        <f t="shared" si="30"/>
        <v>#REF!</v>
      </c>
    </row>
    <row r="108" spans="1:14" x14ac:dyDescent="0.25">
      <c r="A108">
        <f t="shared" si="28"/>
        <v>150000000</v>
      </c>
      <c r="B108">
        <f t="shared" si="22"/>
        <v>0</v>
      </c>
      <c r="C108">
        <f t="shared" si="23"/>
        <v>0</v>
      </c>
      <c r="D108">
        <f t="shared" si="23"/>
        <v>0</v>
      </c>
      <c r="E108">
        <f t="shared" si="23"/>
        <v>0</v>
      </c>
      <c r="F108">
        <f t="shared" si="23"/>
        <v>0</v>
      </c>
      <c r="G108">
        <f t="shared" si="31"/>
        <v>0</v>
      </c>
      <c r="H108">
        <f t="shared" si="32"/>
        <v>0</v>
      </c>
      <c r="I108">
        <f t="shared" si="33"/>
        <v>0</v>
      </c>
      <c r="J108">
        <f t="shared" si="34"/>
        <v>0</v>
      </c>
      <c r="K108">
        <f t="shared" si="18"/>
        <v>0</v>
      </c>
      <c r="L108">
        <f t="shared" si="18"/>
        <v>0</v>
      </c>
      <c r="M108">
        <f t="shared" si="29"/>
        <v>0</v>
      </c>
      <c r="N108" t="e">
        <f t="shared" si="30"/>
        <v>#REF!</v>
      </c>
    </row>
    <row r="109" spans="1:14" x14ac:dyDescent="0.25">
      <c r="A109">
        <f t="shared" si="28"/>
        <v>180000000</v>
      </c>
      <c r="B109">
        <f t="shared" si="22"/>
        <v>0</v>
      </c>
      <c r="C109">
        <f t="shared" si="23"/>
        <v>0</v>
      </c>
      <c r="D109">
        <f t="shared" si="23"/>
        <v>0</v>
      </c>
      <c r="E109">
        <f t="shared" si="23"/>
        <v>0</v>
      </c>
      <c r="F109">
        <f t="shared" si="23"/>
        <v>0</v>
      </c>
      <c r="G109">
        <f t="shared" si="31"/>
        <v>0</v>
      </c>
      <c r="H109">
        <f t="shared" si="32"/>
        <v>0</v>
      </c>
      <c r="I109">
        <f t="shared" si="33"/>
        <v>0</v>
      </c>
      <c r="J109">
        <f t="shared" si="34"/>
        <v>0</v>
      </c>
      <c r="K109">
        <f t="shared" si="18"/>
        <v>0</v>
      </c>
      <c r="L109">
        <f t="shared" si="18"/>
        <v>0</v>
      </c>
      <c r="M109">
        <f t="shared" si="29"/>
        <v>0</v>
      </c>
      <c r="N109" t="e">
        <f t="shared" si="30"/>
        <v>#REF!</v>
      </c>
    </row>
    <row r="110" spans="1:14" x14ac:dyDescent="0.25">
      <c r="A110">
        <f t="shared" si="28"/>
        <v>220000000</v>
      </c>
      <c r="B110">
        <f t="shared" si="22"/>
        <v>0</v>
      </c>
      <c r="C110">
        <f t="shared" si="23"/>
        <v>0</v>
      </c>
      <c r="D110">
        <f t="shared" si="23"/>
        <v>0</v>
      </c>
      <c r="E110">
        <f t="shared" si="23"/>
        <v>0</v>
      </c>
      <c r="F110">
        <f t="shared" si="23"/>
        <v>0</v>
      </c>
      <c r="G110">
        <f t="shared" si="31"/>
        <v>0</v>
      </c>
      <c r="H110">
        <f t="shared" si="32"/>
        <v>0</v>
      </c>
      <c r="I110">
        <f t="shared" si="33"/>
        <v>0</v>
      </c>
      <c r="J110">
        <f t="shared" si="34"/>
        <v>0</v>
      </c>
      <c r="K110">
        <f t="shared" si="18"/>
        <v>0</v>
      </c>
      <c r="L110">
        <f t="shared" si="18"/>
        <v>0</v>
      </c>
      <c r="M110">
        <f t="shared" si="29"/>
        <v>0</v>
      </c>
      <c r="N110" t="e">
        <f t="shared" si="30"/>
        <v>#REF!</v>
      </c>
    </row>
    <row r="111" spans="1:14" x14ac:dyDescent="0.25">
      <c r="A111">
        <f t="shared" si="28"/>
        <v>270000000</v>
      </c>
      <c r="B111">
        <f t="shared" si="22"/>
        <v>0</v>
      </c>
      <c r="C111">
        <f t="shared" si="23"/>
        <v>0</v>
      </c>
      <c r="D111">
        <f t="shared" si="23"/>
        <v>0</v>
      </c>
      <c r="E111">
        <f t="shared" si="23"/>
        <v>0</v>
      </c>
      <c r="F111">
        <f t="shared" si="23"/>
        <v>0</v>
      </c>
      <c r="G111">
        <f t="shared" si="31"/>
        <v>0</v>
      </c>
      <c r="H111">
        <f t="shared" si="32"/>
        <v>0</v>
      </c>
      <c r="I111">
        <f t="shared" si="33"/>
        <v>0</v>
      </c>
      <c r="J111">
        <f t="shared" si="34"/>
        <v>0</v>
      </c>
      <c r="K111">
        <f t="shared" si="18"/>
        <v>0</v>
      </c>
      <c r="L111">
        <f t="shared" si="18"/>
        <v>0</v>
      </c>
      <c r="M111">
        <f t="shared" si="29"/>
        <v>0</v>
      </c>
      <c r="N111" t="e">
        <f t="shared" si="30"/>
        <v>#REF!</v>
      </c>
    </row>
    <row r="112" spans="1:14" x14ac:dyDescent="0.25">
      <c r="A112">
        <f t="shared" si="28"/>
        <v>330000000</v>
      </c>
      <c r="B112">
        <f t="shared" si="22"/>
        <v>0</v>
      </c>
      <c r="C112">
        <f t="shared" si="23"/>
        <v>0</v>
      </c>
      <c r="D112">
        <f t="shared" si="23"/>
        <v>0</v>
      </c>
      <c r="E112">
        <f t="shared" si="23"/>
        <v>0</v>
      </c>
      <c r="F112">
        <f t="shared" si="23"/>
        <v>0</v>
      </c>
      <c r="G112">
        <f t="shared" si="31"/>
        <v>0</v>
      </c>
      <c r="H112">
        <f t="shared" si="32"/>
        <v>0</v>
      </c>
      <c r="I112">
        <f t="shared" si="33"/>
        <v>0</v>
      </c>
      <c r="J112">
        <f t="shared" si="34"/>
        <v>0</v>
      </c>
      <c r="K112">
        <f t="shared" si="18"/>
        <v>0</v>
      </c>
      <c r="L112">
        <f t="shared" si="18"/>
        <v>0</v>
      </c>
      <c r="M112">
        <f t="shared" si="29"/>
        <v>0</v>
      </c>
      <c r="N112" t="e">
        <f t="shared" si="30"/>
        <v>#REF!</v>
      </c>
    </row>
    <row r="113" spans="1:14" x14ac:dyDescent="0.25">
      <c r="A113">
        <f t="shared" si="28"/>
        <v>390000000</v>
      </c>
      <c r="B113">
        <f t="shared" si="22"/>
        <v>0</v>
      </c>
      <c r="C113">
        <f t="shared" si="23"/>
        <v>0</v>
      </c>
      <c r="D113">
        <f t="shared" si="23"/>
        <v>0</v>
      </c>
      <c r="E113">
        <f t="shared" si="23"/>
        <v>0</v>
      </c>
      <c r="F113">
        <f t="shared" si="23"/>
        <v>0</v>
      </c>
      <c r="G113">
        <f t="shared" si="31"/>
        <v>0</v>
      </c>
      <c r="H113">
        <f t="shared" si="32"/>
        <v>0</v>
      </c>
      <c r="I113">
        <f t="shared" si="33"/>
        <v>0</v>
      </c>
      <c r="J113">
        <f t="shared" si="34"/>
        <v>0</v>
      </c>
      <c r="K113">
        <f t="shared" si="18"/>
        <v>0</v>
      </c>
      <c r="L113">
        <f t="shared" si="18"/>
        <v>0</v>
      </c>
      <c r="M113">
        <f t="shared" si="29"/>
        <v>0</v>
      </c>
      <c r="N113" t="e">
        <f t="shared" si="30"/>
        <v>#REF!</v>
      </c>
    </row>
    <row r="114" spans="1:14" x14ac:dyDescent="0.25">
      <c r="A114">
        <f t="shared" si="28"/>
        <v>470000000</v>
      </c>
      <c r="B114">
        <f t="shared" si="22"/>
        <v>0</v>
      </c>
      <c r="C114">
        <f t="shared" si="23"/>
        <v>0</v>
      </c>
      <c r="D114">
        <f t="shared" si="23"/>
        <v>0</v>
      </c>
      <c r="E114">
        <f t="shared" si="23"/>
        <v>0</v>
      </c>
      <c r="F114">
        <f t="shared" si="23"/>
        <v>0</v>
      </c>
      <c r="G114">
        <f t="shared" si="31"/>
        <v>0</v>
      </c>
      <c r="H114">
        <f t="shared" si="32"/>
        <v>0</v>
      </c>
      <c r="I114">
        <f t="shared" si="33"/>
        <v>0</v>
      </c>
      <c r="J114">
        <f t="shared" si="34"/>
        <v>0</v>
      </c>
      <c r="K114">
        <f t="shared" si="18"/>
        <v>0</v>
      </c>
      <c r="L114">
        <f t="shared" si="18"/>
        <v>0</v>
      </c>
      <c r="M114">
        <f t="shared" si="29"/>
        <v>0</v>
      </c>
      <c r="N114" t="e">
        <f t="shared" si="30"/>
        <v>#REF!</v>
      </c>
    </row>
    <row r="115" spans="1:14" x14ac:dyDescent="0.25">
      <c r="A115">
        <f t="shared" si="28"/>
        <v>560000000</v>
      </c>
      <c r="B115">
        <f t="shared" si="22"/>
        <v>0</v>
      </c>
      <c r="C115">
        <f t="shared" si="23"/>
        <v>0</v>
      </c>
      <c r="D115">
        <f t="shared" si="23"/>
        <v>0</v>
      </c>
      <c r="E115">
        <f t="shared" si="23"/>
        <v>0</v>
      </c>
      <c r="F115">
        <f t="shared" si="23"/>
        <v>0</v>
      </c>
      <c r="G115">
        <f t="shared" si="31"/>
        <v>0</v>
      </c>
      <c r="H115">
        <f t="shared" si="32"/>
        <v>0</v>
      </c>
      <c r="I115">
        <f t="shared" si="33"/>
        <v>0</v>
      </c>
      <c r="J115">
        <f t="shared" si="34"/>
        <v>0</v>
      </c>
      <c r="K115">
        <f t="shared" si="18"/>
        <v>0</v>
      </c>
      <c r="L115">
        <f t="shared" si="18"/>
        <v>0</v>
      </c>
      <c r="M115">
        <f t="shared" si="29"/>
        <v>0</v>
      </c>
      <c r="N115" t="e">
        <f t="shared" si="30"/>
        <v>#REF!</v>
      </c>
    </row>
    <row r="116" spans="1:14" x14ac:dyDescent="0.25">
      <c r="A116">
        <f t="shared" si="28"/>
        <v>680000000</v>
      </c>
      <c r="B116">
        <f t="shared" si="22"/>
        <v>0</v>
      </c>
      <c r="C116">
        <f t="shared" si="23"/>
        <v>0</v>
      </c>
      <c r="D116">
        <f t="shared" si="23"/>
        <v>0</v>
      </c>
      <c r="E116">
        <f t="shared" si="23"/>
        <v>0</v>
      </c>
      <c r="F116">
        <f t="shared" si="23"/>
        <v>0</v>
      </c>
      <c r="G116">
        <f t="shared" si="31"/>
        <v>0</v>
      </c>
      <c r="H116">
        <f t="shared" si="32"/>
        <v>0</v>
      </c>
      <c r="I116">
        <f t="shared" si="33"/>
        <v>0</v>
      </c>
      <c r="J116">
        <f t="shared" si="34"/>
        <v>0</v>
      </c>
      <c r="K116">
        <f t="shared" si="18"/>
        <v>0</v>
      </c>
      <c r="L116">
        <f t="shared" si="18"/>
        <v>0</v>
      </c>
      <c r="M116">
        <f t="shared" si="29"/>
        <v>0</v>
      </c>
      <c r="N116" t="e">
        <f t="shared" si="30"/>
        <v>#REF!</v>
      </c>
    </row>
    <row r="117" spans="1:14" x14ac:dyDescent="0.25">
      <c r="A117">
        <f t="shared" si="28"/>
        <v>820000000</v>
      </c>
      <c r="B117">
        <f t="shared" si="22"/>
        <v>0</v>
      </c>
      <c r="C117">
        <f t="shared" si="23"/>
        <v>0</v>
      </c>
      <c r="D117">
        <f t="shared" si="23"/>
        <v>0</v>
      </c>
      <c r="E117">
        <f t="shared" si="23"/>
        <v>0</v>
      </c>
      <c r="F117">
        <f t="shared" si="23"/>
        <v>0</v>
      </c>
      <c r="G117">
        <f t="shared" si="31"/>
        <v>0</v>
      </c>
      <c r="H117">
        <f t="shared" si="32"/>
        <v>0</v>
      </c>
      <c r="I117">
        <f t="shared" si="33"/>
        <v>0</v>
      </c>
      <c r="J117">
        <f t="shared" si="34"/>
        <v>0</v>
      </c>
      <c r="K117">
        <f t="shared" si="18"/>
        <v>0</v>
      </c>
      <c r="L117">
        <f t="shared" si="18"/>
        <v>0</v>
      </c>
      <c r="M117">
        <f t="shared" si="29"/>
        <v>0</v>
      </c>
      <c r="N117" t="e">
        <f t="shared" si="30"/>
        <v>#REF!</v>
      </c>
    </row>
    <row r="118" spans="1:14" x14ac:dyDescent="0.25">
      <c r="A118">
        <f t="shared" si="28"/>
        <v>1000000000</v>
      </c>
      <c r="B118">
        <f t="shared" si="22"/>
        <v>0</v>
      </c>
      <c r="C118">
        <f t="shared" si="23"/>
        <v>0</v>
      </c>
      <c r="D118">
        <f t="shared" si="23"/>
        <v>0</v>
      </c>
      <c r="E118">
        <f t="shared" si="23"/>
        <v>0</v>
      </c>
      <c r="F118">
        <f t="shared" si="23"/>
        <v>0</v>
      </c>
      <c r="G118">
        <f t="shared" si="31"/>
        <v>0</v>
      </c>
      <c r="H118">
        <f t="shared" si="32"/>
        <v>0</v>
      </c>
      <c r="I118">
        <f t="shared" si="33"/>
        <v>0</v>
      </c>
      <c r="J118">
        <f t="shared" si="34"/>
        <v>0</v>
      </c>
      <c r="K118">
        <f t="shared" si="18"/>
        <v>0</v>
      </c>
      <c r="L118">
        <f t="shared" si="18"/>
        <v>0</v>
      </c>
      <c r="M118">
        <f t="shared" si="29"/>
        <v>0</v>
      </c>
      <c r="N118" t="e">
        <f t="shared" si="30"/>
        <v>#REF!</v>
      </c>
    </row>
    <row r="119" spans="1:14" x14ac:dyDescent="0.25">
      <c r="A119">
        <f t="shared" si="28"/>
        <v>1200000000</v>
      </c>
      <c r="B119">
        <f t="shared" si="22"/>
        <v>0</v>
      </c>
      <c r="C119">
        <f t="shared" si="23"/>
        <v>0</v>
      </c>
      <c r="D119">
        <f t="shared" si="23"/>
        <v>0</v>
      </c>
      <c r="E119">
        <f t="shared" si="23"/>
        <v>0</v>
      </c>
      <c r="F119">
        <f t="shared" si="23"/>
        <v>0</v>
      </c>
      <c r="G119">
        <f t="shared" si="31"/>
        <v>0</v>
      </c>
      <c r="H119">
        <f t="shared" si="32"/>
        <v>0</v>
      </c>
      <c r="I119">
        <f t="shared" si="33"/>
        <v>0</v>
      </c>
      <c r="J119">
        <f t="shared" si="34"/>
        <v>0</v>
      </c>
      <c r="K119">
        <f t="shared" si="18"/>
        <v>0</v>
      </c>
      <c r="L119">
        <f t="shared" si="18"/>
        <v>0</v>
      </c>
      <c r="M119">
        <f t="shared" si="29"/>
        <v>0</v>
      </c>
      <c r="N119" t="e">
        <f t="shared" si="30"/>
        <v>#REF!</v>
      </c>
    </row>
    <row r="120" spans="1:14" x14ac:dyDescent="0.25">
      <c r="A120">
        <f t="shared" si="28"/>
        <v>1500000000</v>
      </c>
      <c r="B120">
        <f t="shared" si="22"/>
        <v>0</v>
      </c>
      <c r="C120">
        <f t="shared" si="23"/>
        <v>0</v>
      </c>
      <c r="D120">
        <f t="shared" si="23"/>
        <v>0</v>
      </c>
      <c r="E120">
        <f t="shared" si="23"/>
        <v>0</v>
      </c>
      <c r="F120">
        <f t="shared" si="23"/>
        <v>0</v>
      </c>
      <c r="G120">
        <f t="shared" si="31"/>
        <v>0</v>
      </c>
      <c r="H120">
        <f t="shared" si="32"/>
        <v>0</v>
      </c>
      <c r="I120">
        <f t="shared" si="33"/>
        <v>0</v>
      </c>
      <c r="J120">
        <f t="shared" si="34"/>
        <v>0</v>
      </c>
      <c r="K120">
        <f t="shared" si="18"/>
        <v>0</v>
      </c>
      <c r="L120">
        <f t="shared" si="18"/>
        <v>0</v>
      </c>
      <c r="M120">
        <f t="shared" si="29"/>
        <v>0</v>
      </c>
      <c r="N120" t="e">
        <f t="shared" si="30"/>
        <v>#REF!</v>
      </c>
    </row>
    <row r="121" spans="1:14" x14ac:dyDescent="0.25">
      <c r="A121">
        <f t="shared" si="28"/>
        <v>1800000000</v>
      </c>
      <c r="B121">
        <f t="shared" si="22"/>
        <v>0</v>
      </c>
      <c r="C121">
        <f t="shared" si="23"/>
        <v>0</v>
      </c>
      <c r="D121">
        <f t="shared" si="23"/>
        <v>0</v>
      </c>
      <c r="E121">
        <f t="shared" si="23"/>
        <v>0</v>
      </c>
      <c r="F121">
        <f t="shared" si="23"/>
        <v>0</v>
      </c>
      <c r="G121">
        <f t="shared" si="31"/>
        <v>0</v>
      </c>
      <c r="H121">
        <f t="shared" si="32"/>
        <v>0</v>
      </c>
      <c r="I121">
        <f t="shared" si="33"/>
        <v>0</v>
      </c>
      <c r="J121">
        <f t="shared" si="34"/>
        <v>0</v>
      </c>
      <c r="K121">
        <f t="shared" si="18"/>
        <v>0</v>
      </c>
      <c r="L121">
        <f t="shared" si="18"/>
        <v>0</v>
      </c>
      <c r="M121">
        <f t="shared" si="29"/>
        <v>0</v>
      </c>
      <c r="N121" t="e">
        <f t="shared" si="30"/>
        <v>#REF!</v>
      </c>
    </row>
    <row r="122" spans="1:14" x14ac:dyDescent="0.25">
      <c r="A122">
        <f t="shared" si="28"/>
        <v>2200000000</v>
      </c>
      <c r="B122">
        <f t="shared" si="22"/>
        <v>0</v>
      </c>
      <c r="C122">
        <f t="shared" si="23"/>
        <v>0</v>
      </c>
      <c r="D122">
        <f t="shared" si="23"/>
        <v>0</v>
      </c>
      <c r="E122">
        <f t="shared" si="23"/>
        <v>0</v>
      </c>
      <c r="F122">
        <f t="shared" si="23"/>
        <v>0</v>
      </c>
      <c r="G122">
        <f t="shared" si="31"/>
        <v>0</v>
      </c>
      <c r="H122">
        <f t="shared" si="32"/>
        <v>0</v>
      </c>
      <c r="I122">
        <f t="shared" si="33"/>
        <v>0</v>
      </c>
      <c r="J122">
        <f t="shared" si="34"/>
        <v>0</v>
      </c>
      <c r="K122">
        <f t="shared" si="18"/>
        <v>0</v>
      </c>
      <c r="L122">
        <f t="shared" si="18"/>
        <v>0</v>
      </c>
      <c r="M122">
        <f t="shared" si="29"/>
        <v>0</v>
      </c>
      <c r="N122" t="e">
        <f t="shared" si="30"/>
        <v>#REF!</v>
      </c>
    </row>
    <row r="123" spans="1:14" x14ac:dyDescent="0.25">
      <c r="A123">
        <f t="shared" si="28"/>
        <v>2700000000</v>
      </c>
      <c r="B123">
        <f t="shared" si="22"/>
        <v>0</v>
      </c>
      <c r="C123">
        <f t="shared" si="23"/>
        <v>0</v>
      </c>
      <c r="D123">
        <f t="shared" si="23"/>
        <v>0</v>
      </c>
      <c r="E123">
        <f t="shared" si="23"/>
        <v>0</v>
      </c>
      <c r="F123">
        <f t="shared" si="23"/>
        <v>0</v>
      </c>
      <c r="G123">
        <f t="shared" si="31"/>
        <v>0</v>
      </c>
      <c r="H123">
        <f t="shared" si="32"/>
        <v>0</v>
      </c>
      <c r="I123">
        <f t="shared" si="33"/>
        <v>0</v>
      </c>
      <c r="J123">
        <f t="shared" si="34"/>
        <v>0</v>
      </c>
      <c r="K123">
        <f t="shared" si="18"/>
        <v>0</v>
      </c>
      <c r="L123">
        <f t="shared" si="18"/>
        <v>0</v>
      </c>
      <c r="M123">
        <f t="shared" si="29"/>
        <v>0</v>
      </c>
      <c r="N123" t="e">
        <f t="shared" si="30"/>
        <v>#REF!</v>
      </c>
    </row>
    <row r="124" spans="1:14" x14ac:dyDescent="0.25">
      <c r="A124">
        <f t="shared" si="28"/>
        <v>3300000000</v>
      </c>
      <c r="B124">
        <f t="shared" si="22"/>
        <v>0</v>
      </c>
      <c r="C124">
        <f t="shared" si="23"/>
        <v>0</v>
      </c>
      <c r="D124">
        <f t="shared" si="23"/>
        <v>0</v>
      </c>
      <c r="E124">
        <f t="shared" si="23"/>
        <v>0</v>
      </c>
      <c r="F124">
        <f t="shared" si="23"/>
        <v>0</v>
      </c>
      <c r="G124">
        <f t="shared" si="31"/>
        <v>0</v>
      </c>
      <c r="H124">
        <f t="shared" si="32"/>
        <v>0</v>
      </c>
      <c r="I124">
        <f t="shared" si="33"/>
        <v>0</v>
      </c>
      <c r="J124">
        <f t="shared" si="34"/>
        <v>0</v>
      </c>
      <c r="K124">
        <f t="shared" si="18"/>
        <v>0</v>
      </c>
      <c r="L124">
        <f t="shared" si="18"/>
        <v>0</v>
      </c>
      <c r="M124">
        <f t="shared" si="29"/>
        <v>0</v>
      </c>
      <c r="N124" t="e">
        <f t="shared" si="30"/>
        <v>#REF!</v>
      </c>
    </row>
    <row r="125" spans="1:14" x14ac:dyDescent="0.25">
      <c r="A125">
        <f t="shared" si="28"/>
        <v>3900000000</v>
      </c>
      <c r="B125">
        <f t="shared" si="22"/>
        <v>0</v>
      </c>
      <c r="C125">
        <f t="shared" si="23"/>
        <v>0</v>
      </c>
      <c r="D125">
        <f t="shared" si="23"/>
        <v>0</v>
      </c>
      <c r="E125">
        <f t="shared" si="23"/>
        <v>0</v>
      </c>
      <c r="F125">
        <f t="shared" si="23"/>
        <v>0</v>
      </c>
      <c r="G125">
        <f t="shared" si="31"/>
        <v>0</v>
      </c>
      <c r="H125">
        <f t="shared" si="32"/>
        <v>0</v>
      </c>
      <c r="I125">
        <f t="shared" si="33"/>
        <v>0</v>
      </c>
      <c r="J125">
        <f t="shared" si="34"/>
        <v>0</v>
      </c>
      <c r="K125">
        <f t="shared" si="18"/>
        <v>0</v>
      </c>
      <c r="L125">
        <f t="shared" si="18"/>
        <v>0</v>
      </c>
      <c r="M125">
        <f t="shared" si="29"/>
        <v>0</v>
      </c>
      <c r="N125" t="e">
        <f t="shared" si="30"/>
        <v>#REF!</v>
      </c>
    </row>
    <row r="126" spans="1:14" x14ac:dyDescent="0.25">
      <c r="A126">
        <f t="shared" si="28"/>
        <v>4700000000</v>
      </c>
      <c r="B126">
        <f t="shared" si="22"/>
        <v>0</v>
      </c>
      <c r="C126">
        <f t="shared" si="23"/>
        <v>0</v>
      </c>
      <c r="D126">
        <f t="shared" si="23"/>
        <v>0</v>
      </c>
      <c r="E126">
        <f t="shared" si="23"/>
        <v>0</v>
      </c>
      <c r="F126">
        <f t="shared" si="23"/>
        <v>0</v>
      </c>
      <c r="G126">
        <f t="shared" si="31"/>
        <v>0</v>
      </c>
      <c r="H126">
        <f t="shared" si="32"/>
        <v>0</v>
      </c>
      <c r="I126">
        <f t="shared" si="33"/>
        <v>0</v>
      </c>
      <c r="J126">
        <f t="shared" si="34"/>
        <v>0</v>
      </c>
      <c r="K126">
        <f t="shared" si="18"/>
        <v>0</v>
      </c>
      <c r="L126">
        <f t="shared" si="18"/>
        <v>0</v>
      </c>
      <c r="M126">
        <f t="shared" si="29"/>
        <v>0</v>
      </c>
      <c r="N126" t="e">
        <f t="shared" si="30"/>
        <v>#REF!</v>
      </c>
    </row>
    <row r="127" spans="1:14" x14ac:dyDescent="0.25">
      <c r="A127">
        <f t="shared" si="28"/>
        <v>5600000000</v>
      </c>
      <c r="B127">
        <f t="shared" si="22"/>
        <v>0</v>
      </c>
      <c r="C127">
        <f t="shared" si="23"/>
        <v>0</v>
      </c>
      <c r="D127">
        <f t="shared" si="23"/>
        <v>0</v>
      </c>
      <c r="E127">
        <f t="shared" si="23"/>
        <v>0</v>
      </c>
      <c r="F127">
        <f t="shared" si="23"/>
        <v>0</v>
      </c>
      <c r="G127">
        <f t="shared" si="31"/>
        <v>0</v>
      </c>
      <c r="H127">
        <f t="shared" si="32"/>
        <v>0</v>
      </c>
      <c r="I127">
        <f t="shared" si="33"/>
        <v>0</v>
      </c>
      <c r="J127">
        <f t="shared" si="34"/>
        <v>0</v>
      </c>
      <c r="K127">
        <f t="shared" si="18"/>
        <v>0</v>
      </c>
      <c r="L127">
        <f t="shared" si="18"/>
        <v>0</v>
      </c>
      <c r="M127">
        <f t="shared" si="29"/>
        <v>0</v>
      </c>
      <c r="N127" t="e">
        <f t="shared" si="30"/>
        <v>#REF!</v>
      </c>
    </row>
    <row r="128" spans="1:14" x14ac:dyDescent="0.25">
      <c r="A128">
        <f t="shared" si="28"/>
        <v>6800000000</v>
      </c>
      <c r="B128">
        <f t="shared" si="22"/>
        <v>0</v>
      </c>
      <c r="C128">
        <f t="shared" si="23"/>
        <v>0</v>
      </c>
      <c r="D128">
        <f t="shared" si="23"/>
        <v>0</v>
      </c>
      <c r="E128">
        <f t="shared" si="23"/>
        <v>0</v>
      </c>
      <c r="F128">
        <f t="shared" si="23"/>
        <v>0</v>
      </c>
      <c r="G128">
        <f t="shared" si="31"/>
        <v>0</v>
      </c>
      <c r="H128">
        <f t="shared" si="32"/>
        <v>0</v>
      </c>
      <c r="I128">
        <f t="shared" si="33"/>
        <v>0</v>
      </c>
      <c r="J128">
        <f t="shared" si="34"/>
        <v>0</v>
      </c>
      <c r="K128">
        <f t="shared" si="18"/>
        <v>0</v>
      </c>
      <c r="L128">
        <f t="shared" si="18"/>
        <v>0</v>
      </c>
      <c r="M128">
        <f t="shared" si="29"/>
        <v>0</v>
      </c>
      <c r="N128" t="e">
        <f t="shared" si="30"/>
        <v>#REF!</v>
      </c>
    </row>
    <row r="129" spans="1:14" x14ac:dyDescent="0.25">
      <c r="A129">
        <f t="shared" si="28"/>
        <v>8200000000</v>
      </c>
      <c r="B129">
        <f t="shared" si="22"/>
        <v>0</v>
      </c>
      <c r="C129">
        <f t="shared" si="23"/>
        <v>0</v>
      </c>
      <c r="D129">
        <f t="shared" si="23"/>
        <v>0</v>
      </c>
      <c r="E129">
        <f t="shared" si="23"/>
        <v>0</v>
      </c>
      <c r="F129">
        <f t="shared" si="23"/>
        <v>0</v>
      </c>
      <c r="G129">
        <f t="shared" si="31"/>
        <v>0</v>
      </c>
      <c r="H129">
        <f t="shared" si="32"/>
        <v>0</v>
      </c>
      <c r="I129">
        <f t="shared" si="33"/>
        <v>0</v>
      </c>
      <c r="J129">
        <f t="shared" si="34"/>
        <v>0</v>
      </c>
      <c r="K129">
        <f t="shared" si="18"/>
        <v>0</v>
      </c>
      <c r="L129">
        <f t="shared" si="18"/>
        <v>0</v>
      </c>
      <c r="M129">
        <f t="shared" si="29"/>
        <v>0</v>
      </c>
      <c r="N129" t="e">
        <f t="shared" si="30"/>
        <v>#REF!</v>
      </c>
    </row>
    <row r="130" spans="1:14" x14ac:dyDescent="0.25">
      <c r="A130">
        <f t="shared" si="28"/>
        <v>10000000000</v>
      </c>
      <c r="B130">
        <f t="shared" si="22"/>
        <v>0</v>
      </c>
      <c r="C130">
        <f t="shared" si="23"/>
        <v>0</v>
      </c>
      <c r="D130">
        <f t="shared" si="23"/>
        <v>0</v>
      </c>
      <c r="E130">
        <f t="shared" si="23"/>
        <v>0</v>
      </c>
      <c r="F130">
        <f t="shared" si="23"/>
        <v>0</v>
      </c>
      <c r="G130">
        <f t="shared" si="31"/>
        <v>0</v>
      </c>
      <c r="H130">
        <f t="shared" si="32"/>
        <v>0</v>
      </c>
      <c r="I130">
        <f t="shared" si="33"/>
        <v>0</v>
      </c>
      <c r="J130">
        <f t="shared" si="34"/>
        <v>0</v>
      </c>
      <c r="K130">
        <f t="shared" si="18"/>
        <v>0</v>
      </c>
      <c r="L130">
        <f t="shared" si="18"/>
        <v>0</v>
      </c>
      <c r="M130">
        <f t="shared" si="29"/>
        <v>0</v>
      </c>
      <c r="N130" t="e">
        <f t="shared" si="30"/>
        <v>#REF!</v>
      </c>
    </row>
    <row r="131" spans="1:14" x14ac:dyDescent="0.25">
      <c r="A131">
        <f t="shared" si="28"/>
        <v>12000000000</v>
      </c>
      <c r="B131">
        <f t="shared" si="22"/>
        <v>0</v>
      </c>
      <c r="C131">
        <f t="shared" si="23"/>
        <v>0</v>
      </c>
      <c r="D131">
        <f t="shared" si="23"/>
        <v>0</v>
      </c>
      <c r="E131">
        <f t="shared" si="23"/>
        <v>0</v>
      </c>
      <c r="F131">
        <f t="shared" si="23"/>
        <v>0</v>
      </c>
      <c r="G131">
        <f t="shared" si="31"/>
        <v>0</v>
      </c>
      <c r="H131">
        <f t="shared" si="32"/>
        <v>0</v>
      </c>
      <c r="I131">
        <f t="shared" si="33"/>
        <v>0</v>
      </c>
      <c r="J131">
        <f t="shared" si="34"/>
        <v>0</v>
      </c>
      <c r="K131">
        <f t="shared" si="18"/>
        <v>0</v>
      </c>
      <c r="L131">
        <f t="shared" si="18"/>
        <v>0</v>
      </c>
      <c r="M131">
        <f t="shared" si="29"/>
        <v>0</v>
      </c>
      <c r="N131" t="e">
        <f t="shared" si="30"/>
        <v>#REF!</v>
      </c>
    </row>
    <row r="132" spans="1:14" x14ac:dyDescent="0.25">
      <c r="A132">
        <f t="shared" si="28"/>
        <v>15000000000</v>
      </c>
      <c r="B132">
        <f t="shared" si="22"/>
        <v>0</v>
      </c>
      <c r="C132">
        <f t="shared" si="23"/>
        <v>0</v>
      </c>
      <c r="D132">
        <f t="shared" si="23"/>
        <v>0</v>
      </c>
      <c r="E132">
        <f t="shared" si="23"/>
        <v>0</v>
      </c>
      <c r="F132">
        <f t="shared" si="23"/>
        <v>0</v>
      </c>
      <c r="G132">
        <f t="shared" si="31"/>
        <v>0</v>
      </c>
      <c r="H132">
        <f t="shared" si="32"/>
        <v>0</v>
      </c>
      <c r="I132">
        <f t="shared" si="33"/>
        <v>0</v>
      </c>
      <c r="J132">
        <f t="shared" si="34"/>
        <v>0</v>
      </c>
      <c r="K132">
        <f t="shared" si="18"/>
        <v>0</v>
      </c>
      <c r="L132">
        <f t="shared" si="18"/>
        <v>0</v>
      </c>
      <c r="M132">
        <f t="shared" si="29"/>
        <v>0</v>
      </c>
      <c r="N132" t="e">
        <f t="shared" si="30"/>
        <v>#REF!</v>
      </c>
    </row>
    <row r="133" spans="1:14" x14ac:dyDescent="0.25">
      <c r="A133">
        <f t="shared" si="28"/>
        <v>18000000000</v>
      </c>
      <c r="B133">
        <f t="shared" si="22"/>
        <v>0</v>
      </c>
      <c r="C133">
        <f t="shared" si="23"/>
        <v>0</v>
      </c>
      <c r="D133">
        <f t="shared" si="23"/>
        <v>0</v>
      </c>
      <c r="E133">
        <f t="shared" si="23"/>
        <v>0</v>
      </c>
      <c r="F133">
        <f t="shared" si="23"/>
        <v>0</v>
      </c>
      <c r="G133">
        <f t="shared" si="31"/>
        <v>0</v>
      </c>
      <c r="H133">
        <f t="shared" si="32"/>
        <v>0</v>
      </c>
      <c r="I133">
        <f t="shared" si="33"/>
        <v>0</v>
      </c>
      <c r="J133">
        <f t="shared" si="34"/>
        <v>0</v>
      </c>
      <c r="K133">
        <f>IF(IF((K$3*10^12-$A134)*(K$3*10^12-$A133)*-1&lt;0,0,1)*IF(ABS(K$3*10^12-$A134)&gt;(K$3*10^12-$A133),$A133,$A134)=K134,0,IF((K$3*10^12-$A134)*(K$3*10^12-$A133)*-1&lt;0,0,1)*IF(ABS(K$3*10^12-$A134)&gt;(K$3*10^12-$A133),$A133,$A134))</f>
        <v>0</v>
      </c>
      <c r="L133">
        <f>IF(IF((L$3*10^12-$A134)*(L$3*10^12-$A133)*-1&lt;0,0,1)*IF(ABS(L$3*10^12-$A134)&gt;(L$3*10^12-$A133),$A133,$A134)=L134,0,IF((L$3*10^12-$A134)*(L$3*10^12-$A133)*-1&lt;0,0,1)*IF(ABS(L$3*10^12-$A134)&gt;(L$3*10^12-$A133),$A133,$A134))</f>
        <v>0</v>
      </c>
      <c r="M133">
        <f t="shared" si="29"/>
        <v>0</v>
      </c>
      <c r="N133" t="e">
        <f t="shared" si="30"/>
        <v>#REF!</v>
      </c>
    </row>
    <row r="134" spans="1:14" x14ac:dyDescent="0.25">
      <c r="A134">
        <f t="shared" si="28"/>
        <v>22000000000</v>
      </c>
      <c r="B134">
        <f t="shared" si="22"/>
        <v>0</v>
      </c>
      <c r="C134">
        <f t="shared" si="23"/>
        <v>0</v>
      </c>
      <c r="D134">
        <f t="shared" si="23"/>
        <v>0</v>
      </c>
      <c r="E134">
        <f t="shared" si="23"/>
        <v>0</v>
      </c>
      <c r="F134">
        <f t="shared" ref="F134:L159" si="35">IF(IF((F$3*10^12-$A135)*(F$3*10^12-$A134)*-1&lt;0,0,1)*IF(ABS(F$3*10^12-$A135)&gt;(F$3*10^12-$A134),$A134,$A135)=F135,0,IF((F$3*10^12-$A135)*(F$3*10^12-$A134)*-1&lt;0,0,1)*IF(ABS(F$3*10^12-$A135)&gt;(F$3*10^12-$A134),$A134,$A135))</f>
        <v>0</v>
      </c>
      <c r="G134">
        <f t="shared" si="31"/>
        <v>0</v>
      </c>
      <c r="H134">
        <f t="shared" si="32"/>
        <v>0</v>
      </c>
      <c r="I134">
        <f t="shared" si="33"/>
        <v>0</v>
      </c>
      <c r="J134">
        <f t="shared" si="34"/>
        <v>0</v>
      </c>
      <c r="K134">
        <f>IF(IF((K$3*10^12-$A135)*(K$3*10^12-$A134)*-1&lt;0,0,1)*IF(ABS(K$3*10^12-$A135)&gt;(K$3*10^12-$A134),$A134,$A135)=K135,0,IF((K$3*10^12-$A135)*(K$3*10^12-$A134)*-1&lt;0,0,1)*IF(ABS(K$3*10^12-$A135)&gt;(K$3*10^12-$A134),$A134,$A135))</f>
        <v>0</v>
      </c>
      <c r="L134">
        <f>IF(IF((L$3*10^12-$A135)*(L$3*10^12-$A134)*-1&lt;0,0,1)*IF(ABS(L$3*10^12-$A135)&gt;(L$3*10^12-$A134),$A134,$A135)=L135,0,IF((L$3*10^12-$A135)*(L$3*10^12-$A134)*-1&lt;0,0,1)*IF(ABS(L$3*10^12-$A135)&gt;(L$3*10^12-$A134),$A134,$A135))</f>
        <v>0</v>
      </c>
      <c r="M134">
        <f t="shared" ref="M134:M159" si="36">IF(IF((M$3*10^12-$A135)*(M$3*10^12-$A134)*-1&lt;0,0,1)*IF(ABS(M$3*10^12-$A135)&gt;(M$3*10^12-$A134),$A134,$A135)=M135,0,IF((M$3*10^12-$A135)*(M$3*10^12-$A134)*-1&lt;0,0,1)*IF(ABS(M$3*10^12-$A135)&gt;(M$3*10^12-$A134),$A134,$A135))</f>
        <v>0</v>
      </c>
      <c r="N134" t="e">
        <f t="shared" ref="N134:N159" si="37">IF(IF((N$3*10^12-$A135)*(N$3*10^12-$A134)*-1&lt;0,0,1)*IF(ABS(N$3*10^12-$A135)&gt;(N$3*10^12-$A134),$A134,$A135)=N135,0,IF((N$3*10^12-$A135)*(N$3*10^12-$A134)*-1&lt;0,0,1)*IF(ABS(N$3*10^12-$A135)&gt;(N$3*10^12-$A134),$A134,$A135))</f>
        <v>#REF!</v>
      </c>
    </row>
    <row r="135" spans="1:14" x14ac:dyDescent="0.25">
      <c r="A135">
        <f t="shared" si="28"/>
        <v>27000000000</v>
      </c>
      <c r="B135">
        <f t="shared" ref="B135:B159" si="38">IF(IF((B$3*10^12-$A136)*(B$3*10^12-$A135)*-1&lt;0,0,1)*IF(ABS(B$3*10^12-$A136)&gt;(B$3*10^12-$A135),$A135,$A136)=B136,0,IF((B$3*10^12-$A136)*(B$3*10^12-$A135)*-1&lt;0,0,1)*IF(ABS(B$3*10^12-$A136)&gt;(B$3*10^12-$A135),$A135,$A136))</f>
        <v>0</v>
      </c>
      <c r="C135">
        <f t="shared" ref="C135:E159" si="39">IF(IF((C$3*10^12-$A136)*(C$3*10^12-$A135)*-1&lt;0,0,1)*IF(ABS(C$3*10^12-$A136)&gt;(C$3*10^12-$A135),$A135,$A136)=C136,0,IF((C$3*10^12-$A136)*(C$3*10^12-$A135)*-1&lt;0,0,1)*IF(ABS(C$3*10^12-$A136)&gt;(C$3*10^12-$A135),$A135,$A136))</f>
        <v>0</v>
      </c>
      <c r="D135">
        <f t="shared" si="39"/>
        <v>0</v>
      </c>
      <c r="E135">
        <f t="shared" si="39"/>
        <v>0</v>
      </c>
      <c r="F135">
        <f t="shared" si="35"/>
        <v>0</v>
      </c>
      <c r="G135">
        <f t="shared" si="35"/>
        <v>0</v>
      </c>
      <c r="H135">
        <f t="shared" si="35"/>
        <v>0</v>
      </c>
      <c r="I135">
        <f t="shared" si="35"/>
        <v>0</v>
      </c>
      <c r="J135">
        <f t="shared" si="35"/>
        <v>0</v>
      </c>
      <c r="K135">
        <f t="shared" si="35"/>
        <v>0</v>
      </c>
      <c r="L135">
        <f t="shared" si="35"/>
        <v>0</v>
      </c>
      <c r="M135">
        <f t="shared" si="36"/>
        <v>0</v>
      </c>
      <c r="N135" t="e">
        <f t="shared" si="37"/>
        <v>#REF!</v>
      </c>
    </row>
    <row r="136" spans="1:14" x14ac:dyDescent="0.25">
      <c r="A136">
        <f t="shared" si="28"/>
        <v>33000000000</v>
      </c>
      <c r="B136">
        <f t="shared" si="38"/>
        <v>0</v>
      </c>
      <c r="C136">
        <f t="shared" si="39"/>
        <v>0</v>
      </c>
      <c r="D136">
        <f t="shared" si="39"/>
        <v>0</v>
      </c>
      <c r="E136">
        <f t="shared" si="39"/>
        <v>0</v>
      </c>
      <c r="F136">
        <f t="shared" si="35"/>
        <v>0</v>
      </c>
      <c r="G136">
        <f t="shared" si="35"/>
        <v>0</v>
      </c>
      <c r="H136">
        <f t="shared" si="35"/>
        <v>0</v>
      </c>
      <c r="I136">
        <f t="shared" si="35"/>
        <v>0</v>
      </c>
      <c r="J136">
        <f t="shared" si="35"/>
        <v>0</v>
      </c>
      <c r="K136">
        <f t="shared" si="35"/>
        <v>0</v>
      </c>
      <c r="L136">
        <f t="shared" si="35"/>
        <v>0</v>
      </c>
      <c r="M136">
        <f t="shared" si="36"/>
        <v>0</v>
      </c>
      <c r="N136" t="e">
        <f t="shared" si="37"/>
        <v>#REF!</v>
      </c>
    </row>
    <row r="137" spans="1:14" x14ac:dyDescent="0.25">
      <c r="A137">
        <f t="shared" si="28"/>
        <v>39000000000</v>
      </c>
      <c r="B137">
        <f t="shared" si="38"/>
        <v>0</v>
      </c>
      <c r="C137">
        <f t="shared" si="39"/>
        <v>0</v>
      </c>
      <c r="D137">
        <f t="shared" si="39"/>
        <v>0</v>
      </c>
      <c r="E137">
        <f t="shared" si="39"/>
        <v>0</v>
      </c>
      <c r="F137">
        <f t="shared" si="35"/>
        <v>0</v>
      </c>
      <c r="G137">
        <f t="shared" si="35"/>
        <v>0</v>
      </c>
      <c r="H137">
        <f t="shared" si="35"/>
        <v>0</v>
      </c>
      <c r="I137">
        <f t="shared" si="35"/>
        <v>0</v>
      </c>
      <c r="J137">
        <f t="shared" si="35"/>
        <v>0</v>
      </c>
      <c r="K137">
        <f t="shared" si="35"/>
        <v>0</v>
      </c>
      <c r="L137">
        <f t="shared" si="35"/>
        <v>0</v>
      </c>
      <c r="M137">
        <f t="shared" si="36"/>
        <v>0</v>
      </c>
      <c r="N137" t="e">
        <f t="shared" si="37"/>
        <v>#REF!</v>
      </c>
    </row>
    <row r="138" spans="1:14" x14ac:dyDescent="0.25">
      <c r="A138">
        <f t="shared" si="28"/>
        <v>47000000000</v>
      </c>
      <c r="B138">
        <f t="shared" si="38"/>
        <v>0</v>
      </c>
      <c r="C138">
        <f t="shared" si="39"/>
        <v>0</v>
      </c>
      <c r="D138">
        <f t="shared" si="39"/>
        <v>0</v>
      </c>
      <c r="E138">
        <f t="shared" si="39"/>
        <v>0</v>
      </c>
      <c r="F138">
        <f t="shared" si="35"/>
        <v>0</v>
      </c>
      <c r="G138">
        <f t="shared" si="35"/>
        <v>0</v>
      </c>
      <c r="H138">
        <f t="shared" si="35"/>
        <v>0</v>
      </c>
      <c r="I138">
        <f t="shared" si="35"/>
        <v>0</v>
      </c>
      <c r="J138">
        <f t="shared" si="35"/>
        <v>0</v>
      </c>
      <c r="K138">
        <f t="shared" si="35"/>
        <v>0</v>
      </c>
      <c r="L138">
        <f t="shared" si="35"/>
        <v>0</v>
      </c>
      <c r="M138">
        <f t="shared" si="36"/>
        <v>0</v>
      </c>
      <c r="N138" t="e">
        <f t="shared" si="37"/>
        <v>#REF!</v>
      </c>
    </row>
    <row r="139" spans="1:14" x14ac:dyDescent="0.25">
      <c r="A139">
        <f t="shared" si="28"/>
        <v>56000000000</v>
      </c>
      <c r="B139">
        <f t="shared" si="38"/>
        <v>0</v>
      </c>
      <c r="C139">
        <f t="shared" si="39"/>
        <v>0</v>
      </c>
      <c r="D139">
        <f t="shared" si="39"/>
        <v>0</v>
      </c>
      <c r="E139">
        <f t="shared" si="39"/>
        <v>0</v>
      </c>
      <c r="F139">
        <f t="shared" si="35"/>
        <v>0</v>
      </c>
      <c r="G139">
        <f t="shared" si="35"/>
        <v>0</v>
      </c>
      <c r="H139">
        <f t="shared" si="35"/>
        <v>0</v>
      </c>
      <c r="I139">
        <f t="shared" si="35"/>
        <v>0</v>
      </c>
      <c r="J139">
        <f t="shared" si="35"/>
        <v>0</v>
      </c>
      <c r="K139">
        <f t="shared" si="35"/>
        <v>0</v>
      </c>
      <c r="L139">
        <f t="shared" si="35"/>
        <v>0</v>
      </c>
      <c r="M139">
        <f t="shared" si="36"/>
        <v>0</v>
      </c>
      <c r="N139" t="e">
        <f t="shared" si="37"/>
        <v>#REF!</v>
      </c>
    </row>
    <row r="140" spans="1:14" x14ac:dyDescent="0.25">
      <c r="A140">
        <f t="shared" si="28"/>
        <v>68000000000</v>
      </c>
      <c r="B140">
        <f t="shared" si="38"/>
        <v>0</v>
      </c>
      <c r="C140">
        <f t="shared" si="39"/>
        <v>0</v>
      </c>
      <c r="D140">
        <f t="shared" si="39"/>
        <v>0</v>
      </c>
      <c r="E140">
        <f t="shared" si="39"/>
        <v>0</v>
      </c>
      <c r="F140">
        <f t="shared" si="35"/>
        <v>0</v>
      </c>
      <c r="G140">
        <f t="shared" si="35"/>
        <v>0</v>
      </c>
      <c r="H140">
        <f t="shared" si="35"/>
        <v>0</v>
      </c>
      <c r="I140">
        <f t="shared" si="35"/>
        <v>0</v>
      </c>
      <c r="J140">
        <f t="shared" si="35"/>
        <v>0</v>
      </c>
      <c r="K140">
        <f t="shared" si="35"/>
        <v>0</v>
      </c>
      <c r="L140">
        <f t="shared" si="35"/>
        <v>0</v>
      </c>
      <c r="M140">
        <f t="shared" si="36"/>
        <v>0</v>
      </c>
      <c r="N140" t="e">
        <f t="shared" si="37"/>
        <v>#REF!</v>
      </c>
    </row>
    <row r="141" spans="1:14" x14ac:dyDescent="0.25">
      <c r="A141">
        <f t="shared" si="28"/>
        <v>82000000000</v>
      </c>
      <c r="B141">
        <f t="shared" si="38"/>
        <v>0</v>
      </c>
      <c r="C141">
        <f t="shared" si="39"/>
        <v>0</v>
      </c>
      <c r="D141">
        <f t="shared" si="39"/>
        <v>0</v>
      </c>
      <c r="E141">
        <f t="shared" si="39"/>
        <v>0</v>
      </c>
      <c r="F141">
        <f t="shared" si="35"/>
        <v>0</v>
      </c>
      <c r="G141">
        <f t="shared" si="35"/>
        <v>0</v>
      </c>
      <c r="H141">
        <f t="shared" si="35"/>
        <v>0</v>
      </c>
      <c r="I141">
        <f t="shared" si="35"/>
        <v>0</v>
      </c>
      <c r="J141">
        <f t="shared" si="35"/>
        <v>0</v>
      </c>
      <c r="K141">
        <f t="shared" si="35"/>
        <v>0</v>
      </c>
      <c r="L141">
        <f t="shared" si="35"/>
        <v>0</v>
      </c>
      <c r="M141">
        <f t="shared" si="36"/>
        <v>0</v>
      </c>
      <c r="N141" t="e">
        <f t="shared" si="37"/>
        <v>#REF!</v>
      </c>
    </row>
    <row r="142" spans="1:14" x14ac:dyDescent="0.25">
      <c r="A142">
        <f t="shared" si="28"/>
        <v>100000000000</v>
      </c>
      <c r="B142">
        <f t="shared" si="38"/>
        <v>0</v>
      </c>
      <c r="C142">
        <f t="shared" si="39"/>
        <v>0</v>
      </c>
      <c r="D142">
        <f t="shared" si="39"/>
        <v>0</v>
      </c>
      <c r="E142">
        <f t="shared" si="39"/>
        <v>0</v>
      </c>
      <c r="F142">
        <f t="shared" si="35"/>
        <v>0</v>
      </c>
      <c r="G142">
        <f t="shared" si="35"/>
        <v>0</v>
      </c>
      <c r="H142">
        <f t="shared" si="35"/>
        <v>0</v>
      </c>
      <c r="I142">
        <f t="shared" si="35"/>
        <v>0</v>
      </c>
      <c r="J142">
        <f t="shared" si="35"/>
        <v>0</v>
      </c>
      <c r="K142">
        <f t="shared" si="35"/>
        <v>0</v>
      </c>
      <c r="L142">
        <f t="shared" si="35"/>
        <v>0</v>
      </c>
      <c r="M142">
        <f t="shared" si="36"/>
        <v>0</v>
      </c>
      <c r="N142" t="e">
        <f t="shared" si="37"/>
        <v>#REF!</v>
      </c>
    </row>
    <row r="143" spans="1:14" x14ac:dyDescent="0.25">
      <c r="A143">
        <f t="shared" si="28"/>
        <v>120000000000</v>
      </c>
      <c r="B143">
        <f t="shared" si="38"/>
        <v>0</v>
      </c>
      <c r="C143">
        <f t="shared" si="39"/>
        <v>0</v>
      </c>
      <c r="D143">
        <f t="shared" si="39"/>
        <v>0</v>
      </c>
      <c r="E143">
        <f t="shared" si="39"/>
        <v>0</v>
      </c>
      <c r="F143">
        <f t="shared" si="35"/>
        <v>0</v>
      </c>
      <c r="G143">
        <f t="shared" si="35"/>
        <v>0</v>
      </c>
      <c r="H143">
        <f t="shared" si="35"/>
        <v>0</v>
      </c>
      <c r="I143">
        <f t="shared" si="35"/>
        <v>0</v>
      </c>
      <c r="J143">
        <f t="shared" si="35"/>
        <v>0</v>
      </c>
      <c r="K143">
        <f t="shared" si="35"/>
        <v>0</v>
      </c>
      <c r="L143">
        <f t="shared" si="35"/>
        <v>0</v>
      </c>
      <c r="M143">
        <f t="shared" si="36"/>
        <v>0</v>
      </c>
      <c r="N143" t="e">
        <f t="shared" si="37"/>
        <v>#REF!</v>
      </c>
    </row>
    <row r="144" spans="1:14" x14ac:dyDescent="0.25">
      <c r="A144">
        <f t="shared" si="28"/>
        <v>150000000000</v>
      </c>
      <c r="B144">
        <f t="shared" si="38"/>
        <v>0</v>
      </c>
      <c r="C144">
        <f t="shared" si="39"/>
        <v>0</v>
      </c>
      <c r="D144">
        <f t="shared" si="39"/>
        <v>0</v>
      </c>
      <c r="E144">
        <f t="shared" si="39"/>
        <v>0</v>
      </c>
      <c r="F144">
        <f t="shared" si="35"/>
        <v>0</v>
      </c>
      <c r="G144">
        <f t="shared" si="35"/>
        <v>0</v>
      </c>
      <c r="H144">
        <f t="shared" si="35"/>
        <v>0</v>
      </c>
      <c r="I144">
        <f t="shared" si="35"/>
        <v>0</v>
      </c>
      <c r="J144">
        <f t="shared" si="35"/>
        <v>0</v>
      </c>
      <c r="K144">
        <f t="shared" si="35"/>
        <v>0</v>
      </c>
      <c r="L144">
        <f t="shared" si="35"/>
        <v>0</v>
      </c>
      <c r="M144">
        <f t="shared" si="36"/>
        <v>0</v>
      </c>
      <c r="N144" t="e">
        <f t="shared" si="37"/>
        <v>#REF!</v>
      </c>
    </row>
    <row r="145" spans="1:14" x14ac:dyDescent="0.25">
      <c r="A145">
        <f t="shared" si="28"/>
        <v>180000000000</v>
      </c>
      <c r="B145">
        <f t="shared" si="38"/>
        <v>0</v>
      </c>
      <c r="C145">
        <f t="shared" si="39"/>
        <v>0</v>
      </c>
      <c r="D145">
        <f t="shared" si="39"/>
        <v>0</v>
      </c>
      <c r="E145">
        <f t="shared" si="39"/>
        <v>0</v>
      </c>
      <c r="F145">
        <f t="shared" si="35"/>
        <v>0</v>
      </c>
      <c r="G145">
        <f t="shared" si="35"/>
        <v>0</v>
      </c>
      <c r="H145">
        <f t="shared" si="35"/>
        <v>0</v>
      </c>
      <c r="I145">
        <f t="shared" si="35"/>
        <v>0</v>
      </c>
      <c r="J145">
        <f t="shared" si="35"/>
        <v>0</v>
      </c>
      <c r="K145">
        <f t="shared" si="35"/>
        <v>0</v>
      </c>
      <c r="L145">
        <f t="shared" si="35"/>
        <v>0</v>
      </c>
      <c r="M145">
        <f t="shared" si="36"/>
        <v>0</v>
      </c>
      <c r="N145" t="e">
        <f t="shared" si="37"/>
        <v>#REF!</v>
      </c>
    </row>
    <row r="146" spans="1:14" x14ac:dyDescent="0.25">
      <c r="A146">
        <f t="shared" si="28"/>
        <v>220000000000</v>
      </c>
      <c r="B146">
        <f t="shared" si="38"/>
        <v>0</v>
      </c>
      <c r="C146">
        <f t="shared" si="39"/>
        <v>0</v>
      </c>
      <c r="D146">
        <f t="shared" si="39"/>
        <v>0</v>
      </c>
      <c r="E146">
        <f t="shared" si="39"/>
        <v>0</v>
      </c>
      <c r="F146">
        <f t="shared" si="35"/>
        <v>0</v>
      </c>
      <c r="G146">
        <f t="shared" si="35"/>
        <v>0</v>
      </c>
      <c r="H146">
        <f t="shared" si="35"/>
        <v>0</v>
      </c>
      <c r="I146">
        <f t="shared" si="35"/>
        <v>0</v>
      </c>
      <c r="J146">
        <f t="shared" si="35"/>
        <v>0</v>
      </c>
      <c r="K146">
        <f t="shared" si="35"/>
        <v>0</v>
      </c>
      <c r="L146">
        <f t="shared" si="35"/>
        <v>0</v>
      </c>
      <c r="M146">
        <f t="shared" si="36"/>
        <v>0</v>
      </c>
      <c r="N146" t="e">
        <f t="shared" si="37"/>
        <v>#REF!</v>
      </c>
    </row>
    <row r="147" spans="1:14" x14ac:dyDescent="0.25">
      <c r="A147">
        <f t="shared" si="28"/>
        <v>270000000000</v>
      </c>
      <c r="B147">
        <f t="shared" si="38"/>
        <v>0</v>
      </c>
      <c r="C147">
        <f t="shared" si="39"/>
        <v>0</v>
      </c>
      <c r="D147">
        <f t="shared" si="39"/>
        <v>0</v>
      </c>
      <c r="E147">
        <f t="shared" si="39"/>
        <v>0</v>
      </c>
      <c r="F147">
        <f t="shared" si="35"/>
        <v>0</v>
      </c>
      <c r="G147">
        <f t="shared" si="35"/>
        <v>0</v>
      </c>
      <c r="H147">
        <f t="shared" si="35"/>
        <v>0</v>
      </c>
      <c r="I147">
        <f t="shared" si="35"/>
        <v>0</v>
      </c>
      <c r="J147">
        <f t="shared" si="35"/>
        <v>0</v>
      </c>
      <c r="K147">
        <f t="shared" si="35"/>
        <v>0</v>
      </c>
      <c r="L147">
        <f t="shared" si="35"/>
        <v>0</v>
      </c>
      <c r="M147">
        <f t="shared" si="36"/>
        <v>0</v>
      </c>
      <c r="N147" t="e">
        <f t="shared" si="37"/>
        <v>#REF!</v>
      </c>
    </row>
    <row r="148" spans="1:14" x14ac:dyDescent="0.25">
      <c r="A148">
        <f t="shared" si="28"/>
        <v>330000000000</v>
      </c>
      <c r="B148">
        <f t="shared" si="38"/>
        <v>0</v>
      </c>
      <c r="C148">
        <f t="shared" si="39"/>
        <v>0</v>
      </c>
      <c r="D148">
        <f t="shared" si="39"/>
        <v>0</v>
      </c>
      <c r="E148">
        <f t="shared" si="39"/>
        <v>0</v>
      </c>
      <c r="F148">
        <f t="shared" si="35"/>
        <v>0</v>
      </c>
      <c r="G148">
        <f t="shared" si="35"/>
        <v>0</v>
      </c>
      <c r="H148">
        <f t="shared" si="35"/>
        <v>0</v>
      </c>
      <c r="I148">
        <f t="shared" si="35"/>
        <v>0</v>
      </c>
      <c r="J148">
        <f t="shared" si="35"/>
        <v>0</v>
      </c>
      <c r="K148">
        <f t="shared" si="35"/>
        <v>0</v>
      </c>
      <c r="L148">
        <f t="shared" si="35"/>
        <v>0</v>
      </c>
      <c r="M148">
        <f t="shared" si="36"/>
        <v>0</v>
      </c>
      <c r="N148" t="e">
        <f t="shared" si="37"/>
        <v>#REF!</v>
      </c>
    </row>
    <row r="149" spans="1:14" x14ac:dyDescent="0.25">
      <c r="A149">
        <f t="shared" si="28"/>
        <v>390000000000</v>
      </c>
      <c r="B149">
        <f t="shared" si="38"/>
        <v>0</v>
      </c>
      <c r="C149">
        <f t="shared" si="39"/>
        <v>0</v>
      </c>
      <c r="D149">
        <f t="shared" si="39"/>
        <v>0</v>
      </c>
      <c r="E149">
        <f t="shared" si="39"/>
        <v>0</v>
      </c>
      <c r="F149">
        <f t="shared" si="35"/>
        <v>0</v>
      </c>
      <c r="G149">
        <f t="shared" si="35"/>
        <v>0</v>
      </c>
      <c r="H149">
        <f t="shared" si="35"/>
        <v>0</v>
      </c>
      <c r="I149">
        <f t="shared" si="35"/>
        <v>0</v>
      </c>
      <c r="J149">
        <f t="shared" si="35"/>
        <v>0</v>
      </c>
      <c r="K149">
        <f t="shared" si="35"/>
        <v>0</v>
      </c>
      <c r="L149">
        <f t="shared" si="35"/>
        <v>0</v>
      </c>
      <c r="M149">
        <f t="shared" si="36"/>
        <v>0</v>
      </c>
      <c r="N149" t="e">
        <f t="shared" si="37"/>
        <v>#REF!</v>
      </c>
    </row>
    <row r="150" spans="1:14" x14ac:dyDescent="0.25">
      <c r="A150">
        <f t="shared" si="28"/>
        <v>470000000000</v>
      </c>
      <c r="B150">
        <f t="shared" si="38"/>
        <v>0</v>
      </c>
      <c r="C150">
        <f t="shared" si="39"/>
        <v>0</v>
      </c>
      <c r="D150">
        <f t="shared" si="39"/>
        <v>0</v>
      </c>
      <c r="E150">
        <f t="shared" si="39"/>
        <v>0</v>
      </c>
      <c r="F150">
        <f t="shared" si="35"/>
        <v>0</v>
      </c>
      <c r="G150">
        <f t="shared" si="35"/>
        <v>0</v>
      </c>
      <c r="H150">
        <f t="shared" si="35"/>
        <v>0</v>
      </c>
      <c r="I150">
        <f t="shared" si="35"/>
        <v>0</v>
      </c>
      <c r="J150">
        <f t="shared" si="35"/>
        <v>0</v>
      </c>
      <c r="K150">
        <f t="shared" si="35"/>
        <v>0</v>
      </c>
      <c r="L150">
        <f t="shared" si="35"/>
        <v>0</v>
      </c>
      <c r="M150">
        <f t="shared" si="36"/>
        <v>0</v>
      </c>
      <c r="N150" t="e">
        <f t="shared" si="37"/>
        <v>#REF!</v>
      </c>
    </row>
    <row r="151" spans="1:14" x14ac:dyDescent="0.25">
      <c r="A151">
        <f t="shared" si="28"/>
        <v>560000000000</v>
      </c>
      <c r="B151">
        <f t="shared" si="38"/>
        <v>0</v>
      </c>
      <c r="C151">
        <f t="shared" si="39"/>
        <v>0</v>
      </c>
      <c r="D151">
        <f t="shared" si="39"/>
        <v>0</v>
      </c>
      <c r="E151">
        <f t="shared" si="39"/>
        <v>0</v>
      </c>
      <c r="F151">
        <f t="shared" si="35"/>
        <v>0</v>
      </c>
      <c r="G151">
        <f t="shared" si="35"/>
        <v>0</v>
      </c>
      <c r="H151">
        <f t="shared" si="35"/>
        <v>0</v>
      </c>
      <c r="I151">
        <f t="shared" si="35"/>
        <v>0</v>
      </c>
      <c r="J151">
        <f t="shared" si="35"/>
        <v>0</v>
      </c>
      <c r="K151">
        <f t="shared" si="35"/>
        <v>0</v>
      </c>
      <c r="L151">
        <f t="shared" si="35"/>
        <v>0</v>
      </c>
      <c r="M151">
        <f t="shared" si="36"/>
        <v>0</v>
      </c>
      <c r="N151" t="e">
        <f t="shared" si="37"/>
        <v>#REF!</v>
      </c>
    </row>
    <row r="152" spans="1:14" x14ac:dyDescent="0.25">
      <c r="A152">
        <f t="shared" si="28"/>
        <v>680000000000</v>
      </c>
      <c r="B152">
        <f t="shared" si="38"/>
        <v>0</v>
      </c>
      <c r="C152">
        <f t="shared" si="39"/>
        <v>0</v>
      </c>
      <c r="D152">
        <f t="shared" si="39"/>
        <v>0</v>
      </c>
      <c r="E152">
        <f t="shared" si="39"/>
        <v>0</v>
      </c>
      <c r="F152">
        <f t="shared" si="35"/>
        <v>0</v>
      </c>
      <c r="G152">
        <f t="shared" si="35"/>
        <v>0</v>
      </c>
      <c r="H152">
        <f t="shared" si="35"/>
        <v>0</v>
      </c>
      <c r="I152">
        <f t="shared" si="35"/>
        <v>0</v>
      </c>
      <c r="J152">
        <f t="shared" si="35"/>
        <v>0</v>
      </c>
      <c r="K152">
        <f t="shared" si="35"/>
        <v>0</v>
      </c>
      <c r="L152">
        <f t="shared" si="35"/>
        <v>0</v>
      </c>
      <c r="M152">
        <f t="shared" si="36"/>
        <v>0</v>
      </c>
      <c r="N152" t="e">
        <f t="shared" si="37"/>
        <v>#REF!</v>
      </c>
    </row>
    <row r="153" spans="1:14" x14ac:dyDescent="0.25">
      <c r="A153">
        <f t="shared" si="28"/>
        <v>820000000000</v>
      </c>
      <c r="B153">
        <f t="shared" si="38"/>
        <v>0</v>
      </c>
      <c r="C153">
        <f t="shared" si="39"/>
        <v>0</v>
      </c>
      <c r="D153">
        <f t="shared" si="39"/>
        <v>0</v>
      </c>
      <c r="E153">
        <f t="shared" si="39"/>
        <v>0</v>
      </c>
      <c r="F153">
        <f t="shared" si="35"/>
        <v>0</v>
      </c>
      <c r="G153">
        <f t="shared" si="35"/>
        <v>0</v>
      </c>
      <c r="H153">
        <f t="shared" si="35"/>
        <v>0</v>
      </c>
      <c r="I153">
        <f t="shared" si="35"/>
        <v>0</v>
      </c>
      <c r="J153">
        <f t="shared" si="35"/>
        <v>0</v>
      </c>
      <c r="K153">
        <f t="shared" si="35"/>
        <v>0</v>
      </c>
      <c r="L153">
        <f t="shared" si="35"/>
        <v>0</v>
      </c>
      <c r="M153">
        <f t="shared" si="36"/>
        <v>0</v>
      </c>
      <c r="N153" t="e">
        <f t="shared" si="37"/>
        <v>#REF!</v>
      </c>
    </row>
    <row r="154" spans="1:14" x14ac:dyDescent="0.25">
      <c r="A154">
        <f t="shared" si="28"/>
        <v>1000000000000</v>
      </c>
      <c r="B154">
        <f t="shared" si="38"/>
        <v>0</v>
      </c>
      <c r="C154">
        <f t="shared" si="39"/>
        <v>0</v>
      </c>
      <c r="D154">
        <f t="shared" si="39"/>
        <v>0</v>
      </c>
      <c r="E154">
        <f t="shared" si="39"/>
        <v>0</v>
      </c>
      <c r="F154">
        <f t="shared" si="35"/>
        <v>0</v>
      </c>
      <c r="G154">
        <f t="shared" si="35"/>
        <v>0</v>
      </c>
      <c r="H154">
        <f t="shared" si="35"/>
        <v>0</v>
      </c>
      <c r="I154">
        <f t="shared" si="35"/>
        <v>0</v>
      </c>
      <c r="J154">
        <f t="shared" si="35"/>
        <v>0</v>
      </c>
      <c r="K154">
        <f t="shared" si="35"/>
        <v>0</v>
      </c>
      <c r="L154">
        <f t="shared" si="35"/>
        <v>0</v>
      </c>
      <c r="M154">
        <f t="shared" si="36"/>
        <v>0</v>
      </c>
      <c r="N154" t="e">
        <f t="shared" si="37"/>
        <v>#REF!</v>
      </c>
    </row>
    <row r="155" spans="1:14" x14ac:dyDescent="0.25">
      <c r="A155">
        <f t="shared" si="28"/>
        <v>1200000000000</v>
      </c>
      <c r="B155">
        <f t="shared" si="38"/>
        <v>0</v>
      </c>
      <c r="C155">
        <f t="shared" si="39"/>
        <v>0</v>
      </c>
      <c r="D155">
        <f t="shared" si="39"/>
        <v>0</v>
      </c>
      <c r="E155">
        <f t="shared" si="39"/>
        <v>0</v>
      </c>
      <c r="F155">
        <f t="shared" si="35"/>
        <v>0</v>
      </c>
      <c r="G155">
        <f t="shared" si="35"/>
        <v>0</v>
      </c>
      <c r="H155">
        <f t="shared" si="35"/>
        <v>0</v>
      </c>
      <c r="I155">
        <f t="shared" si="35"/>
        <v>0</v>
      </c>
      <c r="J155">
        <f t="shared" si="35"/>
        <v>0</v>
      </c>
      <c r="K155">
        <f t="shared" si="35"/>
        <v>0</v>
      </c>
      <c r="L155">
        <f t="shared" si="35"/>
        <v>0</v>
      </c>
      <c r="M155">
        <f t="shared" si="36"/>
        <v>0</v>
      </c>
      <c r="N155" t="e">
        <f t="shared" si="37"/>
        <v>#REF!</v>
      </c>
    </row>
    <row r="156" spans="1:14" x14ac:dyDescent="0.25">
      <c r="A156">
        <f t="shared" si="28"/>
        <v>1500000000000</v>
      </c>
      <c r="B156">
        <f t="shared" si="38"/>
        <v>0</v>
      </c>
      <c r="C156">
        <f t="shared" si="39"/>
        <v>0</v>
      </c>
      <c r="D156">
        <f t="shared" si="39"/>
        <v>0</v>
      </c>
      <c r="E156">
        <f t="shared" si="39"/>
        <v>0</v>
      </c>
      <c r="F156">
        <f t="shared" si="35"/>
        <v>0</v>
      </c>
      <c r="G156">
        <f t="shared" si="35"/>
        <v>0</v>
      </c>
      <c r="H156">
        <f t="shared" si="35"/>
        <v>0</v>
      </c>
      <c r="I156">
        <f t="shared" si="35"/>
        <v>0</v>
      </c>
      <c r="J156">
        <f t="shared" si="35"/>
        <v>0</v>
      </c>
      <c r="K156">
        <f t="shared" si="35"/>
        <v>0</v>
      </c>
      <c r="L156">
        <f t="shared" si="35"/>
        <v>0</v>
      </c>
      <c r="M156">
        <f t="shared" si="36"/>
        <v>0</v>
      </c>
      <c r="N156" t="e">
        <f t="shared" si="37"/>
        <v>#REF!</v>
      </c>
    </row>
    <row r="157" spans="1:14" x14ac:dyDescent="0.25">
      <c r="A157">
        <f t="shared" si="28"/>
        <v>1800000000000</v>
      </c>
      <c r="B157">
        <f t="shared" si="38"/>
        <v>0</v>
      </c>
      <c r="C157">
        <f t="shared" si="39"/>
        <v>0</v>
      </c>
      <c r="D157">
        <f t="shared" si="39"/>
        <v>0</v>
      </c>
      <c r="E157">
        <f t="shared" si="39"/>
        <v>0</v>
      </c>
      <c r="F157">
        <f t="shared" si="35"/>
        <v>0</v>
      </c>
      <c r="G157">
        <f t="shared" si="35"/>
        <v>0</v>
      </c>
      <c r="H157">
        <f t="shared" si="35"/>
        <v>0</v>
      </c>
      <c r="I157">
        <f t="shared" si="35"/>
        <v>0</v>
      </c>
      <c r="J157">
        <f t="shared" si="35"/>
        <v>0</v>
      </c>
      <c r="K157">
        <f t="shared" si="35"/>
        <v>0</v>
      </c>
      <c r="L157">
        <f t="shared" si="35"/>
        <v>0</v>
      </c>
      <c r="M157">
        <f t="shared" si="36"/>
        <v>0</v>
      </c>
      <c r="N157" t="e">
        <f t="shared" si="37"/>
        <v>#REF!</v>
      </c>
    </row>
    <row r="158" spans="1:14" x14ac:dyDescent="0.25">
      <c r="A158">
        <f t="shared" si="28"/>
        <v>2200000000000</v>
      </c>
      <c r="B158">
        <f t="shared" si="38"/>
        <v>0</v>
      </c>
      <c r="C158">
        <f t="shared" si="39"/>
        <v>0</v>
      </c>
      <c r="D158">
        <f t="shared" si="39"/>
        <v>0</v>
      </c>
      <c r="E158">
        <f t="shared" si="39"/>
        <v>0</v>
      </c>
      <c r="F158">
        <f t="shared" si="35"/>
        <v>0</v>
      </c>
      <c r="G158">
        <f t="shared" si="35"/>
        <v>0</v>
      </c>
      <c r="H158">
        <f t="shared" si="35"/>
        <v>0</v>
      </c>
      <c r="I158">
        <f t="shared" si="35"/>
        <v>0</v>
      </c>
      <c r="J158">
        <f t="shared" si="35"/>
        <v>0</v>
      </c>
      <c r="K158">
        <f t="shared" si="35"/>
        <v>0</v>
      </c>
      <c r="L158">
        <f t="shared" si="35"/>
        <v>0</v>
      </c>
      <c r="M158">
        <f t="shared" si="36"/>
        <v>0</v>
      </c>
      <c r="N158" t="e">
        <f t="shared" si="37"/>
        <v>#REF!</v>
      </c>
    </row>
    <row r="159" spans="1:14" x14ac:dyDescent="0.25">
      <c r="A159" s="53">
        <f t="shared" si="28"/>
        <v>2700000000000</v>
      </c>
      <c r="B159">
        <f t="shared" si="38"/>
        <v>2700000000000</v>
      </c>
      <c r="C159">
        <f t="shared" si="39"/>
        <v>2700000000000</v>
      </c>
      <c r="D159">
        <f t="shared" si="39"/>
        <v>2700000000000</v>
      </c>
      <c r="E159">
        <f t="shared" si="39"/>
        <v>2700000000000</v>
      </c>
      <c r="F159">
        <f t="shared" si="35"/>
        <v>2700000000000</v>
      </c>
      <c r="G159">
        <f t="shared" si="35"/>
        <v>2700000000000</v>
      </c>
      <c r="H159">
        <f t="shared" si="35"/>
        <v>2700000000000</v>
      </c>
      <c r="I159">
        <f t="shared" si="35"/>
        <v>2700000000000</v>
      </c>
      <c r="J159">
        <f t="shared" si="35"/>
        <v>2700000000000</v>
      </c>
      <c r="K159">
        <f t="shared" si="35"/>
        <v>0</v>
      </c>
      <c r="L159">
        <f t="shared" si="35"/>
        <v>2700000000000</v>
      </c>
      <c r="M159">
        <f t="shared" si="36"/>
        <v>2700000000000</v>
      </c>
      <c r="N159" t="e">
        <f t="shared" si="37"/>
        <v>#REF!</v>
      </c>
    </row>
  </sheetData>
  <phoneticPr fontId="5"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CC692"/>
  <sheetViews>
    <sheetView topLeftCell="A663" workbookViewId="0">
      <selection activeCell="B691" sqref="B691:B692"/>
    </sheetView>
  </sheetViews>
  <sheetFormatPr defaultRowHeight="13.2" x14ac:dyDescent="0.25"/>
  <cols>
    <col min="1" max="1" width="10.44140625" customWidth="1"/>
    <col min="2" max="2" width="10" bestFit="1" customWidth="1"/>
    <col min="4" max="4" width="12.44140625" bestFit="1" customWidth="1"/>
    <col min="7" max="7" width="11.109375" customWidth="1"/>
    <col min="8" max="8" width="13.109375" bestFit="1" customWidth="1"/>
    <col min="13" max="14" width="12.44140625" bestFit="1" customWidth="1"/>
    <col min="16" max="16" width="12.44140625" bestFit="1" customWidth="1"/>
    <col min="18" max="18" width="13.109375" bestFit="1" customWidth="1"/>
    <col min="20" max="20" width="13.109375" bestFit="1" customWidth="1"/>
    <col min="22" max="22" width="13.109375" bestFit="1" customWidth="1"/>
    <col min="24" max="24" width="13.88671875" bestFit="1" customWidth="1"/>
    <col min="25" max="25" width="12.5546875" bestFit="1" customWidth="1"/>
    <col min="26" max="26" width="12.44140625" bestFit="1" customWidth="1"/>
    <col min="28" max="28" width="3.109375" style="6" customWidth="1"/>
    <col min="29" max="32" width="8.5546875" customWidth="1"/>
    <col min="33" max="33" width="13.109375" bestFit="1" customWidth="1"/>
    <col min="34" max="34" width="9.5546875" bestFit="1" customWidth="1"/>
    <col min="35" max="35" width="10" bestFit="1" customWidth="1"/>
    <col min="36" max="39" width="8.88671875" customWidth="1"/>
    <col min="43" max="43" width="12.44140625" bestFit="1" customWidth="1"/>
    <col min="45" max="46" width="12.44140625" bestFit="1" customWidth="1"/>
    <col min="47" max="47" width="13.109375" bestFit="1" customWidth="1"/>
    <col min="49" max="49" width="13.109375" bestFit="1" customWidth="1"/>
    <col min="50" max="50" width="11" bestFit="1" customWidth="1"/>
    <col min="54" max="54" width="12.44140625" customWidth="1"/>
    <col min="55" max="55" width="10.109375" customWidth="1"/>
    <col min="58" max="58" width="11" customWidth="1"/>
    <col min="59" max="59" width="13" customWidth="1"/>
    <col min="60" max="60" width="16.88671875" customWidth="1"/>
    <col min="62" max="62" width="12.33203125" customWidth="1"/>
    <col min="66" max="66" width="13.109375" bestFit="1" customWidth="1"/>
    <col min="72" max="72" width="10.5546875" customWidth="1"/>
  </cols>
  <sheetData>
    <row r="1" spans="1:81" ht="38.25" customHeight="1" x14ac:dyDescent="0.4">
      <c r="A1" s="564" t="s">
        <v>45</v>
      </c>
      <c r="B1" s="564"/>
      <c r="C1" s="564"/>
      <c r="D1" s="564"/>
      <c r="E1" s="564"/>
      <c r="F1" s="564"/>
      <c r="G1" s="564"/>
      <c r="AC1" s="8" t="s">
        <v>106</v>
      </c>
      <c r="AD1" s="5"/>
      <c r="AE1" s="5"/>
      <c r="AF1" s="5"/>
      <c r="AG1" s="5"/>
    </row>
    <row r="3" spans="1:81" x14ac:dyDescent="0.25">
      <c r="AT3">
        <f>AT9/10000000000000</f>
        <v>-6.037169818901025E-5</v>
      </c>
      <c r="AU3">
        <f>AU9/10000000000000</f>
        <v>-3.2815331504894414E-2</v>
      </c>
    </row>
    <row r="4" spans="1:81" x14ac:dyDescent="0.25">
      <c r="AT4">
        <f>AT3*1000</f>
        <v>-6.0371698189010253E-2</v>
      </c>
      <c r="AU4">
        <f>AU3*1000</f>
        <v>-32.815331504894417</v>
      </c>
      <c r="BJ4" s="5" t="s">
        <v>111</v>
      </c>
      <c r="BK4" s="5"/>
    </row>
    <row r="5" spans="1:81" x14ac:dyDescent="0.25">
      <c r="AC5" t="s">
        <v>93</v>
      </c>
      <c r="AD5" t="s">
        <v>94</v>
      </c>
      <c r="AE5" t="s">
        <v>95</v>
      </c>
      <c r="AF5" t="s">
        <v>96</v>
      </c>
      <c r="AJ5" t="s">
        <v>93</v>
      </c>
      <c r="AK5" t="s">
        <v>94</v>
      </c>
      <c r="AL5" t="s">
        <v>95</v>
      </c>
      <c r="AM5" t="s">
        <v>96</v>
      </c>
      <c r="BJ5" t="s">
        <v>84</v>
      </c>
      <c r="BK5">
        <f>SUM(BJ9:BJ626)/1000</f>
        <v>23.5</v>
      </c>
    </row>
    <row r="6" spans="1:81" x14ac:dyDescent="0.25">
      <c r="C6" s="565" t="s">
        <v>46</v>
      </c>
      <c r="D6" s="565"/>
      <c r="E6" s="565"/>
      <c r="F6" s="565"/>
      <c r="G6" s="565"/>
      <c r="H6" s="565"/>
      <c r="J6" s="7" t="s">
        <v>76</v>
      </c>
      <c r="M6" s="7" t="s">
        <v>37</v>
      </c>
      <c r="N6" s="5"/>
      <c r="O6" s="5"/>
      <c r="P6" s="5"/>
      <c r="Q6" s="5"/>
      <c r="R6" s="5"/>
      <c r="S6" s="5"/>
      <c r="T6" s="5"/>
      <c r="U6" s="5"/>
      <c r="V6" s="5"/>
      <c r="X6" s="7" t="s">
        <v>105</v>
      </c>
      <c r="Y6" s="5"/>
      <c r="Z6" s="5"/>
      <c r="AC6" s="5" t="s">
        <v>86</v>
      </c>
      <c r="AD6" s="5"/>
      <c r="AE6" s="5"/>
      <c r="AF6" s="5"/>
      <c r="AG6" s="5"/>
      <c r="AH6" s="5"/>
      <c r="AJ6" s="5" t="s">
        <v>87</v>
      </c>
      <c r="AK6" s="5"/>
      <c r="AL6" s="5"/>
      <c r="AM6" s="5"/>
      <c r="AN6" s="5"/>
      <c r="AO6" s="5"/>
      <c r="AQ6" s="5" t="s">
        <v>107</v>
      </c>
      <c r="AR6" s="5"/>
      <c r="AT6" s="5" t="s">
        <v>108</v>
      </c>
      <c r="AU6" s="5"/>
      <c r="AV6" s="5"/>
      <c r="AW6" s="5"/>
      <c r="AX6" s="5"/>
      <c r="AY6" s="5"/>
      <c r="BA6" s="5" t="s">
        <v>109</v>
      </c>
      <c r="BB6" s="5"/>
      <c r="BC6" s="5"/>
      <c r="BF6" s="5" t="s">
        <v>334</v>
      </c>
      <c r="BG6" s="5"/>
      <c r="BH6" s="5"/>
      <c r="BJ6" t="s">
        <v>85</v>
      </c>
      <c r="BK6" s="4">
        <f>SUM(BK10:BK627)</f>
        <v>62.423421773944895</v>
      </c>
      <c r="BM6" s="5" t="s">
        <v>335</v>
      </c>
      <c r="BN6" s="5"/>
      <c r="BU6" s="2"/>
    </row>
    <row r="7" spans="1:81" x14ac:dyDescent="0.25">
      <c r="A7" s="2"/>
      <c r="B7" s="2"/>
      <c r="C7" s="2" t="s">
        <v>47</v>
      </c>
      <c r="D7" s="2"/>
      <c r="E7" s="2"/>
      <c r="F7" s="2" t="s">
        <v>48</v>
      </c>
      <c r="G7" s="2"/>
      <c r="H7" s="2"/>
      <c r="I7" s="2"/>
      <c r="J7" s="2"/>
      <c r="M7" s="562" t="s">
        <v>50</v>
      </c>
      <c r="N7" s="562"/>
      <c r="O7" s="562" t="s">
        <v>64</v>
      </c>
      <c r="P7" s="562"/>
      <c r="Q7" s="562" t="s">
        <v>65</v>
      </c>
      <c r="R7" s="562"/>
      <c r="S7" s="562" t="s">
        <v>66</v>
      </c>
      <c r="T7" s="562"/>
      <c r="U7" s="562" t="s">
        <v>67</v>
      </c>
      <c r="V7" s="562"/>
      <c r="AC7" t="s">
        <v>90</v>
      </c>
      <c r="AE7" t="s">
        <v>91</v>
      </c>
      <c r="AG7" t="s">
        <v>92</v>
      </c>
      <c r="AJ7" t="s">
        <v>90</v>
      </c>
      <c r="AL7" t="s">
        <v>91</v>
      </c>
      <c r="AN7" t="s">
        <v>92</v>
      </c>
      <c r="AQ7" t="s">
        <v>83</v>
      </c>
      <c r="AT7" t="s">
        <v>90</v>
      </c>
      <c r="AW7" t="s">
        <v>91</v>
      </c>
      <c r="BU7" s="2"/>
    </row>
    <row r="8" spans="1:81" x14ac:dyDescent="0.25">
      <c r="A8" s="2" t="s">
        <v>44</v>
      </c>
      <c r="B8" s="2"/>
      <c r="C8" s="2" t="s">
        <v>68</v>
      </c>
      <c r="D8" s="2" t="s">
        <v>69</v>
      </c>
      <c r="E8" s="2"/>
      <c r="F8" s="2" t="s">
        <v>68</v>
      </c>
      <c r="G8" s="2"/>
      <c r="H8" s="2" t="s">
        <v>69</v>
      </c>
      <c r="I8" s="2"/>
      <c r="J8" s="2" t="s">
        <v>68</v>
      </c>
      <c r="M8" s="2" t="s">
        <v>68</v>
      </c>
      <c r="N8" s="2" t="s">
        <v>69</v>
      </c>
      <c r="O8" s="2" t="s">
        <v>68</v>
      </c>
      <c r="P8" s="2" t="s">
        <v>69</v>
      </c>
      <c r="Q8" s="2" t="s">
        <v>68</v>
      </c>
      <c r="R8" s="2" t="s">
        <v>69</v>
      </c>
      <c r="S8" s="2" t="s">
        <v>68</v>
      </c>
      <c r="T8" s="2" t="s">
        <v>69</v>
      </c>
      <c r="U8" s="2" t="s">
        <v>68</v>
      </c>
      <c r="V8" s="2" t="s">
        <v>69</v>
      </c>
      <c r="X8" s="2" t="s">
        <v>71</v>
      </c>
      <c r="Y8" s="2" t="s">
        <v>72</v>
      </c>
      <c r="Z8" s="2" t="s">
        <v>73</v>
      </c>
      <c r="AC8" t="s">
        <v>88</v>
      </c>
      <c r="AD8" t="s">
        <v>89</v>
      </c>
      <c r="AE8" t="s">
        <v>88</v>
      </c>
      <c r="AF8" t="s">
        <v>89</v>
      </c>
      <c r="AG8" t="s">
        <v>97</v>
      </c>
      <c r="AH8" t="s">
        <v>98</v>
      </c>
      <c r="AJ8" t="s">
        <v>88</v>
      </c>
      <c r="AK8" t="s">
        <v>89</v>
      </c>
      <c r="AL8" t="s">
        <v>88</v>
      </c>
      <c r="AM8" t="s">
        <v>89</v>
      </c>
      <c r="AN8" t="s">
        <v>100</v>
      </c>
      <c r="AO8" t="s">
        <v>99</v>
      </c>
      <c r="AQ8" t="s">
        <v>88</v>
      </c>
      <c r="AR8" t="s">
        <v>89</v>
      </c>
      <c r="AT8" t="s">
        <v>88</v>
      </c>
      <c r="AU8" t="s">
        <v>89</v>
      </c>
      <c r="AV8" t="s">
        <v>69</v>
      </c>
      <c r="AW8" t="s">
        <v>88</v>
      </c>
      <c r="AX8" t="s">
        <v>89</v>
      </c>
      <c r="AY8" t="s">
        <v>69</v>
      </c>
      <c r="BA8" t="s">
        <v>101</v>
      </c>
      <c r="BB8" t="s">
        <v>103</v>
      </c>
      <c r="BC8" t="s">
        <v>102</v>
      </c>
      <c r="BF8" t="s">
        <v>71</v>
      </c>
      <c r="BG8" t="s">
        <v>72</v>
      </c>
      <c r="BH8" t="s">
        <v>104</v>
      </c>
      <c r="BM8" t="s">
        <v>71</v>
      </c>
      <c r="BN8" t="s">
        <v>336</v>
      </c>
      <c r="BQ8" s="2"/>
      <c r="BR8" s="2"/>
      <c r="BS8" s="2"/>
      <c r="BT8" t="s">
        <v>342</v>
      </c>
      <c r="BY8" s="2"/>
      <c r="BZ8" s="2"/>
      <c r="CA8" s="2"/>
      <c r="CB8" s="2"/>
    </row>
    <row r="9" spans="1:81" x14ac:dyDescent="0.25">
      <c r="A9">
        <v>1</v>
      </c>
      <c r="B9">
        <f>A9/1000</f>
        <v>1E-3</v>
      </c>
      <c r="C9">
        <f t="shared" ref="C9:C72" si="0">SQRT((A9/Fesr)^2+1)</f>
        <v>1.0000000000343936</v>
      </c>
      <c r="D9">
        <f t="shared" ref="D9:D72" si="1">ATAN(A9/Fesr)</f>
        <v>8.2938045958098321E-6</v>
      </c>
      <c r="F9">
        <f t="shared" ref="F9:F72" si="2">(Ro/(Ro+Rdcr))/SQRT((A9/(Q*Fo))^2+(1-(A9^2/Fo^2))^2)</f>
        <v>0.99415186375142661</v>
      </c>
      <c r="G9">
        <f t="shared" ref="G9:G72" si="3">-ATAN(A9*Fo/(Q*(Fo^2-A9^2)))</f>
        <v>-8.5906915485406993E-5</v>
      </c>
      <c r="H9">
        <f t="shared" ref="H9:H72" si="4">IF(G9&gt;0,G9-Pi,G9)</f>
        <v>-8.5906915485406993E-5</v>
      </c>
      <c r="J9">
        <f t="shared" ref="J9:J72" si="5">Vin/Vramp</f>
        <v>15</v>
      </c>
      <c r="M9">
        <f t="shared" ref="M9:M72" si="6">1/(2*Pi*_Rfb1*(Cc1ea_u+Cc2ea_u)*A9)</f>
        <v>1823.0806789662815</v>
      </c>
      <c r="N9">
        <f t="shared" ref="N9:N72" si="7">-Pi/2</f>
        <v>-1.5707963250000001</v>
      </c>
      <c r="O9">
        <f t="shared" ref="O9:O72" si="8">SQRT(1+(A9/Fz1_u)^2)</f>
        <v>1.0000000136741869</v>
      </c>
      <c r="P9">
        <f t="shared" ref="P9:P72" si="9">ATAN2(Fz1_u,A9)</f>
        <v>1.6537343558843518E-4</v>
      </c>
      <c r="Q9">
        <f t="shared" ref="Q9:Q72" si="10">SQRT(1+(A9/Fz2_u)^2)</f>
        <v>1.0000000330522465</v>
      </c>
      <c r="R9">
        <f t="shared" ref="R9:R72" si="11">ATAN2(Fz2_u,A9)</f>
        <v>2.5710793681067007E-4</v>
      </c>
      <c r="S9">
        <f t="shared" ref="S9:S72" si="12">1/SQRT(1+(A9/Fp1_u)^2)</f>
        <v>0.9999999999656064</v>
      </c>
      <c r="T9">
        <f t="shared" ref="T9:T72" si="13">-ATAN2(Fp1_u,A9)</f>
        <v>-8.2938045958098304E-6</v>
      </c>
      <c r="U9">
        <f t="shared" ref="U9:U72" si="14">1/SQRT(1+(A9/Fp2_u)^2)</f>
        <v>0.99999999998692024</v>
      </c>
      <c r="V9">
        <f t="shared" ref="V9:V72" si="15">-ATAN2(Fp2_u,A9)</f>
        <v>-5.1146423843677729E-6</v>
      </c>
      <c r="X9">
        <f>20*LOG(C9*J9*O9*Q9*F9*M9*S9*U9)</f>
        <v>88.686997976085053</v>
      </c>
      <c r="Y9">
        <f t="shared" ref="Y9:Y72" si="16">(180/Pi)*(D9+H9+N9+P9+R9+T9+V9)</f>
        <v>-89.981008751527554</v>
      </c>
      <c r="Z9">
        <f>Y9+180</f>
        <v>90.018991248472446</v>
      </c>
      <c r="AC9">
        <v>1</v>
      </c>
      <c r="AD9">
        <f t="shared" ref="AD9:AD72" si="17">Rcea1_u*Cc1ea_u*A9*2*Pi</f>
        <v>1.6537343709600001E-4</v>
      </c>
      <c r="AE9">
        <f t="shared" ref="AE9:AE72" si="18">-Rcea1_u*Cc1ea_u*Cc2ea_u*(A9*2*Pi)^2</f>
        <v>-1.558607923458093E-13</v>
      </c>
      <c r="AF9">
        <f t="shared" ref="AF9:AF72" si="19">(Cc2ea_u+Cc1ea_u)*A9*2*Pi</f>
        <v>3.0473448705000002E-8</v>
      </c>
      <c r="AG9">
        <f>AC9*AE9/(AE9^2+AF9^2)+AD9*AF9/(AE9^2+AF9^2)</f>
        <v>5258.9648207785722</v>
      </c>
      <c r="AH9">
        <f>AD9*AE9/(AE9^2+AF9^2)-AC9*AF9/(AE9^2+AF9^2)</f>
        <v>-32815452.248290792</v>
      </c>
      <c r="AI9">
        <f>SQRT(AG9^2+AH9^2)</f>
        <v>32815452.669688471</v>
      </c>
      <c r="AJ9">
        <f t="shared" ref="AJ9:AJ72" si="20">_Rfb1</f>
        <v>18000</v>
      </c>
      <c r="AK9">
        <f t="shared" ref="AK9:AK72" si="21">_Rfb1*Rcea2_u*Cc3ea_u*A9*2*Pi</f>
        <v>0.14928848272800002</v>
      </c>
      <c r="AL9">
        <v>1</v>
      </c>
      <c r="AM9">
        <f t="shared" ref="AM9:AM72" si="22">(_Rfb1+Rcea2_u)*Cc3ea_u*A9*2*Pi</f>
        <v>2.5710794247599998E-4</v>
      </c>
      <c r="AN9">
        <f>AJ9*AL9/(AL9^2+AM9^2)+AK9*AM9/(AL9^2+AM9^2)</f>
        <v>17999.998848502437</v>
      </c>
      <c r="AO9">
        <f>AK9*AL9/(AL9^2+AM9^2)-AJ9*AM9/(AL9^2+AM9^2)</f>
        <v>-4.4786541857808304</v>
      </c>
      <c r="AP9" s="51">
        <f>SQRT(AN9^2+AO9^2)</f>
        <v>17999.999405678667</v>
      </c>
      <c r="AQ9">
        <f t="shared" ref="AQ9:AQ72" si="23">Eadcg/(1+(Eadcg*A9/GBP)^2)</f>
        <v>9999.9600001600011</v>
      </c>
      <c r="AR9">
        <f t="shared" ref="AR9:AR72" si="24">-(A9*Eadcg*Eadcg/GBP)/(1+(Eadcg*A9/GBP)^2)</f>
        <v>-19.99992000032</v>
      </c>
      <c r="AT9">
        <f>-AR9*AH9+AG9*AQ9</f>
        <v>-603716981.89010251</v>
      </c>
      <c r="AU9">
        <f>AQ9*AH9+AG9*AR9</f>
        <v>-328153315048.94415</v>
      </c>
      <c r="AV9">
        <f>ATAN2(AT9,AU9)</f>
        <v>-1.5726360653350322</v>
      </c>
      <c r="AW9">
        <f t="shared" ref="AW9:AW73" si="25">AG9-AH9*AO9/_Rfb2+AG9*AN9/_Rfb2+AN9-AO9*AR9+AQ9*AN9</f>
        <v>180006818.21792468</v>
      </c>
      <c r="AX9">
        <f t="shared" ref="AX9:AX73" si="26">AH9+AH9*AN9/_Rfb2+AG9*AO9/_Rfb2+AO9+AO9*AQ9+AN9*AR9</f>
        <v>-209603293.21081686</v>
      </c>
      <c r="AY9">
        <f>ATAN2(AW9,AX9)</f>
        <v>-0.86121688783343642</v>
      </c>
      <c r="BA9">
        <f t="shared" ref="BA9:BA72" si="27">SQRT(AT9^2+AU9^2)/SQRT(AW9^2+AX9^2)</f>
        <v>1187.7166512541187</v>
      </c>
      <c r="BB9" s="51">
        <f>20*LOG(BA9)</f>
        <v>61.494256902563365</v>
      </c>
      <c r="BC9">
        <f>AV9-AY9</f>
        <v>-0.71141917750159578</v>
      </c>
      <c r="BD9">
        <f t="shared" ref="BD9:BD72" si="28">BC9*180/Pi-180</f>
        <v>-220.76131638208642</v>
      </c>
      <c r="BF9">
        <f t="shared" ref="BF9:BF72" si="29">20*LOG(BA9*J9*F9*C9)</f>
        <v>84.965136704548755</v>
      </c>
      <c r="BG9">
        <f t="shared" ref="BG9:BG72" si="30">(180/Pi)*(D9+H9+BC9)</f>
        <v>-40.765763285780338</v>
      </c>
      <c r="BH9">
        <f>IF(BG9&gt;180,BG9-180,BG9+180)</f>
        <v>139.23423671421966</v>
      </c>
      <c r="BI9">
        <f>IF(BH9&gt;180,BH9-360,BH9)</f>
        <v>139.23423671421966</v>
      </c>
      <c r="BJ9">
        <f t="shared" ref="BJ9:BJ72" si="31">SUM((BF10&lt;0)*(BF9&gt;0))*A9</f>
        <v>0</v>
      </c>
      <c r="BK9">
        <f>IF(BJ9&gt;0,BI9,0)</f>
        <v>0</v>
      </c>
      <c r="BM9">
        <f>20*LOG(J9*F9*C9)</f>
        <v>23.47087980198539</v>
      </c>
      <c r="BN9">
        <f t="shared" ref="BN9:BN72" si="32">(H9+D9)*180/Pi</f>
        <v>-4.4469036939360955E-3</v>
      </c>
      <c r="BQ9" s="56">
        <f>20*LOG(BA9*7)</f>
        <v>78.396217702848503</v>
      </c>
      <c r="BR9" s="56"/>
      <c r="BS9" s="56"/>
      <c r="BT9" s="56" t="s">
        <v>44</v>
      </c>
      <c r="BU9" s="56" t="s">
        <v>68</v>
      </c>
      <c r="BV9" s="56" t="s">
        <v>69</v>
      </c>
      <c r="BW9" s="56"/>
      <c r="BY9" s="56"/>
      <c r="BZ9" s="56"/>
      <c r="CA9" s="56"/>
      <c r="CC9" s="56"/>
    </row>
    <row r="10" spans="1:81" x14ac:dyDescent="0.25">
      <c r="A10">
        <v>2</v>
      </c>
      <c r="B10">
        <f t="shared" ref="B10:B73" si="33">A10/1000</f>
        <v>2E-3</v>
      </c>
      <c r="C10">
        <f t="shared" si="0"/>
        <v>1.0000000001375744</v>
      </c>
      <c r="D10">
        <f t="shared" si="1"/>
        <v>1.658760919047865E-5</v>
      </c>
      <c r="F10">
        <f t="shared" si="2"/>
        <v>0.99415200907538892</v>
      </c>
      <c r="G10">
        <f t="shared" si="3"/>
        <v>-1.7181385672035304E-4</v>
      </c>
      <c r="H10">
        <f t="shared" si="4"/>
        <v>-1.7181385672035304E-4</v>
      </c>
      <c r="J10">
        <f t="shared" si="5"/>
        <v>15</v>
      </c>
      <c r="M10">
        <f t="shared" si="6"/>
        <v>911.54033948314077</v>
      </c>
      <c r="N10">
        <f t="shared" si="7"/>
        <v>-1.5707963250000001</v>
      </c>
      <c r="O10">
        <f t="shared" si="8"/>
        <v>1.0000000546967458</v>
      </c>
      <c r="P10">
        <f t="shared" si="9"/>
        <v>3.3074686213148202E-4</v>
      </c>
      <c r="Q10">
        <f t="shared" si="10"/>
        <v>1.0000001322089795</v>
      </c>
      <c r="R10">
        <f t="shared" si="11"/>
        <v>5.1421583962936598E-4</v>
      </c>
      <c r="S10">
        <f t="shared" si="12"/>
        <v>0.9999999998624256</v>
      </c>
      <c r="T10">
        <f t="shared" si="13"/>
        <v>-1.6587609190478646E-5</v>
      </c>
      <c r="U10">
        <f t="shared" si="14"/>
        <v>0.99999999994768096</v>
      </c>
      <c r="V10">
        <f t="shared" si="15"/>
        <v>-1.0229284768467951E-5</v>
      </c>
      <c r="X10">
        <f t="shared" ref="X10:X73" si="34">20*LOG(C10*J10*O10*Q10*F10*M10*S10*U10)</f>
        <v>82.666400549739535</v>
      </c>
      <c r="Y10">
        <f t="shared" si="16"/>
        <v>-89.962017506996347</v>
      </c>
      <c r="Z10">
        <f t="shared" ref="Z10:Z73" si="35">Y10+180</f>
        <v>90.037982493003653</v>
      </c>
      <c r="AC10">
        <v>1</v>
      </c>
      <c r="AD10">
        <f t="shared" si="17"/>
        <v>3.3074687419200002E-4</v>
      </c>
      <c r="AE10">
        <f t="shared" si="18"/>
        <v>-6.2344316938323718E-13</v>
      </c>
      <c r="AF10">
        <f t="shared" si="19"/>
        <v>6.0946897410000005E-8</v>
      </c>
      <c r="AG10">
        <f t="shared" ref="AG10:AG73" si="36">AC10*AE10/(AE10^2+AF10^2)+AD10*AF10/(AE10^2+AF10^2)</f>
        <v>5258.9648203658553</v>
      </c>
      <c r="AH10">
        <f t="shared" ref="AH10:AH73" si="37">AD10*AE10/(AE10^2+AF10^2)-AC10*AF10/(AE10^2+AF10^2)</f>
        <v>-16407726.164491981</v>
      </c>
      <c r="AJ10">
        <f t="shared" si="20"/>
        <v>18000</v>
      </c>
      <c r="AK10">
        <f t="shared" si="21"/>
        <v>0.29857696545600004</v>
      </c>
      <c r="AL10">
        <v>1</v>
      </c>
      <c r="AM10">
        <f t="shared" si="22"/>
        <v>5.1421588495199997E-4</v>
      </c>
      <c r="AN10">
        <f t="shared" ref="AN10:AN73" si="38">AJ10*AL10/(AL10^2+AM10^2)+AK10*AM10/(AL10^2+AM10^2)</f>
        <v>17999.995394010664</v>
      </c>
      <c r="AO10">
        <f t="shared" ref="AO10:AO73" si="39">AK10*AL10/(AL10^2+AM10^2)-AJ10*AM10/(AL10^2+AM10^2)</f>
        <v>-8.9573065952071147</v>
      </c>
      <c r="AQ10">
        <f t="shared" si="23"/>
        <v>9999.8400025599585</v>
      </c>
      <c r="AR10">
        <f t="shared" si="24"/>
        <v>-39.999360010239833</v>
      </c>
      <c r="AT10">
        <f t="shared" ref="AT10:AT21" si="40">-AR10*AH10+AG10*AQ10</f>
        <v>-603709739.02019632</v>
      </c>
      <c r="AU10">
        <f t="shared" ref="AU10:AU21" si="41">AQ10*AH10+AG10*AR10</f>
        <v>-164074846805.96375</v>
      </c>
      <c r="AV10">
        <f t="shared" ref="AV10:AV73" si="42">ATAN2(AT10,AU10)</f>
        <v>-1.5744757878844049</v>
      </c>
      <c r="AW10">
        <f t="shared" si="25"/>
        <v>180004355.00280464</v>
      </c>
      <c r="AX10">
        <f t="shared" si="26"/>
        <v>-105408814.68393958</v>
      </c>
      <c r="AY10">
        <f>ATAN2(AW10,AX10)</f>
        <v>-0.52975679188124147</v>
      </c>
      <c r="BA10">
        <f t="shared" si="27"/>
        <v>786.57022007070634</v>
      </c>
      <c r="BB10">
        <f t="shared" ref="BB10:BB73" si="43">20*LOG(BA10)</f>
        <v>57.914749995713294</v>
      </c>
      <c r="BC10">
        <f t="shared" ref="BC10:BC73" si="44">AV10-AY10</f>
        <v>-1.0447189960031635</v>
      </c>
      <c r="BD10">
        <f t="shared" si="28"/>
        <v>-239.85798931652371</v>
      </c>
      <c r="BF10">
        <f t="shared" si="29"/>
        <v>81.385631068288049</v>
      </c>
      <c r="BG10">
        <f t="shared" si="30"/>
        <v>-59.866883125386991</v>
      </c>
      <c r="BH10">
        <f t="shared" ref="BH10:BH73" si="45">IF(BG10&gt;180,BG10-180,BG10+180)</f>
        <v>120.13311687461301</v>
      </c>
      <c r="BI10">
        <f t="shared" ref="BI10:BI73" si="46">IF(BH10&gt;180,BH10-360,BH10)</f>
        <v>120.13311687461301</v>
      </c>
      <c r="BJ10">
        <f t="shared" si="31"/>
        <v>0</v>
      </c>
      <c r="BK10">
        <f t="shared" ref="BK10:BK73" si="47">IF(BJ10&gt;0,BI10,0)</f>
        <v>0</v>
      </c>
      <c r="BM10">
        <f t="shared" ref="BM10:BM73" si="48">20*LOG(J10*F10*C10)</f>
        <v>23.470881072574748</v>
      </c>
      <c r="BN10">
        <f t="shared" si="32"/>
        <v>-8.8938088632774821E-3</v>
      </c>
      <c r="BQ10" s="56">
        <f t="shared" ref="BQ10:BQ73" si="49">20*LOG(BA10*7)</f>
        <v>74.816710795998432</v>
      </c>
      <c r="BR10" s="57"/>
      <c r="BS10" s="57"/>
      <c r="BT10" s="57">
        <v>100</v>
      </c>
      <c r="BU10" s="57">
        <v>35.359299999999998</v>
      </c>
      <c r="BV10" s="57">
        <v>-267.66769999999997</v>
      </c>
      <c r="BW10" s="61"/>
      <c r="BY10" s="57"/>
      <c r="BZ10" s="57"/>
      <c r="CA10" s="57"/>
      <c r="CC10" s="57"/>
    </row>
    <row r="11" spans="1:81" x14ac:dyDescent="0.25">
      <c r="A11">
        <v>3</v>
      </c>
      <c r="B11">
        <f t="shared" si="33"/>
        <v>3.0000000000000001E-3</v>
      </c>
      <c r="C11">
        <f t="shared" si="0"/>
        <v>1.0000000003095424</v>
      </c>
      <c r="D11">
        <f t="shared" si="1"/>
        <v>2.4881413782865435E-5</v>
      </c>
      <c r="F11">
        <f t="shared" si="2"/>
        <v>0.99415225128207996</v>
      </c>
      <c r="G11">
        <f t="shared" si="3"/>
        <v>-2.577208494544017E-4</v>
      </c>
      <c r="H11">
        <f t="shared" si="4"/>
        <v>-2.577208494544017E-4</v>
      </c>
      <c r="J11">
        <f t="shared" si="5"/>
        <v>15</v>
      </c>
      <c r="M11">
        <f t="shared" si="6"/>
        <v>607.69355965542718</v>
      </c>
      <c r="N11">
        <f t="shared" si="7"/>
        <v>-1.5707963250000001</v>
      </c>
      <c r="O11">
        <f t="shared" si="8"/>
        <v>1.0000001230676741</v>
      </c>
      <c r="P11">
        <f t="shared" si="9"/>
        <v>4.9612027058375501E-4</v>
      </c>
      <c r="Q11">
        <f t="shared" si="10"/>
        <v>1.0000002974701792</v>
      </c>
      <c r="R11">
        <f t="shared" si="11"/>
        <v>7.7132367446414033E-4</v>
      </c>
      <c r="S11">
        <f t="shared" si="12"/>
        <v>0.99999999969045761</v>
      </c>
      <c r="T11">
        <f t="shared" si="13"/>
        <v>-2.4881413782865429E-5</v>
      </c>
      <c r="U11">
        <f t="shared" si="14"/>
        <v>0.99999999988228194</v>
      </c>
      <c r="V11">
        <f t="shared" si="15"/>
        <v>-1.5343927152032945E-5</v>
      </c>
      <c r="X11">
        <f t="shared" si="34"/>
        <v>79.144579513515964</v>
      </c>
      <c r="Y11">
        <f t="shared" si="16"/>
        <v>-89.94302627034746</v>
      </c>
      <c r="Z11">
        <f t="shared" si="35"/>
        <v>90.05697372965254</v>
      </c>
      <c r="AC11">
        <v>1</v>
      </c>
      <c r="AD11">
        <f t="shared" si="17"/>
        <v>4.96120311288E-4</v>
      </c>
      <c r="AE11">
        <f t="shared" si="18"/>
        <v>-1.4027471311122835E-12</v>
      </c>
      <c r="AF11">
        <f t="shared" si="19"/>
        <v>9.1420346114999988E-8</v>
      </c>
      <c r="AG11">
        <f t="shared" si="36"/>
        <v>5258.9648196779945</v>
      </c>
      <c r="AH11">
        <f t="shared" si="37"/>
        <v>-10938484.154490864</v>
      </c>
      <c r="AJ11">
        <f t="shared" si="20"/>
        <v>18000</v>
      </c>
      <c r="AK11">
        <f t="shared" si="21"/>
        <v>0.44786544818399998</v>
      </c>
      <c r="AL11">
        <v>1</v>
      </c>
      <c r="AM11">
        <f t="shared" si="22"/>
        <v>7.713238274279999E-4</v>
      </c>
      <c r="AN11">
        <f t="shared" si="38"/>
        <v>17999.989636527418</v>
      </c>
      <c r="AO11">
        <f t="shared" si="39"/>
        <v>-13.43595545192666</v>
      </c>
      <c r="AQ11">
        <f t="shared" si="23"/>
        <v>9999.6400129595349</v>
      </c>
      <c r="AR11">
        <f t="shared" si="24"/>
        <v>-59.997840077757203</v>
      </c>
      <c r="AT11">
        <f t="shared" si="40"/>
        <v>-603697667.95662546</v>
      </c>
      <c r="AU11">
        <f t="shared" si="41"/>
        <v>-109381219358.90092</v>
      </c>
      <c r="AV11">
        <f t="shared" si="42"/>
        <v>-1.57631547845302</v>
      </c>
      <c r="AW11">
        <f t="shared" si="25"/>
        <v>180000249.77590537</v>
      </c>
      <c r="AX11">
        <f t="shared" si="26"/>
        <v>-70947152.387066305</v>
      </c>
      <c r="AY11">
        <f t="shared" ref="AY11:AY74" si="50">ATAN2(AW11,AX11)</f>
        <v>-0.37545338231822578</v>
      </c>
      <c r="BA11">
        <f t="shared" si="27"/>
        <v>565.35162518857862</v>
      </c>
      <c r="BB11">
        <f t="shared" si="43"/>
        <v>55.046372899042389</v>
      </c>
      <c r="BC11">
        <f t="shared" si="44"/>
        <v>-1.2008620961347942</v>
      </c>
      <c r="BD11">
        <f t="shared" si="28"/>
        <v>-248.80432996437744</v>
      </c>
      <c r="BF11">
        <f t="shared" si="29"/>
        <v>78.517256089266425</v>
      </c>
      <c r="BG11">
        <f t="shared" si="30"/>
        <v>-68.817670681360866</v>
      </c>
      <c r="BH11">
        <f t="shared" si="45"/>
        <v>111.18232931863913</v>
      </c>
      <c r="BI11">
        <f t="shared" si="46"/>
        <v>111.18232931863913</v>
      </c>
      <c r="BJ11">
        <f t="shared" si="31"/>
        <v>0</v>
      </c>
      <c r="BK11">
        <f t="shared" si="47"/>
        <v>0</v>
      </c>
      <c r="BM11">
        <f t="shared" si="48"/>
        <v>23.470883190224036</v>
      </c>
      <c r="BN11">
        <f t="shared" si="32"/>
        <v>-1.3340716983430848E-2</v>
      </c>
      <c r="BQ11" s="56">
        <f t="shared" si="49"/>
        <v>71.948333699327534</v>
      </c>
      <c r="BR11" s="58"/>
      <c r="BS11" s="58"/>
      <c r="BT11" s="58">
        <v>102.32899999999999</v>
      </c>
      <c r="BU11" s="58">
        <v>34.936799999999998</v>
      </c>
      <c r="BV11" s="58">
        <v>-265.91489999999999</v>
      </c>
      <c r="BW11" s="61"/>
      <c r="BY11" s="58"/>
      <c r="BZ11" s="58"/>
      <c r="CA11" s="58"/>
      <c r="CC11" s="58"/>
    </row>
    <row r="12" spans="1:81" x14ac:dyDescent="0.25">
      <c r="A12">
        <v>4</v>
      </c>
      <c r="B12">
        <f t="shared" si="33"/>
        <v>4.0000000000000001E-3</v>
      </c>
      <c r="C12">
        <f t="shared" si="0"/>
        <v>1.0000000005502976</v>
      </c>
      <c r="D12">
        <f t="shared" si="1"/>
        <v>3.3175218371829178E-5</v>
      </c>
      <c r="F12">
        <f t="shared" si="2"/>
        <v>0.99415259037163017</v>
      </c>
      <c r="G12">
        <f t="shared" si="3"/>
        <v>-3.436279194371654E-4</v>
      </c>
      <c r="H12">
        <f t="shared" si="4"/>
        <v>-3.436279194371654E-4</v>
      </c>
      <c r="J12">
        <f t="shared" si="5"/>
        <v>15</v>
      </c>
      <c r="M12">
        <f t="shared" si="6"/>
        <v>455.77016974157038</v>
      </c>
      <c r="N12">
        <f t="shared" si="7"/>
        <v>-1.5707963250000001</v>
      </c>
      <c r="O12">
        <f t="shared" si="8"/>
        <v>1.0000002187869657</v>
      </c>
      <c r="P12">
        <f t="shared" si="9"/>
        <v>6.6149365189987477E-4</v>
      </c>
      <c r="Q12">
        <f t="shared" si="10"/>
        <v>1.0000005288358129</v>
      </c>
      <c r="R12">
        <f t="shared" si="11"/>
        <v>1.0284314073231002E-3</v>
      </c>
      <c r="S12">
        <f t="shared" si="12"/>
        <v>0.99999999944970241</v>
      </c>
      <c r="T12">
        <f t="shared" si="13"/>
        <v>-3.3175218371829171E-5</v>
      </c>
      <c r="U12">
        <f t="shared" si="14"/>
        <v>0.9999999997907234</v>
      </c>
      <c r="V12">
        <f t="shared" si="15"/>
        <v>-2.0458569534795155E-5</v>
      </c>
      <c r="X12">
        <f t="shared" si="34"/>
        <v>76.645810584195843</v>
      </c>
      <c r="Y12">
        <f t="shared" si="16"/>
        <v>-89.924035045522146</v>
      </c>
      <c r="Z12">
        <f t="shared" si="35"/>
        <v>90.075964954477854</v>
      </c>
      <c r="AC12">
        <v>1</v>
      </c>
      <c r="AD12">
        <f t="shared" si="17"/>
        <v>6.6149374838400004E-4</v>
      </c>
      <c r="AE12">
        <f t="shared" si="18"/>
        <v>-2.4937726775329487E-12</v>
      </c>
      <c r="AF12">
        <f t="shared" si="19"/>
        <v>1.2189379482000001E-7</v>
      </c>
      <c r="AG12">
        <f t="shared" si="36"/>
        <v>5258.9648187149878</v>
      </c>
      <c r="AH12">
        <f t="shared" si="37"/>
        <v>-8203863.1629391639</v>
      </c>
      <c r="AJ12">
        <f t="shared" si="20"/>
        <v>18000</v>
      </c>
      <c r="AK12">
        <f t="shared" si="21"/>
        <v>0.59715393091200009</v>
      </c>
      <c r="AL12">
        <v>1</v>
      </c>
      <c r="AM12">
        <f t="shared" si="22"/>
        <v>1.0284317699039999E-3</v>
      </c>
      <c r="AN12">
        <f t="shared" si="38"/>
        <v>17999.981576057264</v>
      </c>
      <c r="AO12">
        <f t="shared" si="39"/>
        <v>-17.914598979591961</v>
      </c>
      <c r="AQ12">
        <f t="shared" si="23"/>
        <v>9999.3600409573774</v>
      </c>
      <c r="AR12">
        <f t="shared" si="24"/>
        <v>-79.994880327659018</v>
      </c>
      <c r="AT12">
        <f t="shared" si="40"/>
        <v>-603680769.27874923</v>
      </c>
      <c r="AU12">
        <f t="shared" si="41"/>
        <v>-82033802183.237396</v>
      </c>
      <c r="AV12">
        <f t="shared" si="42"/>
        <v>-1.5781551210524181</v>
      </c>
      <c r="AW12">
        <f t="shared" si="25"/>
        <v>179994502.73466104</v>
      </c>
      <c r="AX12">
        <f t="shared" si="26"/>
        <v>-53918669.474098153</v>
      </c>
      <c r="AY12">
        <f t="shared" si="50"/>
        <v>-0.29105060953701639</v>
      </c>
      <c r="BA12">
        <f t="shared" si="27"/>
        <v>436.60126723283025</v>
      </c>
      <c r="BB12">
        <f t="shared" si="43"/>
        <v>52.801699838246961</v>
      </c>
      <c r="BC12">
        <f t="shared" si="44"/>
        <v>-1.2871045115154016</v>
      </c>
      <c r="BD12">
        <f t="shared" si="28"/>
        <v>-253.7456563863467</v>
      </c>
      <c r="BF12">
        <f t="shared" si="29"/>
        <v>76.272585993180726</v>
      </c>
      <c r="BG12">
        <f t="shared" si="30"/>
        <v>-73.763444015876473</v>
      </c>
      <c r="BH12">
        <f t="shared" si="45"/>
        <v>106.23655598412353</v>
      </c>
      <c r="BI12">
        <f t="shared" si="46"/>
        <v>106.23655598412353</v>
      </c>
      <c r="BJ12">
        <f t="shared" si="31"/>
        <v>0</v>
      </c>
      <c r="BK12">
        <f t="shared" si="47"/>
        <v>0</v>
      </c>
      <c r="BM12">
        <f t="shared" si="48"/>
        <v>23.470886154933766</v>
      </c>
      <c r="BN12">
        <f t="shared" si="32"/>
        <v>-1.7787629529805692E-2</v>
      </c>
      <c r="BQ12" s="56">
        <f t="shared" si="49"/>
        <v>69.703660638532085</v>
      </c>
      <c r="BR12" s="57"/>
      <c r="BS12" s="57"/>
      <c r="BT12" s="57">
        <v>104.71299999999999</v>
      </c>
      <c r="BU12" s="57">
        <v>34.190800000000003</v>
      </c>
      <c r="BV12" s="57">
        <v>-264.93219999999997</v>
      </c>
      <c r="BW12" s="61"/>
      <c r="BY12" s="57"/>
      <c r="BZ12" s="57"/>
      <c r="CA12" s="57"/>
      <c r="CC12" s="57"/>
    </row>
    <row r="13" spans="1:81" x14ac:dyDescent="0.25">
      <c r="A13">
        <v>5</v>
      </c>
      <c r="B13">
        <f t="shared" si="33"/>
        <v>5.0000000000000001E-3</v>
      </c>
      <c r="C13">
        <f t="shared" si="0"/>
        <v>1.00000000085984</v>
      </c>
      <c r="D13">
        <f t="shared" si="1"/>
        <v>4.1469022956228856E-5</v>
      </c>
      <c r="F13">
        <f t="shared" si="2"/>
        <v>0.99415302634422209</v>
      </c>
      <c r="G13">
        <f t="shared" si="3"/>
        <v>-4.2953509241832981E-4</v>
      </c>
      <c r="H13">
        <f t="shared" si="4"/>
        <v>-4.2953509241832981E-4</v>
      </c>
      <c r="J13">
        <f t="shared" si="5"/>
        <v>15</v>
      </c>
      <c r="M13">
        <f t="shared" si="6"/>
        <v>364.61613579325632</v>
      </c>
      <c r="N13">
        <f t="shared" si="7"/>
        <v>-1.5707963250000001</v>
      </c>
      <c r="O13">
        <f t="shared" si="8"/>
        <v>1.0000003418546128</v>
      </c>
      <c r="P13">
        <f t="shared" si="9"/>
        <v>8.2686699703447082E-4</v>
      </c>
      <c r="Q13">
        <f t="shared" si="10"/>
        <v>1.0000008263058346</v>
      </c>
      <c r="R13">
        <f t="shared" si="11"/>
        <v>1.2855390042144329E-3</v>
      </c>
      <c r="S13">
        <f t="shared" si="12"/>
        <v>0.99999999914016002</v>
      </c>
      <c r="T13">
        <f t="shared" si="13"/>
        <v>-4.1469022956228849E-5</v>
      </c>
      <c r="U13">
        <f t="shared" si="14"/>
        <v>0.99999999967300557</v>
      </c>
      <c r="V13">
        <f t="shared" si="15"/>
        <v>-2.557321191648699E-5</v>
      </c>
      <c r="X13">
        <f t="shared" si="34"/>
        <v>74.707617784836216</v>
      </c>
      <c r="Y13">
        <f t="shared" si="16"/>
        <v>-89.905043836461573</v>
      </c>
      <c r="Z13">
        <f t="shared" si="35"/>
        <v>90.094956163538427</v>
      </c>
      <c r="AC13">
        <v>1</v>
      </c>
      <c r="AD13">
        <f t="shared" si="17"/>
        <v>8.2686718548000008E-4</v>
      </c>
      <c r="AE13">
        <f t="shared" si="18"/>
        <v>-3.8965198086452321E-12</v>
      </c>
      <c r="AF13">
        <f t="shared" si="19"/>
        <v>1.5236724352500001E-7</v>
      </c>
      <c r="AG13">
        <f t="shared" si="36"/>
        <v>5258.9648174768381</v>
      </c>
      <c r="AH13">
        <f t="shared" si="37"/>
        <v>-6563090.5787672354</v>
      </c>
      <c r="AJ13">
        <f t="shared" si="20"/>
        <v>18000</v>
      </c>
      <c r="AK13">
        <f t="shared" si="21"/>
        <v>0.74644241364000008</v>
      </c>
      <c r="AL13">
        <v>1</v>
      </c>
      <c r="AM13">
        <f t="shared" si="22"/>
        <v>1.2855397123800001E-3</v>
      </c>
      <c r="AN13">
        <f t="shared" si="38"/>
        <v>17999.971212606601</v>
      </c>
      <c r="AO13">
        <f t="shared" si="39"/>
        <v>-22.393235401862576</v>
      </c>
      <c r="AQ13">
        <f t="shared" si="23"/>
        <v>9999.0000999900003</v>
      </c>
      <c r="AR13">
        <f t="shared" si="24"/>
        <v>-99.990000999900005</v>
      </c>
      <c r="AT13">
        <f t="shared" si="40"/>
        <v>-603659043.79757535</v>
      </c>
      <c r="AU13">
        <f t="shared" si="41"/>
        <v>-65624869197.234375</v>
      </c>
      <c r="AV13">
        <f t="shared" si="42"/>
        <v>-1.5799946996964438</v>
      </c>
      <c r="AW13">
        <f t="shared" si="25"/>
        <v>179987114.15544698</v>
      </c>
      <c r="AX13">
        <f t="shared" si="26"/>
        <v>-43863430.683581442</v>
      </c>
      <c r="AY13">
        <f t="shared" si="50"/>
        <v>-0.23904351303919366</v>
      </c>
      <c r="BA13">
        <f t="shared" si="27"/>
        <v>354.25600623265393</v>
      </c>
      <c r="BB13">
        <f t="shared" si="43"/>
        <v>50.986344444534538</v>
      </c>
      <c r="BC13">
        <f t="shared" si="44"/>
        <v>-1.3409511866572501</v>
      </c>
      <c r="BD13">
        <f t="shared" si="28"/>
        <v>-256.83084361631194</v>
      </c>
      <c r="BF13">
        <f t="shared" si="29"/>
        <v>74.457234411239199</v>
      </c>
      <c r="BG13">
        <f t="shared" si="30"/>
        <v>-76.853078164289755</v>
      </c>
      <c r="BH13">
        <f t="shared" si="45"/>
        <v>103.14692183571024</v>
      </c>
      <c r="BI13">
        <f t="shared" si="46"/>
        <v>103.14692183571024</v>
      </c>
      <c r="BJ13">
        <f t="shared" si="31"/>
        <v>0</v>
      </c>
      <c r="BK13">
        <f t="shared" si="47"/>
        <v>0</v>
      </c>
      <c r="BM13">
        <f t="shared" si="48"/>
        <v>23.470889966704668</v>
      </c>
      <c r="BN13">
        <f t="shared" si="32"/>
        <v>-2.2234547977815704E-2</v>
      </c>
      <c r="BQ13" s="56">
        <f t="shared" si="49"/>
        <v>67.888305244819676</v>
      </c>
      <c r="BR13" s="58"/>
      <c r="BS13" s="58"/>
      <c r="BT13" s="58">
        <v>107.152</v>
      </c>
      <c r="BU13" s="58">
        <v>34.477699999999999</v>
      </c>
      <c r="BV13" s="58">
        <v>-262.3057</v>
      </c>
      <c r="BW13" s="61"/>
      <c r="BY13" s="58"/>
      <c r="BZ13" s="58"/>
      <c r="CA13" s="58"/>
      <c r="CC13" s="58"/>
    </row>
    <row r="14" spans="1:81" x14ac:dyDescent="0.25">
      <c r="A14">
        <v>6</v>
      </c>
      <c r="B14">
        <f t="shared" si="33"/>
        <v>6.0000000000000001E-3</v>
      </c>
      <c r="C14">
        <f t="shared" si="0"/>
        <v>1.0000000012381693</v>
      </c>
      <c r="D14">
        <f t="shared" si="1"/>
        <v>4.9762827534923462E-5</v>
      </c>
      <c r="F14">
        <f t="shared" si="2"/>
        <v>0.99415355920009074</v>
      </c>
      <c r="G14">
        <f t="shared" si="3"/>
        <v>-5.1544239414767854E-4</v>
      </c>
      <c r="H14">
        <f t="shared" si="4"/>
        <v>-5.1544239414767854E-4</v>
      </c>
      <c r="J14">
        <f t="shared" si="5"/>
        <v>15</v>
      </c>
      <c r="M14">
        <f t="shared" si="6"/>
        <v>303.84677982771359</v>
      </c>
      <c r="N14">
        <f t="shared" si="7"/>
        <v>-1.5707963250000001</v>
      </c>
      <c r="O14">
        <f t="shared" si="8"/>
        <v>1.0000004922706054</v>
      </c>
      <c r="P14">
        <f t="shared" si="9"/>
        <v>9.922402969421843E-4</v>
      </c>
      <c r="Q14">
        <f t="shared" si="10"/>
        <v>1.0000011898801855</v>
      </c>
      <c r="R14">
        <f t="shared" si="11"/>
        <v>1.5426464311464338E-3</v>
      </c>
      <c r="S14">
        <f t="shared" si="12"/>
        <v>0.99999999876183066</v>
      </c>
      <c r="T14">
        <f t="shared" si="13"/>
        <v>-4.9762827534923449E-5</v>
      </c>
      <c r="U14">
        <f t="shared" si="14"/>
        <v>0.99999999952912777</v>
      </c>
      <c r="V14">
        <f t="shared" si="15"/>
        <v>-3.0687854296840862E-5</v>
      </c>
      <c r="X14">
        <f t="shared" si="34"/>
        <v>73.124001982640564</v>
      </c>
      <c r="Y14">
        <f t="shared" si="16"/>
        <v>-89.886052647106879</v>
      </c>
      <c r="Z14">
        <f t="shared" si="35"/>
        <v>90.113947352893121</v>
      </c>
      <c r="AC14">
        <v>1</v>
      </c>
      <c r="AD14">
        <f t="shared" si="17"/>
        <v>9.92240622576E-4</v>
      </c>
      <c r="AE14">
        <f t="shared" si="18"/>
        <v>-5.6109885244491341E-12</v>
      </c>
      <c r="AF14">
        <f t="shared" si="19"/>
        <v>1.8284069222999998E-7</v>
      </c>
      <c r="AG14">
        <f t="shared" si="36"/>
        <v>5258.9648159635444</v>
      </c>
      <c r="AH14">
        <f t="shared" si="37"/>
        <v>-5469242.1982851913</v>
      </c>
      <c r="AJ14">
        <f t="shared" si="20"/>
        <v>18000</v>
      </c>
      <c r="AK14">
        <f t="shared" si="21"/>
        <v>0.89573089636799996</v>
      </c>
      <c r="AL14">
        <v>1</v>
      </c>
      <c r="AM14">
        <f t="shared" si="22"/>
        <v>1.5426476548559998E-3</v>
      </c>
      <c r="AN14">
        <f t="shared" si="38"/>
        <v>17999.95854618365</v>
      </c>
      <c r="AO14">
        <f t="shared" si="39"/>
        <v>-26.871862942407422</v>
      </c>
      <c r="AQ14">
        <f t="shared" si="23"/>
        <v>9998.5602073301452</v>
      </c>
      <c r="AR14">
        <f t="shared" si="24"/>
        <v>-119.98272248796174</v>
      </c>
      <c r="AT14">
        <f t="shared" si="40"/>
        <v>-603632492.55565953</v>
      </c>
      <c r="AU14">
        <f t="shared" si="41"/>
        <v>-54685178392.941246</v>
      </c>
      <c r="AV14">
        <f t="shared" si="42"/>
        <v>-1.5818341984020123</v>
      </c>
      <c r="AW14">
        <f t="shared" si="25"/>
        <v>179978084.3935456</v>
      </c>
      <c r="AX14">
        <f t="shared" si="26"/>
        <v>-37294784.35426639</v>
      </c>
      <c r="AY14">
        <f t="shared" si="50"/>
        <v>-0.20432666942461519</v>
      </c>
      <c r="BA14">
        <f t="shared" si="27"/>
        <v>297.5410610033482</v>
      </c>
      <c r="BB14">
        <f t="shared" si="43"/>
        <v>49.470938146613157</v>
      </c>
      <c r="BC14">
        <f t="shared" si="44"/>
        <v>-1.377507528977397</v>
      </c>
      <c r="BD14">
        <f t="shared" si="28"/>
        <v>-258.92536774808519</v>
      </c>
      <c r="BF14">
        <f t="shared" si="29"/>
        <v>72.941832772150846</v>
      </c>
      <c r="BG14">
        <f t="shared" si="30"/>
        <v>-78.952049221888046</v>
      </c>
      <c r="BH14">
        <f t="shared" si="45"/>
        <v>101.04795077811195</v>
      </c>
      <c r="BI14">
        <f t="shared" si="46"/>
        <v>101.04795077811195</v>
      </c>
      <c r="BJ14">
        <f t="shared" si="31"/>
        <v>0</v>
      </c>
      <c r="BK14">
        <f t="shared" si="47"/>
        <v>0</v>
      </c>
      <c r="BM14">
        <f t="shared" si="48"/>
        <v>23.470894625537682</v>
      </c>
      <c r="BN14">
        <f t="shared" si="32"/>
        <v>-2.6681473802880173E-2</v>
      </c>
      <c r="BQ14" s="56">
        <f t="shared" si="49"/>
        <v>66.372898946898303</v>
      </c>
      <c r="BR14" s="58"/>
      <c r="BS14" s="58"/>
      <c r="BT14" s="58">
        <v>109.648</v>
      </c>
      <c r="BU14" s="58">
        <v>34.114400000000003</v>
      </c>
      <c r="BV14" s="58">
        <v>-262.76620000000003</v>
      </c>
      <c r="BW14" s="61"/>
      <c r="BY14" s="58"/>
      <c r="BZ14" s="58"/>
      <c r="CA14" s="58"/>
      <c r="CC14" s="58"/>
    </row>
    <row r="15" spans="1:81" x14ac:dyDescent="0.25">
      <c r="A15">
        <v>7</v>
      </c>
      <c r="B15">
        <f t="shared" si="33"/>
        <v>7.0000000000000001E-3</v>
      </c>
      <c r="C15">
        <f t="shared" si="0"/>
        <v>1.0000000016852861</v>
      </c>
      <c r="D15">
        <f t="shared" si="1"/>
        <v>5.8056632106771976E-5</v>
      </c>
      <c r="F15">
        <f t="shared" si="2"/>
        <v>0.99415418893952323</v>
      </c>
      <c r="G15">
        <f t="shared" si="3"/>
        <v>-6.0134985037511748E-4</v>
      </c>
      <c r="H15">
        <f t="shared" si="4"/>
        <v>-6.0134985037511748E-4</v>
      </c>
      <c r="J15">
        <f t="shared" si="5"/>
        <v>15</v>
      </c>
      <c r="M15">
        <f t="shared" si="6"/>
        <v>260.44009699518307</v>
      </c>
      <c r="N15">
        <f t="shared" si="7"/>
        <v>-1.5707963250000001</v>
      </c>
      <c r="O15">
        <f t="shared" si="8"/>
        <v>1.0000006700349311</v>
      </c>
      <c r="P15">
        <f t="shared" si="9"/>
        <v>1.1576135425776716E-3</v>
      </c>
      <c r="Q15">
        <f t="shared" si="10"/>
        <v>1.0000016195587935</v>
      </c>
      <c r="R15">
        <f t="shared" si="11"/>
        <v>1.7997536541275337E-3</v>
      </c>
      <c r="S15">
        <f t="shared" si="12"/>
        <v>0.99999999831471387</v>
      </c>
      <c r="T15">
        <f t="shared" si="13"/>
        <v>-5.8056632106771962E-5</v>
      </c>
      <c r="U15">
        <f t="shared" si="14"/>
        <v>0.99999999935909067</v>
      </c>
      <c r="V15">
        <f t="shared" si="15"/>
        <v>-3.5802496675589166E-5</v>
      </c>
      <c r="X15">
        <f t="shared" si="34"/>
        <v>71.785076966740192</v>
      </c>
      <c r="Y15">
        <f t="shared" si="16"/>
        <v>-89.867061481399304</v>
      </c>
      <c r="Z15">
        <f t="shared" si="35"/>
        <v>90.132938518600696</v>
      </c>
      <c r="AC15">
        <v>1</v>
      </c>
      <c r="AD15">
        <f t="shared" si="17"/>
        <v>1.1576140596719999E-3</v>
      </c>
      <c r="AE15">
        <f t="shared" si="18"/>
        <v>-7.6371788249446545E-12</v>
      </c>
      <c r="AF15">
        <f t="shared" si="19"/>
        <v>2.13314140935E-7</v>
      </c>
      <c r="AG15">
        <f t="shared" si="36"/>
        <v>5258.964814175104</v>
      </c>
      <c r="AH15">
        <f t="shared" si="37"/>
        <v>-4687921.9341973662</v>
      </c>
      <c r="AJ15">
        <f t="shared" si="20"/>
        <v>18000</v>
      </c>
      <c r="AK15">
        <f t="shared" si="21"/>
        <v>1.0450193790960001</v>
      </c>
      <c r="AL15">
        <v>1</v>
      </c>
      <c r="AM15">
        <f t="shared" si="22"/>
        <v>1.7997555973319997E-3</v>
      </c>
      <c r="AN15">
        <f t="shared" si="38"/>
        <v>17999.943576798454</v>
      </c>
      <c r="AO15">
        <f t="shared" si="39"/>
        <v>-31.3504798249072</v>
      </c>
      <c r="AQ15">
        <f t="shared" si="23"/>
        <v>9998.0403840847193</v>
      </c>
      <c r="AR15">
        <f t="shared" si="24"/>
        <v>-139.97256537718607</v>
      </c>
      <c r="AT15">
        <f t="shared" si="40"/>
        <v>-603601116.82698214</v>
      </c>
      <c r="AU15">
        <f t="shared" si="41"/>
        <v>-46870768926.338081</v>
      </c>
      <c r="AV15">
        <f t="shared" si="42"/>
        <v>-1.5836736011898775</v>
      </c>
      <c r="AW15">
        <f t="shared" si="25"/>
        <v>179967413.88310412</v>
      </c>
      <c r="AX15">
        <f t="shared" si="26"/>
        <v>-32718445.570862845</v>
      </c>
      <c r="AY15">
        <f t="shared" si="50"/>
        <v>-0.17983788841736928</v>
      </c>
      <c r="BA15">
        <f t="shared" si="27"/>
        <v>256.26135780653362</v>
      </c>
      <c r="BB15">
        <f t="shared" si="43"/>
        <v>48.173662458711718</v>
      </c>
      <c r="BC15">
        <f t="shared" si="44"/>
        <v>-1.4038357127725083</v>
      </c>
      <c r="BD15">
        <f t="shared" si="28"/>
        <v>-260.43386156351346</v>
      </c>
      <c r="BF15">
        <f t="shared" si="29"/>
        <v>71.644562590145682</v>
      </c>
      <c r="BG15">
        <f t="shared" si="30"/>
        <v>-80.464989971993901</v>
      </c>
      <c r="BH15">
        <f t="shared" si="45"/>
        <v>99.535010028006099</v>
      </c>
      <c r="BI15">
        <f t="shared" si="46"/>
        <v>99.535010028006099</v>
      </c>
      <c r="BJ15">
        <f t="shared" si="31"/>
        <v>0</v>
      </c>
      <c r="BK15">
        <f t="shared" si="47"/>
        <v>0</v>
      </c>
      <c r="BM15">
        <f t="shared" si="48"/>
        <v>23.470900131433957</v>
      </c>
      <c r="BN15">
        <f t="shared" si="32"/>
        <v>-3.1128408480425421E-2</v>
      </c>
      <c r="BQ15" s="56">
        <f t="shared" si="49"/>
        <v>65.075623258996856</v>
      </c>
      <c r="BR15" s="58"/>
      <c r="BS15" s="58"/>
      <c r="BT15" s="58">
        <v>112.202</v>
      </c>
      <c r="BU15" s="58">
        <v>34.297699999999999</v>
      </c>
      <c r="BV15" s="58">
        <v>-267.01279999999997</v>
      </c>
      <c r="BW15" s="61"/>
      <c r="BY15" s="58"/>
      <c r="BZ15" s="58"/>
      <c r="CA15" s="58"/>
      <c r="CC15" s="58"/>
    </row>
    <row r="16" spans="1:81" x14ac:dyDescent="0.25">
      <c r="A16">
        <v>8</v>
      </c>
      <c r="B16">
        <f t="shared" si="33"/>
        <v>8.0000000000000002E-3</v>
      </c>
      <c r="C16">
        <f t="shared" si="0"/>
        <v>1.0000000022011901</v>
      </c>
      <c r="D16">
        <f t="shared" si="1"/>
        <v>6.6350436670633382E-5</v>
      </c>
      <c r="F16">
        <f t="shared" si="2"/>
        <v>0.99415491556285862</v>
      </c>
      <c r="G16">
        <f t="shared" si="3"/>
        <v>-6.8725748685069901E-4</v>
      </c>
      <c r="H16">
        <f t="shared" si="4"/>
        <v>-6.8725748685069901E-4</v>
      </c>
      <c r="J16">
        <f t="shared" si="5"/>
        <v>15</v>
      </c>
      <c r="M16">
        <f t="shared" si="6"/>
        <v>227.88508487078519</v>
      </c>
      <c r="N16">
        <f t="shared" si="7"/>
        <v>-1.5707963250000001</v>
      </c>
      <c r="O16">
        <f t="shared" si="8"/>
        <v>1.0000008751475753</v>
      </c>
      <c r="P16">
        <f t="shared" si="9"/>
        <v>1.3229867248956062E-3</v>
      </c>
      <c r="Q16">
        <f t="shared" si="10"/>
        <v>1.0000021153415732</v>
      </c>
      <c r="R16">
        <f t="shared" si="11"/>
        <v>2.0568606391663238E-3</v>
      </c>
      <c r="S16">
        <f t="shared" si="12"/>
        <v>0.99999999779880988</v>
      </c>
      <c r="T16">
        <f t="shared" si="13"/>
        <v>-6.6350436670633368E-5</v>
      </c>
      <c r="U16">
        <f t="shared" si="14"/>
        <v>0.99999999916289384</v>
      </c>
      <c r="V16">
        <f t="shared" si="15"/>
        <v>-4.0917139052464314E-5</v>
      </c>
      <c r="X16">
        <f t="shared" si="34"/>
        <v>70.625250461853</v>
      </c>
      <c r="Y16">
        <f t="shared" si="16"/>
        <v>-89.848070343280014</v>
      </c>
      <c r="Z16">
        <f t="shared" si="35"/>
        <v>90.151929656719986</v>
      </c>
      <c r="AC16">
        <v>1</v>
      </c>
      <c r="AD16">
        <f t="shared" si="17"/>
        <v>1.3229874967680001E-3</v>
      </c>
      <c r="AE16">
        <f t="shared" si="18"/>
        <v>-9.9750907101317949E-12</v>
      </c>
      <c r="AF16">
        <f t="shared" si="19"/>
        <v>2.4378758964000002E-7</v>
      </c>
      <c r="AG16">
        <f t="shared" si="36"/>
        <v>5258.9648121115206</v>
      </c>
      <c r="AH16">
        <f t="shared" si="37"/>
        <v>-4101931.7428559279</v>
      </c>
      <c r="AJ16">
        <f t="shared" si="20"/>
        <v>18000</v>
      </c>
      <c r="AK16">
        <f t="shared" si="21"/>
        <v>1.1943078618240002</v>
      </c>
      <c r="AL16">
        <v>1</v>
      </c>
      <c r="AM16">
        <f t="shared" si="22"/>
        <v>2.0568635398079999E-3</v>
      </c>
      <c r="AN16">
        <f t="shared" si="38"/>
        <v>17999.926304462897</v>
      </c>
      <c r="AO16">
        <f t="shared" si="39"/>
        <v>-35.829084273056679</v>
      </c>
      <c r="AQ16">
        <f t="shared" si="23"/>
        <v>9997.4406551922712</v>
      </c>
      <c r="AR16">
        <f t="shared" si="24"/>
        <v>-159.95905048307634</v>
      </c>
      <c r="AT16">
        <f t="shared" si="40"/>
        <v>-603564918.11679542</v>
      </c>
      <c r="AU16">
        <f t="shared" si="41"/>
        <v>-41009660389.869408</v>
      </c>
      <c r="AV16">
        <f t="shared" si="42"/>
        <v>-1.5855128920853969</v>
      </c>
      <c r="AW16">
        <f t="shared" si="25"/>
        <v>179955103.13708276</v>
      </c>
      <c r="AX16">
        <f t="shared" si="26"/>
        <v>-29387266.951069973</v>
      </c>
      <c r="AY16">
        <f t="shared" si="50"/>
        <v>-0.16187446418617094</v>
      </c>
      <c r="BA16">
        <f t="shared" si="27"/>
        <v>224.93344196733511</v>
      </c>
      <c r="BB16">
        <f t="shared" si="43"/>
        <v>47.041080578892441</v>
      </c>
      <c r="BC16">
        <f t="shared" si="44"/>
        <v>-1.423638427899226</v>
      </c>
      <c r="BD16">
        <f t="shared" si="28"/>
        <v>-261.56847356447076</v>
      </c>
      <c r="BF16">
        <f t="shared" si="29"/>
        <v>70.511987063287293</v>
      </c>
      <c r="BG16">
        <f t="shared" si="30"/>
        <v>-81.604048917956661</v>
      </c>
      <c r="BH16">
        <f t="shared" si="45"/>
        <v>98.395951082043339</v>
      </c>
      <c r="BI16">
        <f t="shared" si="46"/>
        <v>98.395951082043339</v>
      </c>
      <c r="BJ16">
        <f t="shared" si="31"/>
        <v>0</v>
      </c>
      <c r="BK16">
        <f t="shared" si="47"/>
        <v>0</v>
      </c>
      <c r="BM16">
        <f t="shared" si="48"/>
        <v>23.470906484394849</v>
      </c>
      <c r="BN16">
        <f t="shared" si="32"/>
        <v>-3.5575353485886148E-2</v>
      </c>
      <c r="BQ16" s="56">
        <f t="shared" si="49"/>
        <v>63.943041379177572</v>
      </c>
      <c r="BR16" s="59"/>
      <c r="BS16" s="59"/>
      <c r="BT16" s="59">
        <v>114.815</v>
      </c>
      <c r="BU16" s="59">
        <v>33.346499999999999</v>
      </c>
      <c r="BV16" s="59">
        <v>-266.20479999999998</v>
      </c>
      <c r="BW16" s="61"/>
      <c r="BY16" s="59"/>
      <c r="BZ16" s="59"/>
      <c r="CA16" s="59"/>
      <c r="CC16" s="59"/>
    </row>
    <row r="17" spans="1:81" x14ac:dyDescent="0.25">
      <c r="A17">
        <v>9</v>
      </c>
      <c r="B17">
        <f t="shared" si="33"/>
        <v>8.9999999999999993E-3</v>
      </c>
      <c r="C17">
        <f t="shared" si="0"/>
        <v>1.0000000027858813</v>
      </c>
      <c r="D17">
        <f t="shared" si="1"/>
        <v>7.4644241225366666E-5</v>
      </c>
      <c r="F17">
        <f t="shared" si="2"/>
        <v>0.9941557390704886</v>
      </c>
      <c r="G17">
        <f t="shared" si="3"/>
        <v>-7.7316532932464679E-4</v>
      </c>
      <c r="H17">
        <f t="shared" si="4"/>
        <v>-7.7316532932464679E-4</v>
      </c>
      <c r="J17">
        <f t="shared" si="5"/>
        <v>15</v>
      </c>
      <c r="M17">
        <f t="shared" si="6"/>
        <v>202.5645198851424</v>
      </c>
      <c r="N17">
        <f t="shared" si="7"/>
        <v>-1.5707963250000001</v>
      </c>
      <c r="O17">
        <f t="shared" si="8"/>
        <v>1.0000011076085213</v>
      </c>
      <c r="P17">
        <f t="shared" si="9"/>
        <v>1.4883598348506835E-3</v>
      </c>
      <c r="Q17">
        <f t="shared" si="10"/>
        <v>1.0000026772284267</v>
      </c>
      <c r="R17">
        <f t="shared" si="11"/>
        <v>2.3139673522715857E-3</v>
      </c>
      <c r="S17">
        <f t="shared" si="12"/>
        <v>0.9999999972141187</v>
      </c>
      <c r="T17">
        <f t="shared" si="13"/>
        <v>-7.4644241225366653E-5</v>
      </c>
      <c r="U17">
        <f t="shared" si="14"/>
        <v>0.9999999989405377</v>
      </c>
      <c r="V17">
        <f t="shared" si="15"/>
        <v>-4.6031781427198719E-5</v>
      </c>
      <c r="X17">
        <f t="shared" si="34"/>
        <v>69.602214105526144</v>
      </c>
      <c r="Y17">
        <f t="shared" si="16"/>
        <v>-89.82907923669012</v>
      </c>
      <c r="Z17">
        <f t="shared" si="35"/>
        <v>90.17092076330988</v>
      </c>
      <c r="AC17">
        <v>1</v>
      </c>
      <c r="AD17">
        <f t="shared" si="17"/>
        <v>1.488360933864E-3</v>
      </c>
      <c r="AE17">
        <f t="shared" si="18"/>
        <v>-1.2624724180010553E-11</v>
      </c>
      <c r="AF17">
        <f t="shared" si="19"/>
        <v>2.7426103834499999E-7</v>
      </c>
      <c r="AG17">
        <f t="shared" si="36"/>
        <v>5258.9648097727923</v>
      </c>
      <c r="AH17">
        <f t="shared" si="37"/>
        <v>-3646161.6000120821</v>
      </c>
      <c r="AJ17">
        <f t="shared" si="20"/>
        <v>18000</v>
      </c>
      <c r="AK17">
        <f t="shared" si="21"/>
        <v>1.3435963445520001</v>
      </c>
      <c r="AL17">
        <v>1</v>
      </c>
      <c r="AM17">
        <f t="shared" si="22"/>
        <v>2.3139714822839998E-3</v>
      </c>
      <c r="AN17">
        <f t="shared" si="38"/>
        <v>17999.906729190665</v>
      </c>
      <c r="AO17">
        <f t="shared" si="39"/>
        <v>-40.307674510567068</v>
      </c>
      <c r="AQ17">
        <f t="shared" si="23"/>
        <v>9996.7610494199889</v>
      </c>
      <c r="AR17">
        <f t="shared" si="24"/>
        <v>-179.94169888955977</v>
      </c>
      <c r="AT17">
        <f t="shared" si="40"/>
        <v>-603523898.16144252</v>
      </c>
      <c r="AU17">
        <f t="shared" si="41"/>
        <v>-36450752569.953918</v>
      </c>
      <c r="AV17">
        <f t="shared" si="42"/>
        <v>-1.5873520551192992</v>
      </c>
      <c r="AW17">
        <f t="shared" si="25"/>
        <v>179941152.74719271</v>
      </c>
      <c r="AX17">
        <f t="shared" si="26"/>
        <v>-26886162.241777133</v>
      </c>
      <c r="AY17">
        <f t="shared" si="50"/>
        <v>-0.14831915709073351</v>
      </c>
      <c r="BA17">
        <f t="shared" si="27"/>
        <v>200.37381870506542</v>
      </c>
      <c r="BB17">
        <f t="shared" si="43"/>
        <v>46.036819500119002</v>
      </c>
      <c r="BC17">
        <f t="shared" si="44"/>
        <v>-1.4390328980285658</v>
      </c>
      <c r="BD17">
        <f t="shared" si="28"/>
        <v>-262.45051173173005</v>
      </c>
      <c r="BF17">
        <f t="shared" si="29"/>
        <v>69.507733184540925</v>
      </c>
      <c r="BG17">
        <f t="shared" si="30"/>
        <v>-82.49053404202472</v>
      </c>
      <c r="BH17">
        <f t="shared" si="45"/>
        <v>97.50946595797528</v>
      </c>
      <c r="BI17">
        <f t="shared" si="46"/>
        <v>97.50946595797528</v>
      </c>
      <c r="BJ17">
        <f t="shared" si="31"/>
        <v>0</v>
      </c>
      <c r="BK17">
        <f t="shared" si="47"/>
        <v>0</v>
      </c>
      <c r="BM17">
        <f t="shared" si="48"/>
        <v>23.470913684421923</v>
      </c>
      <c r="BN17">
        <f t="shared" si="32"/>
        <v>-4.0022310294706862E-2</v>
      </c>
      <c r="BQ17" s="56">
        <f t="shared" si="49"/>
        <v>62.938780300404133</v>
      </c>
      <c r="BR17" s="59"/>
      <c r="BS17" s="59"/>
      <c r="BT17" s="59">
        <v>117.49</v>
      </c>
      <c r="BU17" s="59">
        <v>33.0246</v>
      </c>
      <c r="BV17" s="59">
        <v>-264.9049</v>
      </c>
      <c r="BW17" s="61"/>
      <c r="BY17" s="59"/>
      <c r="BZ17" s="59"/>
      <c r="CA17" s="59"/>
      <c r="CC17" s="59"/>
    </row>
    <row r="18" spans="1:81" x14ac:dyDescent="0.25">
      <c r="A18">
        <v>10</v>
      </c>
      <c r="B18">
        <f t="shared" si="33"/>
        <v>0.01</v>
      </c>
      <c r="C18">
        <f t="shared" si="0"/>
        <v>1.0000000034393597</v>
      </c>
      <c r="D18">
        <f t="shared" si="1"/>
        <v>8.2938045769830821E-5</v>
      </c>
      <c r="F18">
        <f t="shared" si="2"/>
        <v>0.9941566594628567</v>
      </c>
      <c r="G18">
        <f t="shared" si="3"/>
        <v>-8.5907340354737999E-4</v>
      </c>
      <c r="H18">
        <f t="shared" si="4"/>
        <v>-8.5907340354737999E-4</v>
      </c>
      <c r="J18">
        <f t="shared" si="5"/>
        <v>15</v>
      </c>
      <c r="M18">
        <f t="shared" si="6"/>
        <v>182.30806789662816</v>
      </c>
      <c r="N18">
        <f t="shared" si="7"/>
        <v>-1.5707963250000001</v>
      </c>
      <c r="O18">
        <f t="shared" si="8"/>
        <v>1.0000013674177499</v>
      </c>
      <c r="P18">
        <f t="shared" si="9"/>
        <v>1.6537328633976214E-3</v>
      </c>
      <c r="Q18">
        <f t="shared" si="10"/>
        <v>1.0000033052192421</v>
      </c>
      <c r="R18">
        <f t="shared" si="11"/>
        <v>2.5710737594523158E-3</v>
      </c>
      <c r="S18">
        <f t="shared" si="12"/>
        <v>0.99999999656064031</v>
      </c>
      <c r="T18">
        <f t="shared" si="13"/>
        <v>-8.2938045769830808E-5</v>
      </c>
      <c r="U18">
        <f t="shared" si="14"/>
        <v>0.99999999869202183</v>
      </c>
      <c r="V18">
        <f t="shared" si="15"/>
        <v>-5.1146423799524778E-5</v>
      </c>
      <c r="X18">
        <f t="shared" si="34"/>
        <v>68.687080044887139</v>
      </c>
      <c r="Y18">
        <f t="shared" si="16"/>
        <v>-89.810088165570875</v>
      </c>
      <c r="Z18">
        <f t="shared" si="35"/>
        <v>90.189911834429125</v>
      </c>
      <c r="AC18">
        <v>1</v>
      </c>
      <c r="AD18">
        <f t="shared" si="17"/>
        <v>1.6537343709600002E-3</v>
      </c>
      <c r="AE18">
        <f t="shared" si="18"/>
        <v>-1.5586079234580928E-11</v>
      </c>
      <c r="AF18">
        <f t="shared" si="19"/>
        <v>3.0473448705000001E-7</v>
      </c>
      <c r="AG18">
        <f t="shared" si="36"/>
        <v>5258.9648071589199</v>
      </c>
      <c r="AH18">
        <f t="shared" si="37"/>
        <v>-3281545.4911165498</v>
      </c>
      <c r="AJ18">
        <f t="shared" si="20"/>
        <v>18000</v>
      </c>
      <c r="AK18">
        <f t="shared" si="21"/>
        <v>1.4928848272800002</v>
      </c>
      <c r="AL18">
        <v>1</v>
      </c>
      <c r="AM18">
        <f t="shared" si="22"/>
        <v>2.5710794247600002E-3</v>
      </c>
      <c r="AN18">
        <f t="shared" si="38"/>
        <v>17999.884850997296</v>
      </c>
      <c r="AO18">
        <f t="shared" si="39"/>
        <v>-44.786248761168366</v>
      </c>
      <c r="AQ18">
        <f t="shared" si="23"/>
        <v>9996.0015993602556</v>
      </c>
      <c r="AR18">
        <f t="shared" si="24"/>
        <v>-199.92003198720514</v>
      </c>
      <c r="AT18">
        <f t="shared" si="40"/>
        <v>-603478058.92814958</v>
      </c>
      <c r="AU18">
        <f t="shared" si="41"/>
        <v>-32803385349.986935</v>
      </c>
      <c r="AV18">
        <f t="shared" si="42"/>
        <v>-1.589191074328449</v>
      </c>
      <c r="AW18">
        <f t="shared" si="25"/>
        <v>179925563.38382569</v>
      </c>
      <c r="AX18">
        <f t="shared" si="26"/>
        <v>-24966075.758015588</v>
      </c>
      <c r="AY18">
        <f t="shared" si="50"/>
        <v>-0.13787741562211789</v>
      </c>
      <c r="BA18">
        <f t="shared" si="27"/>
        <v>180.61679012440374</v>
      </c>
      <c r="BB18">
        <f t="shared" si="43"/>
        <v>45.135162396785972</v>
      </c>
      <c r="BC18">
        <f t="shared" si="44"/>
        <v>-1.4513136587063311</v>
      </c>
      <c r="BD18">
        <f t="shared" si="28"/>
        <v>-263.15414748858024</v>
      </c>
      <c r="BF18">
        <f t="shared" si="29"/>
        <v>68.606084128302911</v>
      </c>
      <c r="BG18">
        <f t="shared" si="30"/>
        <v>-83.198616768962566</v>
      </c>
      <c r="BH18">
        <f t="shared" si="45"/>
        <v>96.801383231037434</v>
      </c>
      <c r="BI18">
        <f t="shared" si="46"/>
        <v>96.801383231037434</v>
      </c>
      <c r="BJ18">
        <f t="shared" si="31"/>
        <v>0</v>
      </c>
      <c r="BK18">
        <f t="shared" si="47"/>
        <v>0</v>
      </c>
      <c r="BM18">
        <f t="shared" si="48"/>
        <v>23.470921731516945</v>
      </c>
      <c r="BN18">
        <f t="shared" si="32"/>
        <v>-4.4469280382343275E-2</v>
      </c>
      <c r="BQ18" s="56">
        <f t="shared" si="49"/>
        <v>62.037123197071111</v>
      </c>
      <c r="BR18" s="59"/>
      <c r="BS18" s="59"/>
      <c r="BT18" s="59">
        <v>120.226</v>
      </c>
      <c r="BU18" s="59">
        <v>33.735999999999997</v>
      </c>
      <c r="BV18" s="59">
        <v>-269.98079999999999</v>
      </c>
      <c r="BW18" s="61"/>
      <c r="BY18" s="59"/>
      <c r="BZ18" s="59"/>
      <c r="CA18" s="59"/>
      <c r="CC18" s="59"/>
    </row>
    <row r="19" spans="1:81" x14ac:dyDescent="0.25">
      <c r="A19">
        <f>A10*10</f>
        <v>20</v>
      </c>
      <c r="B19">
        <f t="shared" si="33"/>
        <v>0.02</v>
      </c>
      <c r="C19">
        <f t="shared" si="0"/>
        <v>1.000000013757439</v>
      </c>
      <c r="D19">
        <f t="shared" si="1"/>
        <v>1.6587609039864657E-4</v>
      </c>
      <c r="F19">
        <f t="shared" si="2"/>
        <v>0.99417119218207062</v>
      </c>
      <c r="G19">
        <f t="shared" si="3"/>
        <v>-1.7181725572389265E-3</v>
      </c>
      <c r="H19">
        <f t="shared" si="4"/>
        <v>-1.7181725572389265E-3</v>
      </c>
      <c r="J19">
        <f t="shared" si="5"/>
        <v>15</v>
      </c>
      <c r="M19">
        <f t="shared" si="6"/>
        <v>91.15403394831408</v>
      </c>
      <c r="N19">
        <f t="shared" si="7"/>
        <v>-1.5707963250000001</v>
      </c>
      <c r="O19">
        <f t="shared" si="8"/>
        <v>1.0000054696597809</v>
      </c>
      <c r="P19">
        <f t="shared" si="9"/>
        <v>3.3074566814803408E-3</v>
      </c>
      <c r="Q19">
        <f t="shared" si="10"/>
        <v>1.0000132208114219</v>
      </c>
      <c r="R19">
        <f t="shared" si="11"/>
        <v>5.1421135275977999E-3</v>
      </c>
      <c r="S19">
        <f t="shared" si="12"/>
        <v>0.99999998624256126</v>
      </c>
      <c r="T19">
        <f t="shared" si="13"/>
        <v>-1.6587609039864654E-4</v>
      </c>
      <c r="U19">
        <f t="shared" si="14"/>
        <v>0.99999999476808665</v>
      </c>
      <c r="V19">
        <f t="shared" si="15"/>
        <v>-1.022928473314559E-4</v>
      </c>
      <c r="X19">
        <f t="shared" si="34"/>
        <v>62.666728824657213</v>
      </c>
      <c r="Y19">
        <f t="shared" si="16"/>
        <v>-89.620180272317796</v>
      </c>
      <c r="Z19">
        <f t="shared" si="35"/>
        <v>90.379819727682204</v>
      </c>
      <c r="AC19">
        <v>1</v>
      </c>
      <c r="AD19">
        <f t="shared" si="17"/>
        <v>3.3074687419200003E-3</v>
      </c>
      <c r="AE19">
        <f t="shared" si="18"/>
        <v>-6.2344316938323713E-11</v>
      </c>
      <c r="AF19">
        <f t="shared" si="19"/>
        <v>6.0946897410000002E-7</v>
      </c>
      <c r="AG19">
        <f t="shared" si="36"/>
        <v>5258.9647658872482</v>
      </c>
      <c r="AH19">
        <f t="shared" si="37"/>
        <v>-1640773.149024135</v>
      </c>
      <c r="AJ19">
        <f t="shared" si="20"/>
        <v>18000</v>
      </c>
      <c r="AK19">
        <f t="shared" si="21"/>
        <v>2.9857696545600003</v>
      </c>
      <c r="AL19">
        <v>1</v>
      </c>
      <c r="AM19">
        <f t="shared" si="22"/>
        <v>5.1421588495200003E-3</v>
      </c>
      <c r="AN19">
        <f t="shared" si="38"/>
        <v>17999.539413123191</v>
      </c>
      <c r="AO19">
        <f t="shared" si="39"/>
        <v>-89.570721225915463</v>
      </c>
      <c r="AQ19">
        <f t="shared" si="23"/>
        <v>9984.0255591054301</v>
      </c>
      <c r="AR19">
        <f t="shared" si="24"/>
        <v>-399.36102236421721</v>
      </c>
      <c r="AT19">
        <f t="shared" si="40"/>
        <v>-602755203.6249814</v>
      </c>
      <c r="AU19">
        <f t="shared" si="41"/>
        <v>-16383621282.09635</v>
      </c>
      <c r="AV19">
        <f t="shared" si="42"/>
        <v>-1.6075698500840376</v>
      </c>
      <c r="AW19">
        <f t="shared" si="25"/>
        <v>179679729.76252475</v>
      </c>
      <c r="AX19">
        <f t="shared" si="26"/>
        <v>-18542524.222507093</v>
      </c>
      <c r="AY19">
        <f t="shared" si="50"/>
        <v>-0.10283362094999891</v>
      </c>
      <c r="BA19">
        <f t="shared" si="27"/>
        <v>90.762027788510295</v>
      </c>
      <c r="BB19">
        <f t="shared" si="43"/>
        <v>39.158083804972527</v>
      </c>
      <c r="BC19">
        <f t="shared" si="44"/>
        <v>-1.5047362291340387</v>
      </c>
      <c r="BD19">
        <f t="shared" si="28"/>
        <v>-266.21503530832587</v>
      </c>
      <c r="BF19">
        <f t="shared" si="29"/>
        <v>62.629132596716275</v>
      </c>
      <c r="BG19">
        <f t="shared" si="30"/>
        <v>-86.303975344530471</v>
      </c>
      <c r="BH19">
        <f t="shared" si="45"/>
        <v>93.696024655469529</v>
      </c>
      <c r="BI19">
        <f t="shared" si="46"/>
        <v>93.696024655469529</v>
      </c>
      <c r="BJ19">
        <f t="shared" si="31"/>
        <v>0</v>
      </c>
      <c r="BK19">
        <f t="shared" si="47"/>
        <v>0</v>
      </c>
      <c r="BM19">
        <f t="shared" si="48"/>
        <v>23.471048791743748</v>
      </c>
      <c r="BN19">
        <f t="shared" si="32"/>
        <v>-8.8940036204646189E-2</v>
      </c>
      <c r="BQ19" s="56">
        <f t="shared" si="49"/>
        <v>56.060044605257666</v>
      </c>
      <c r="BR19" s="59"/>
      <c r="BS19" s="59"/>
      <c r="BT19" s="59">
        <v>123.027</v>
      </c>
      <c r="BU19" s="59">
        <v>32.764899999999997</v>
      </c>
      <c r="BV19" s="59">
        <v>-265.73410000000001</v>
      </c>
      <c r="BW19" s="61"/>
      <c r="BY19" s="59"/>
      <c r="BZ19" s="59"/>
      <c r="CA19" s="59"/>
      <c r="CC19" s="59"/>
    </row>
    <row r="20" spans="1:81" x14ac:dyDescent="0.25">
      <c r="A20">
        <f t="shared" ref="A20:A36" si="51">A11*10</f>
        <v>30</v>
      </c>
      <c r="B20">
        <f t="shared" si="33"/>
        <v>0.03</v>
      </c>
      <c r="C20">
        <f t="shared" si="0"/>
        <v>1.0000000309542372</v>
      </c>
      <c r="D20">
        <f t="shared" si="1"/>
        <v>2.4881413274543225E-4</v>
      </c>
      <c r="F20">
        <f t="shared" si="2"/>
        <v>0.99419541425074898</v>
      </c>
      <c r="G20">
        <f t="shared" si="3"/>
        <v>-2.5773232136637246E-3</v>
      </c>
      <c r="H20">
        <f t="shared" si="4"/>
        <v>-2.5773232136637246E-3</v>
      </c>
      <c r="J20">
        <f t="shared" si="5"/>
        <v>15</v>
      </c>
      <c r="M20">
        <f t="shared" si="6"/>
        <v>60.769355965542722</v>
      </c>
      <c r="N20">
        <f t="shared" si="7"/>
        <v>-1.5707963250000001</v>
      </c>
      <c r="O20">
        <f t="shared" si="8"/>
        <v>1.0000123066924362</v>
      </c>
      <c r="P20">
        <f t="shared" si="9"/>
        <v>4.9611624092301002E-3</v>
      </c>
      <c r="Q20">
        <f t="shared" si="10"/>
        <v>1.0000297465799084</v>
      </c>
      <c r="R20">
        <f t="shared" si="11"/>
        <v>7.7130853158258713E-3</v>
      </c>
      <c r="S20">
        <f t="shared" si="12"/>
        <v>0.99999996904576383</v>
      </c>
      <c r="T20">
        <f t="shared" si="13"/>
        <v>-2.4881413274543219E-4</v>
      </c>
      <c r="U20">
        <f t="shared" si="14"/>
        <v>0.99999998822819525</v>
      </c>
      <c r="V20">
        <f t="shared" si="15"/>
        <v>-1.5343927032819972E-4</v>
      </c>
      <c r="X20">
        <f t="shared" si="34"/>
        <v>59.145318130991043</v>
      </c>
      <c r="Y20">
        <f t="shared" si="16"/>
        <v>-89.430280261385406</v>
      </c>
      <c r="Z20">
        <f t="shared" si="35"/>
        <v>90.569719738614594</v>
      </c>
      <c r="AC20">
        <v>1</v>
      </c>
      <c r="AD20">
        <f t="shared" si="17"/>
        <v>4.9612031128800005E-3</v>
      </c>
      <c r="AE20">
        <f t="shared" si="18"/>
        <v>-1.4027471311122836E-10</v>
      </c>
      <c r="AF20">
        <f t="shared" si="19"/>
        <v>9.1420346115000003E-7</v>
      </c>
      <c r="AG20">
        <f t="shared" si="36"/>
        <v>5258.9646971011298</v>
      </c>
      <c r="AH20">
        <f t="shared" si="37"/>
        <v>-1093849.2143114812</v>
      </c>
      <c r="AJ20">
        <f t="shared" si="20"/>
        <v>18000</v>
      </c>
      <c r="AK20">
        <f t="shared" si="21"/>
        <v>4.4786544818400005</v>
      </c>
      <c r="AL20">
        <v>1</v>
      </c>
      <c r="AM20">
        <f t="shared" si="22"/>
        <v>7.7132382742799996E-3</v>
      </c>
      <c r="AN20">
        <f t="shared" si="38"/>
        <v>17998.963713777863</v>
      </c>
      <c r="AO20">
        <f t="shared" si="39"/>
        <v>-134.35164133264828</v>
      </c>
      <c r="AQ20">
        <f t="shared" si="23"/>
        <v>9964.1291351135915</v>
      </c>
      <c r="AR20">
        <f t="shared" si="24"/>
        <v>-597.8477481068154</v>
      </c>
      <c r="AT20">
        <f t="shared" si="40"/>
        <v>-601554286.18560922</v>
      </c>
      <c r="AU20">
        <f t="shared" si="41"/>
        <v>-10902398885.943676</v>
      </c>
      <c r="AV20">
        <f t="shared" si="42"/>
        <v>-1.6259167587772025</v>
      </c>
      <c r="AW20">
        <f t="shared" si="25"/>
        <v>179271316.13289484</v>
      </c>
      <c r="AX20">
        <f t="shared" si="26"/>
        <v>-19072632.617111165</v>
      </c>
      <c r="AY20">
        <f t="shared" si="50"/>
        <v>-0.10599106513292639</v>
      </c>
      <c r="BA20">
        <f t="shared" si="27"/>
        <v>60.56577918490801</v>
      </c>
      <c r="BB20">
        <f t="shared" si="43"/>
        <v>35.644546176724695</v>
      </c>
      <c r="BC20">
        <f t="shared" si="44"/>
        <v>-1.5199256936442762</v>
      </c>
      <c r="BD20">
        <f t="shared" si="28"/>
        <v>-267.08532751882063</v>
      </c>
      <c r="BF20">
        <f t="shared" si="29"/>
        <v>59.115806738989356</v>
      </c>
      <c r="BG20">
        <f t="shared" si="30"/>
        <v>-87.218741261867592</v>
      </c>
      <c r="BH20">
        <f t="shared" si="45"/>
        <v>92.781258738132408</v>
      </c>
      <c r="BI20">
        <f t="shared" si="46"/>
        <v>92.781258738132408</v>
      </c>
      <c r="BJ20">
        <f t="shared" si="31"/>
        <v>0</v>
      </c>
      <c r="BK20">
        <f t="shared" si="47"/>
        <v>0</v>
      </c>
      <c r="BM20">
        <f t="shared" si="48"/>
        <v>23.471260562264664</v>
      </c>
      <c r="BN20">
        <f t="shared" si="32"/>
        <v>-0.13341374304695186</v>
      </c>
      <c r="BQ20" s="56">
        <f t="shared" si="49"/>
        <v>52.546506977009827</v>
      </c>
      <c r="BR20" s="59"/>
      <c r="BS20" s="59"/>
      <c r="BT20" s="59">
        <v>125.893</v>
      </c>
      <c r="BU20" s="59">
        <v>32.247199999999999</v>
      </c>
      <c r="BV20" s="59">
        <v>-266.37110000000001</v>
      </c>
      <c r="BW20" s="61"/>
      <c r="BY20" s="59"/>
      <c r="BZ20" s="59"/>
      <c r="CA20" s="59"/>
      <c r="CC20" s="59"/>
    </row>
    <row r="21" spans="1:81" x14ac:dyDescent="0.25">
      <c r="A21">
        <f t="shared" si="51"/>
        <v>40</v>
      </c>
      <c r="B21">
        <f t="shared" si="33"/>
        <v>0.04</v>
      </c>
      <c r="C21">
        <f t="shared" si="0"/>
        <v>1.0000000550297543</v>
      </c>
      <c r="D21">
        <f t="shared" si="1"/>
        <v>3.3175217166917306E-4</v>
      </c>
      <c r="F21">
        <f t="shared" si="2"/>
        <v>0.99422932697398492</v>
      </c>
      <c r="G21">
        <f t="shared" si="3"/>
        <v>-3.4365511303011604E-3</v>
      </c>
      <c r="H21">
        <f t="shared" si="4"/>
        <v>-3.4365511303011604E-3</v>
      </c>
      <c r="J21">
        <f t="shared" si="5"/>
        <v>15</v>
      </c>
      <c r="M21">
        <f t="shared" si="6"/>
        <v>45.57701697415704</v>
      </c>
      <c r="N21">
        <f t="shared" si="7"/>
        <v>-1.5707963250000001</v>
      </c>
      <c r="O21">
        <f t="shared" si="8"/>
        <v>1.000021878459624</v>
      </c>
      <c r="P21">
        <f t="shared" si="9"/>
        <v>6.6148410022225041E-3</v>
      </c>
      <c r="Q21">
        <f t="shared" si="10"/>
        <v>1.0000528821970041</v>
      </c>
      <c r="R21">
        <f t="shared" si="11"/>
        <v>1.0283955140917908E-2</v>
      </c>
      <c r="S21">
        <f t="shared" si="12"/>
        <v>0.99999994497024869</v>
      </c>
      <c r="T21">
        <f t="shared" si="13"/>
        <v>-3.3175217166917301E-4</v>
      </c>
      <c r="U21">
        <f t="shared" si="14"/>
        <v>0.99999997907234728</v>
      </c>
      <c r="V21">
        <f t="shared" si="15"/>
        <v>-2.045856925221626E-4</v>
      </c>
      <c r="X21">
        <f t="shared" si="34"/>
        <v>56.647123679217998</v>
      </c>
      <c r="Y21">
        <f t="shared" si="16"/>
        <v>-89.240392073855574</v>
      </c>
      <c r="Z21">
        <f t="shared" si="35"/>
        <v>90.759607926144426</v>
      </c>
      <c r="AC21">
        <v>1</v>
      </c>
      <c r="AD21">
        <f t="shared" si="17"/>
        <v>6.6149374838400006E-3</v>
      </c>
      <c r="AE21">
        <f t="shared" si="18"/>
        <v>-2.4937726775329485E-10</v>
      </c>
      <c r="AF21">
        <f t="shared" si="19"/>
        <v>1.2189379482E-6</v>
      </c>
      <c r="AG21">
        <f t="shared" si="36"/>
        <v>5258.9646008005666</v>
      </c>
      <c r="AH21">
        <f t="shared" si="37"/>
        <v>-820387.38144375652</v>
      </c>
      <c r="AJ21">
        <f t="shared" si="20"/>
        <v>18000</v>
      </c>
      <c r="AK21">
        <f t="shared" si="21"/>
        <v>5.9715393091200006</v>
      </c>
      <c r="AL21">
        <v>1</v>
      </c>
      <c r="AM21">
        <f t="shared" si="22"/>
        <v>1.0284317699040001E-2</v>
      </c>
      <c r="AN21">
        <f t="shared" si="38"/>
        <v>17998.157798622247</v>
      </c>
      <c r="AO21">
        <f t="shared" si="39"/>
        <v>-179.12723348936561</v>
      </c>
      <c r="AQ21">
        <f t="shared" si="23"/>
        <v>9936.4069952305254</v>
      </c>
      <c r="AR21">
        <f t="shared" si="24"/>
        <v>-794.91255961844195</v>
      </c>
      <c r="AT21">
        <f t="shared" si="40"/>
        <v>-599881020.61506307</v>
      </c>
      <c r="AU21">
        <f t="shared" si="41"/>
        <v>-8155883332.7883606</v>
      </c>
      <c r="AV21">
        <f t="shared" si="42"/>
        <v>-1.6442160571974334</v>
      </c>
      <c r="AW21">
        <f t="shared" si="25"/>
        <v>178702269.71376878</v>
      </c>
      <c r="AX21">
        <f t="shared" si="26"/>
        <v>-21316821.466129046</v>
      </c>
      <c r="AY21">
        <f t="shared" si="50"/>
        <v>-0.11872578866971244</v>
      </c>
      <c r="BA21">
        <f t="shared" si="27"/>
        <v>45.440638712485033</v>
      </c>
      <c r="BB21">
        <f t="shared" si="43"/>
        <v>33.148888543565533</v>
      </c>
      <c r="BC21">
        <f t="shared" si="44"/>
        <v>-1.525490268527721</v>
      </c>
      <c r="BD21">
        <f t="shared" si="28"/>
        <v>-267.40415417479085</v>
      </c>
      <c r="BF21">
        <f t="shared" si="29"/>
        <v>56.62044559185982</v>
      </c>
      <c r="BG21">
        <f t="shared" si="30"/>
        <v>-87.58204605156034</v>
      </c>
      <c r="BH21">
        <f t="shared" si="45"/>
        <v>92.41795394843966</v>
      </c>
      <c r="BI21">
        <f t="shared" si="46"/>
        <v>92.41795394843966</v>
      </c>
      <c r="BJ21">
        <f t="shared" si="31"/>
        <v>0</v>
      </c>
      <c r="BK21">
        <f t="shared" si="47"/>
        <v>0</v>
      </c>
      <c r="BM21">
        <f t="shared" si="48"/>
        <v>23.47155704829429</v>
      </c>
      <c r="BN21">
        <f t="shared" si="32"/>
        <v>-0.17789187676949705</v>
      </c>
      <c r="BQ21" s="56">
        <f t="shared" si="49"/>
        <v>50.050849343850672</v>
      </c>
      <c r="BR21" s="59"/>
      <c r="BS21" s="59"/>
      <c r="BT21" s="59">
        <v>128.82499999999999</v>
      </c>
      <c r="BU21" s="59">
        <v>32.3142</v>
      </c>
      <c r="BV21" s="59">
        <v>-268.05959999999999</v>
      </c>
      <c r="BW21" s="61"/>
      <c r="BY21" s="59"/>
      <c r="BZ21" s="59"/>
      <c r="CA21" s="59"/>
      <c r="CC21" s="59"/>
    </row>
    <row r="22" spans="1:81" x14ac:dyDescent="0.25">
      <c r="A22">
        <f t="shared" si="51"/>
        <v>50</v>
      </c>
      <c r="B22">
        <f t="shared" si="33"/>
        <v>0.05</v>
      </c>
      <c r="C22">
        <f t="shared" si="0"/>
        <v>1.0000000859839897</v>
      </c>
      <c r="D22">
        <f t="shared" si="1"/>
        <v>4.1469020602885452E-4</v>
      </c>
      <c r="F22">
        <f t="shared" si="2"/>
        <v>0.99427293217913026</v>
      </c>
      <c r="G22">
        <f t="shared" si="3"/>
        <v>-4.2958820719672143E-3</v>
      </c>
      <c r="H22">
        <f t="shared" si="4"/>
        <v>-4.2958820719672143E-3</v>
      </c>
      <c r="J22">
        <f t="shared" si="5"/>
        <v>15</v>
      </c>
      <c r="M22">
        <f t="shared" si="6"/>
        <v>36.461613579325629</v>
      </c>
      <c r="N22">
        <f t="shared" si="7"/>
        <v>-1.5707963250000001</v>
      </c>
      <c r="O22">
        <f t="shared" si="8"/>
        <v>1.000034184882818</v>
      </c>
      <c r="P22">
        <f t="shared" si="9"/>
        <v>8.2684834169235912E-3</v>
      </c>
      <c r="Q22">
        <f t="shared" si="10"/>
        <v>1.0000826272039778</v>
      </c>
      <c r="R22">
        <f t="shared" si="11"/>
        <v>1.2854689027741903E-2</v>
      </c>
      <c r="S22">
        <f t="shared" si="12"/>
        <v>0.99999991401601773</v>
      </c>
      <c r="T22">
        <f t="shared" si="13"/>
        <v>-4.1469020602885441E-4</v>
      </c>
      <c r="U22">
        <f t="shared" si="14"/>
        <v>0.9999999673005433</v>
      </c>
      <c r="V22">
        <f t="shared" si="15"/>
        <v>-2.5573211364575096E-4</v>
      </c>
      <c r="X22">
        <f t="shared" si="34"/>
        <v>54.709669490363673</v>
      </c>
      <c r="Y22">
        <f t="shared" si="16"/>
        <v>-89.050519650716183</v>
      </c>
      <c r="Z22">
        <f t="shared" si="35"/>
        <v>90.949480349283817</v>
      </c>
      <c r="AC22">
        <v>1</v>
      </c>
      <c r="AD22">
        <f t="shared" si="17"/>
        <v>8.2686718547999999E-3</v>
      </c>
      <c r="AE22">
        <f t="shared" si="18"/>
        <v>-3.8965198086452314E-10</v>
      </c>
      <c r="AF22">
        <f t="shared" si="19"/>
        <v>1.5236724352499998E-6</v>
      </c>
      <c r="AG22">
        <f t="shared" si="36"/>
        <v>5258.9644769855649</v>
      </c>
      <c r="AH22">
        <f t="shared" si="37"/>
        <v>-656310.38931399211</v>
      </c>
      <c r="AJ22">
        <f t="shared" si="20"/>
        <v>18000</v>
      </c>
      <c r="AK22">
        <f t="shared" si="21"/>
        <v>7.4644241363999999</v>
      </c>
      <c r="AL22">
        <v>1</v>
      </c>
      <c r="AM22">
        <f t="shared" si="22"/>
        <v>1.2855397123799999E-2</v>
      </c>
      <c r="AN22">
        <f t="shared" si="38"/>
        <v>17997.121731568979</v>
      </c>
      <c r="AO22">
        <f t="shared" si="39"/>
        <v>-223.89572280829032</v>
      </c>
      <c r="AQ22">
        <f t="shared" si="23"/>
        <v>9900.9900990099013</v>
      </c>
      <c r="AR22">
        <f t="shared" si="24"/>
        <v>-990.09900990099004</v>
      </c>
      <c r="AT22">
        <f t="shared" ref="AT22:AT85" si="52">-AR22*AH22+AG22*AQ22</f>
        <v>-597743311.42983794</v>
      </c>
      <c r="AU22">
        <f t="shared" ref="AU22:AU85" si="53">AQ22*AH22+AG22*AR22</f>
        <v>-6503329561.9969368</v>
      </c>
      <c r="AV22">
        <f t="shared" si="42"/>
        <v>-1.6624522279827807</v>
      </c>
      <c r="AW22">
        <f t="shared" si="25"/>
        <v>177975284.20544973</v>
      </c>
      <c r="AX22">
        <f t="shared" si="26"/>
        <v>-24219711.884785108</v>
      </c>
      <c r="AY22">
        <f t="shared" si="50"/>
        <v>-0.13525385252025562</v>
      </c>
      <c r="BA22">
        <f t="shared" si="27"/>
        <v>36.359530129677324</v>
      </c>
      <c r="BB22">
        <f t="shared" si="43"/>
        <v>31.212365244900205</v>
      </c>
      <c r="BC22">
        <f t="shared" si="44"/>
        <v>-1.5271983754625251</v>
      </c>
      <c r="BD22">
        <f t="shared" si="28"/>
        <v>-267.50202149322399</v>
      </c>
      <c r="BF22">
        <f t="shared" si="29"/>
        <v>54.684303502033693</v>
      </c>
      <c r="BG22">
        <f t="shared" si="30"/>
        <v>-87.724397406876847</v>
      </c>
      <c r="BH22">
        <f t="shared" si="45"/>
        <v>92.275602593123153</v>
      </c>
      <c r="BI22">
        <f t="shared" si="46"/>
        <v>92.275602593123153</v>
      </c>
      <c r="BJ22">
        <f t="shared" si="31"/>
        <v>0</v>
      </c>
      <c r="BK22">
        <f t="shared" si="47"/>
        <v>0</v>
      </c>
      <c r="BM22">
        <f t="shared" si="48"/>
        <v>23.471938257133491</v>
      </c>
      <c r="BN22">
        <f t="shared" si="32"/>
        <v>-0.22237591365287435</v>
      </c>
      <c r="BQ22" s="56">
        <f t="shared" si="49"/>
        <v>48.114326045185337</v>
      </c>
      <c r="BR22" s="59"/>
      <c r="BS22" s="59"/>
      <c r="BT22" s="59">
        <v>131.82599999999999</v>
      </c>
      <c r="BU22" s="59">
        <v>32.155799999999999</v>
      </c>
      <c r="BV22" s="59">
        <v>-263.3605</v>
      </c>
      <c r="BW22" s="61"/>
      <c r="BY22" s="59"/>
      <c r="BZ22" s="59"/>
      <c r="CA22" s="59"/>
      <c r="CC22" s="59"/>
    </row>
    <row r="23" spans="1:81" x14ac:dyDescent="0.25">
      <c r="A23">
        <f t="shared" si="51"/>
        <v>60</v>
      </c>
      <c r="B23">
        <f t="shared" si="33"/>
        <v>0.06</v>
      </c>
      <c r="C23">
        <f t="shared" si="0"/>
        <v>1.0000001238169427</v>
      </c>
      <c r="D23">
        <f t="shared" si="1"/>
        <v>4.9762823468346251E-4</v>
      </c>
      <c r="F23">
        <f t="shared" si="2"/>
        <v>0.99432623221601779</v>
      </c>
      <c r="G23">
        <f t="shared" si="3"/>
        <v>-5.1553418132621502E-3</v>
      </c>
      <c r="H23">
        <f t="shared" si="4"/>
        <v>-5.1553418132621502E-3</v>
      </c>
      <c r="J23">
        <f t="shared" si="5"/>
        <v>15</v>
      </c>
      <c r="M23">
        <f t="shared" si="6"/>
        <v>30.384677982771361</v>
      </c>
      <c r="N23">
        <f t="shared" si="7"/>
        <v>-1.5707963250000001</v>
      </c>
      <c r="O23">
        <f t="shared" si="8"/>
        <v>1.0000492258610618</v>
      </c>
      <c r="P23">
        <f t="shared" si="9"/>
        <v>9.9220806109865372E-3</v>
      </c>
      <c r="Q23">
        <f t="shared" si="10"/>
        <v>1.0001189810111111</v>
      </c>
      <c r="R23">
        <f t="shared" si="11"/>
        <v>1.5425253011945495E-2</v>
      </c>
      <c r="S23">
        <f t="shared" si="12"/>
        <v>0.99999987618307262</v>
      </c>
      <c r="T23">
        <f t="shared" si="13"/>
        <v>-4.976282346834624E-4</v>
      </c>
      <c r="U23">
        <f t="shared" si="14"/>
        <v>0.99999995291278321</v>
      </c>
      <c r="V23">
        <f t="shared" si="15"/>
        <v>-3.0687853343137119E-4</v>
      </c>
      <c r="X23">
        <f t="shared" si="34"/>
        <v>53.126956429022478</v>
      </c>
      <c r="Y23">
        <f t="shared" si="16"/>
        <v>-88.860666932830085</v>
      </c>
      <c r="Z23">
        <f t="shared" si="35"/>
        <v>91.139333067169915</v>
      </c>
      <c r="AC23">
        <v>1</v>
      </c>
      <c r="AD23">
        <f t="shared" si="17"/>
        <v>9.9224062257600009E-3</v>
      </c>
      <c r="AE23">
        <f t="shared" si="18"/>
        <v>-5.6109885244491345E-10</v>
      </c>
      <c r="AF23">
        <f t="shared" si="19"/>
        <v>1.8284069223000001E-6</v>
      </c>
      <c r="AG23">
        <f t="shared" si="36"/>
        <v>5258.964325656123</v>
      </c>
      <c r="AH23">
        <f t="shared" si="37"/>
        <v>-546925.81755319482</v>
      </c>
      <c r="AJ23">
        <f t="shared" si="20"/>
        <v>18000</v>
      </c>
      <c r="AK23">
        <f t="shared" si="21"/>
        <v>8.957308963680001</v>
      </c>
      <c r="AL23">
        <v>1</v>
      </c>
      <c r="AM23">
        <f t="shared" si="22"/>
        <v>1.5426476548559999E-2</v>
      </c>
      <c r="AN23">
        <f t="shared" si="38"/>
        <v>17995.855594769728</v>
      </c>
      <c r="AO23">
        <f t="shared" si="39"/>
        <v>-268.65533534030749</v>
      </c>
      <c r="AQ23">
        <f t="shared" si="23"/>
        <v>9858.0441640378558</v>
      </c>
      <c r="AR23">
        <f t="shared" si="24"/>
        <v>-1182.9652996845425</v>
      </c>
      <c r="AT23">
        <f t="shared" si="52"/>
        <v>-595151161.08761096</v>
      </c>
      <c r="AU23">
        <f t="shared" si="53"/>
        <v>-5397840036.2014351</v>
      </c>
      <c r="AV23">
        <f t="shared" si="42"/>
        <v>-1.6806100507356798</v>
      </c>
      <c r="AW23">
        <f t="shared" si="25"/>
        <v>177093768.2425355</v>
      </c>
      <c r="AX23">
        <f t="shared" si="26"/>
        <v>-27423554.645534031</v>
      </c>
      <c r="AY23">
        <f t="shared" si="50"/>
        <v>-0.15363303995195482</v>
      </c>
      <c r="BA23">
        <f t="shared" si="27"/>
        <v>30.303651353722298</v>
      </c>
      <c r="BB23">
        <f t="shared" si="43"/>
        <v>29.629899215084521</v>
      </c>
      <c r="BC23">
        <f t="shared" si="44"/>
        <v>-1.5269770107837251</v>
      </c>
      <c r="BD23">
        <f t="shared" si="28"/>
        <v>-267.489338231381</v>
      </c>
      <c r="BF23">
        <f t="shared" si="29"/>
        <v>53.102303413254404</v>
      </c>
      <c r="BG23">
        <f t="shared" si="30"/>
        <v>-87.756205561919245</v>
      </c>
      <c r="BH23">
        <f t="shared" si="45"/>
        <v>92.243794438080755</v>
      </c>
      <c r="BI23">
        <f t="shared" si="46"/>
        <v>92.243794438080755</v>
      </c>
      <c r="BJ23">
        <f t="shared" si="31"/>
        <v>0</v>
      </c>
      <c r="BK23">
        <f t="shared" si="47"/>
        <v>0</v>
      </c>
      <c r="BM23">
        <f t="shared" si="48"/>
        <v>23.47240419816988</v>
      </c>
      <c r="BN23">
        <f t="shared" si="32"/>
        <v>-0.26686733053827449</v>
      </c>
      <c r="BQ23" s="56">
        <f t="shared" si="49"/>
        <v>46.531860015369659</v>
      </c>
      <c r="BR23" s="58"/>
      <c r="BS23" s="58"/>
      <c r="BT23" s="58">
        <v>134.89599999999999</v>
      </c>
      <c r="BU23" s="58">
        <v>32.875300000000003</v>
      </c>
      <c r="BV23" s="58">
        <v>-269.46539999999999</v>
      </c>
      <c r="BW23" s="61"/>
      <c r="BY23" s="58"/>
      <c r="BZ23" s="58"/>
      <c r="CA23" s="58"/>
      <c r="CC23" s="58"/>
    </row>
    <row r="24" spans="1:81" x14ac:dyDescent="0.25">
      <c r="A24">
        <f t="shared" si="51"/>
        <v>70</v>
      </c>
      <c r="B24">
        <f t="shared" si="33"/>
        <v>7.0000000000000007E-2</v>
      </c>
      <c r="C24">
        <f t="shared" si="0"/>
        <v>1.0000001685286128</v>
      </c>
      <c r="D24">
        <f t="shared" si="1"/>
        <v>5.8056625649198317E-4</v>
      </c>
      <c r="F24">
        <f t="shared" si="2"/>
        <v>0.99438922995724532</v>
      </c>
      <c r="G24">
        <f t="shared" si="3"/>
        <v>-6.01495614102003E-3</v>
      </c>
      <c r="H24">
        <f t="shared" si="4"/>
        <v>-6.01495614102003E-3</v>
      </c>
      <c r="J24">
        <f t="shared" si="5"/>
        <v>15</v>
      </c>
      <c r="M24">
        <f t="shared" si="6"/>
        <v>26.044009699518309</v>
      </c>
      <c r="N24">
        <f t="shared" si="7"/>
        <v>-1.5707963250000001</v>
      </c>
      <c r="O24">
        <f t="shared" si="8"/>
        <v>1.0000670012709725</v>
      </c>
      <c r="P24">
        <f t="shared" si="9"/>
        <v>1.1575623543548241E-2</v>
      </c>
      <c r="Q24">
        <f t="shared" si="10"/>
        <v>1.0001619428977553</v>
      </c>
      <c r="R24">
        <f t="shared" si="11"/>
        <v>1.7995613142646881E-2</v>
      </c>
      <c r="S24">
        <f t="shared" si="12"/>
        <v>0.99999983147141558</v>
      </c>
      <c r="T24">
        <f t="shared" si="13"/>
        <v>-5.8056625649198306E-4</v>
      </c>
      <c r="U24">
        <f t="shared" si="14"/>
        <v>0.99999993590906777</v>
      </c>
      <c r="V24">
        <f t="shared" si="15"/>
        <v>-3.5802495161142982E-4</v>
      </c>
      <c r="X24">
        <f t="shared" si="34"/>
        <v>51.789098281140902</v>
      </c>
      <c r="Y24">
        <f t="shared" si="16"/>
        <v>-88.670837860904271</v>
      </c>
      <c r="Z24">
        <f t="shared" si="35"/>
        <v>91.329162139095729</v>
      </c>
      <c r="AC24">
        <v>1</v>
      </c>
      <c r="AD24">
        <f t="shared" si="17"/>
        <v>1.157614059672E-2</v>
      </c>
      <c r="AE24">
        <f t="shared" si="18"/>
        <v>-7.637178824944656E-10</v>
      </c>
      <c r="AF24">
        <f t="shared" si="19"/>
        <v>2.1331414093500001E-6</v>
      </c>
      <c r="AG24">
        <f t="shared" si="36"/>
        <v>5258.9641468122491</v>
      </c>
      <c r="AH24">
        <f t="shared" si="37"/>
        <v>-468794.05743179418</v>
      </c>
      <c r="AJ24">
        <f t="shared" si="20"/>
        <v>18000</v>
      </c>
      <c r="AK24">
        <f t="shared" si="21"/>
        <v>10.45019379096</v>
      </c>
      <c r="AL24">
        <v>1</v>
      </c>
      <c r="AM24">
        <f t="shared" si="22"/>
        <v>1.7997555973319999E-2</v>
      </c>
      <c r="AN24">
        <f t="shared" si="38"/>
        <v>17994.359488598904</v>
      </c>
      <c r="AO24">
        <f t="shared" si="39"/>
        <v>-313.40429830914059</v>
      </c>
      <c r="AQ24">
        <f t="shared" si="23"/>
        <v>9807.7677520596299</v>
      </c>
      <c r="AR24">
        <f t="shared" si="24"/>
        <v>-1373.0874852883483</v>
      </c>
      <c r="AT24">
        <f t="shared" si="52"/>
        <v>-592116554.46880078</v>
      </c>
      <c r="AU24">
        <f t="shared" si="53"/>
        <v>-4605044256.6923094</v>
      </c>
      <c r="AV24">
        <f t="shared" si="42"/>
        <v>-1.698674669685031</v>
      </c>
      <c r="AW24">
        <f t="shared" si="25"/>
        <v>176061806.02620193</v>
      </c>
      <c r="AX24">
        <f t="shared" si="26"/>
        <v>-30770204.476848297</v>
      </c>
      <c r="AY24">
        <f t="shared" si="50"/>
        <v>-0.17302184534526205</v>
      </c>
      <c r="BA24">
        <f t="shared" si="27"/>
        <v>25.977420245087163</v>
      </c>
      <c r="BB24">
        <f t="shared" si="43"/>
        <v>28.291920402829291</v>
      </c>
      <c r="BC24">
        <f t="shared" si="44"/>
        <v>-1.5256528243397689</v>
      </c>
      <c r="BD24">
        <f t="shared" si="28"/>
        <v>-267.41346793676718</v>
      </c>
      <c r="BF24">
        <f t="shared" si="29"/>
        <v>51.764875285707646</v>
      </c>
      <c r="BG24">
        <f t="shared" si="30"/>
        <v>-87.724835541735004</v>
      </c>
      <c r="BH24">
        <f t="shared" si="45"/>
        <v>92.275164458264996</v>
      </c>
      <c r="BI24">
        <f t="shared" si="46"/>
        <v>92.275164458264996</v>
      </c>
      <c r="BJ24">
        <f t="shared" si="31"/>
        <v>0</v>
      </c>
      <c r="BK24">
        <f t="shared" si="47"/>
        <v>0</v>
      </c>
      <c r="BM24">
        <f t="shared" si="48"/>
        <v>23.472954882878362</v>
      </c>
      <c r="BN24">
        <f t="shared" si="32"/>
        <v>-0.31136760496783322</v>
      </c>
      <c r="BQ24" s="56">
        <f t="shared" si="49"/>
        <v>45.193881203114429</v>
      </c>
      <c r="BR24" s="58"/>
      <c r="BS24" s="58"/>
      <c r="BT24" s="58">
        <v>138.03800000000001</v>
      </c>
      <c r="BU24" s="58">
        <v>32.538699999999999</v>
      </c>
      <c r="BV24" s="58">
        <v>-267.95069999999998</v>
      </c>
      <c r="BW24" s="61"/>
      <c r="BY24" s="58"/>
      <c r="BZ24" s="58"/>
      <c r="CA24" s="58"/>
      <c r="CC24" s="58"/>
    </row>
    <row r="25" spans="1:81" x14ac:dyDescent="0.25">
      <c r="A25">
        <f t="shared" si="51"/>
        <v>80</v>
      </c>
      <c r="B25">
        <f t="shared" si="33"/>
        <v>0.08</v>
      </c>
      <c r="C25">
        <f t="shared" si="0"/>
        <v>1.0000002201189988</v>
      </c>
      <c r="D25">
        <f t="shared" si="1"/>
        <v>6.635042703134037E-4</v>
      </c>
      <c r="F25">
        <f t="shared" si="2"/>
        <v>0.99446192879852446</v>
      </c>
      <c r="G25">
        <f t="shared" si="3"/>
        <v>-6.8747508567605442E-3</v>
      </c>
      <c r="H25">
        <f t="shared" si="4"/>
        <v>-6.8747508567605442E-3</v>
      </c>
      <c r="J25">
        <f t="shared" si="5"/>
        <v>15</v>
      </c>
      <c r="M25">
        <f t="shared" si="6"/>
        <v>22.78850848707852</v>
      </c>
      <c r="N25">
        <f t="shared" si="7"/>
        <v>-1.5707963250000001</v>
      </c>
      <c r="O25">
        <f t="shared" si="8"/>
        <v>1.0000875109667455</v>
      </c>
      <c r="P25">
        <f t="shared" si="9"/>
        <v>1.3229103175525822E-2</v>
      </c>
      <c r="Q25">
        <f t="shared" si="10"/>
        <v>1.000211512012404</v>
      </c>
      <c r="R25">
        <f t="shared" si="11"/>
        <v>2.0565735485123044E-2</v>
      </c>
      <c r="S25">
        <f t="shared" si="12"/>
        <v>0.9999997798810496</v>
      </c>
      <c r="T25">
        <f t="shared" si="13"/>
        <v>-6.6350427031340359E-4</v>
      </c>
      <c r="U25">
        <f t="shared" si="14"/>
        <v>0.999999916289397</v>
      </c>
      <c r="V25">
        <f t="shared" si="15"/>
        <v>-4.0917136791833328E-4</v>
      </c>
      <c r="X25">
        <f t="shared" si="34"/>
        <v>50.630502767678855</v>
      </c>
      <c r="Y25">
        <f t="shared" si="16"/>
        <v>-88.481036375459254</v>
      </c>
      <c r="Z25">
        <f t="shared" si="35"/>
        <v>91.518963624540746</v>
      </c>
      <c r="AC25">
        <v>1</v>
      </c>
      <c r="AD25">
        <f t="shared" si="17"/>
        <v>1.3229874967680001E-2</v>
      </c>
      <c r="AE25">
        <f t="shared" si="18"/>
        <v>-9.9750907101317941E-10</v>
      </c>
      <c r="AF25">
        <f t="shared" si="19"/>
        <v>2.4378758964000001E-6</v>
      </c>
      <c r="AG25">
        <f t="shared" si="36"/>
        <v>5258.9639404539475</v>
      </c>
      <c r="AH25">
        <f t="shared" si="37"/>
        <v>-410195.30458500271</v>
      </c>
      <c r="AJ25">
        <f t="shared" si="20"/>
        <v>18000</v>
      </c>
      <c r="AK25">
        <f t="shared" si="21"/>
        <v>11.943078618240001</v>
      </c>
      <c r="AL25">
        <v>1</v>
      </c>
      <c r="AM25">
        <f t="shared" si="22"/>
        <v>2.0568635398080001E-2</v>
      </c>
      <c r="AN25">
        <f t="shared" si="38"/>
        <v>17992.633531633779</v>
      </c>
      <c r="AO25">
        <f t="shared" si="39"/>
        <v>-358.14084034520369</v>
      </c>
      <c r="AQ25">
        <f t="shared" si="23"/>
        <v>9750.3900156006239</v>
      </c>
      <c r="AR25">
        <f t="shared" si="24"/>
        <v>-1560.0624024960998</v>
      </c>
      <c r="AT25">
        <f t="shared" si="52"/>
        <v>-588653322.86609292</v>
      </c>
      <c r="AU25">
        <f t="shared" si="53"/>
        <v>-4007768514.191452</v>
      </c>
      <c r="AV25">
        <f t="shared" si="42"/>
        <v>-1.7166316571736904</v>
      </c>
      <c r="AW25">
        <f t="shared" si="25"/>
        <v>174884110.97297513</v>
      </c>
      <c r="AX25">
        <f t="shared" si="26"/>
        <v>-34176657.284642078</v>
      </c>
      <c r="AY25">
        <f t="shared" si="50"/>
        <v>-0.19299229001899079</v>
      </c>
      <c r="BA25">
        <f t="shared" si="27"/>
        <v>22.732564488652354</v>
      </c>
      <c r="BB25">
        <f t="shared" si="43"/>
        <v>27.132968635702127</v>
      </c>
      <c r="BC25">
        <f t="shared" si="44"/>
        <v>-1.5236393671546995</v>
      </c>
      <c r="BD25">
        <f t="shared" si="28"/>
        <v>-267.29810533770058</v>
      </c>
      <c r="BF25">
        <f t="shared" si="29"/>
        <v>50.606558960523984</v>
      </c>
      <c r="BG25">
        <f t="shared" si="30"/>
        <v>-87.653983553025682</v>
      </c>
      <c r="BH25">
        <f t="shared" si="45"/>
        <v>92.346016446974318</v>
      </c>
      <c r="BI25">
        <f t="shared" si="46"/>
        <v>92.346016446974318</v>
      </c>
      <c r="BJ25">
        <f t="shared" si="31"/>
        <v>0</v>
      </c>
      <c r="BK25">
        <f t="shared" si="47"/>
        <v>0</v>
      </c>
      <c r="BM25">
        <f t="shared" si="48"/>
        <v>23.473590324821853</v>
      </c>
      <c r="BN25">
        <f t="shared" si="32"/>
        <v>-0.35587821532511077</v>
      </c>
      <c r="BQ25" s="56">
        <f t="shared" si="49"/>
        <v>44.034929435987266</v>
      </c>
      <c r="BR25" s="58"/>
      <c r="BS25" s="58"/>
      <c r="BT25" s="58">
        <v>141.25399999999999</v>
      </c>
      <c r="BU25" s="58">
        <v>32.377000000000002</v>
      </c>
      <c r="BV25" s="58">
        <v>-263.11430000000001</v>
      </c>
      <c r="BW25" s="61"/>
      <c r="BY25" s="58"/>
      <c r="BZ25" s="58"/>
      <c r="CA25" s="58"/>
      <c r="CC25" s="58"/>
    </row>
    <row r="26" spans="1:81" x14ac:dyDescent="0.25">
      <c r="A26">
        <f t="shared" si="51"/>
        <v>90</v>
      </c>
      <c r="B26">
        <f t="shared" si="33"/>
        <v>0.09</v>
      </c>
      <c r="C26">
        <f t="shared" si="0"/>
        <v>1.0000002785880997</v>
      </c>
      <c r="D26">
        <f t="shared" si="1"/>
        <v>7.4644227500671146E-4</v>
      </c>
      <c r="F26">
        <f t="shared" si="2"/>
        <v>0.9945443326590927</v>
      </c>
      <c r="G26">
        <f t="shared" si="3"/>
        <v>-7.7347517791436001E-3</v>
      </c>
      <c r="H26">
        <f t="shared" si="4"/>
        <v>-7.7347517791436001E-3</v>
      </c>
      <c r="J26">
        <f t="shared" si="5"/>
        <v>15</v>
      </c>
      <c r="M26">
        <f t="shared" si="6"/>
        <v>20.25645198851424</v>
      </c>
      <c r="N26">
        <f t="shared" si="7"/>
        <v>-1.5707963250000001</v>
      </c>
      <c r="O26">
        <f t="shared" si="8"/>
        <v>1.000110754780162</v>
      </c>
      <c r="P26">
        <f t="shared" si="9"/>
        <v>1.4882510469912937E-2</v>
      </c>
      <c r="Q26">
        <f t="shared" si="10"/>
        <v>1.0002676873727765</v>
      </c>
      <c r="R26">
        <f t="shared" si="11"/>
        <v>2.3135586123494811E-2</v>
      </c>
      <c r="S26">
        <f t="shared" si="12"/>
        <v>0.9999997214119779</v>
      </c>
      <c r="T26">
        <f t="shared" si="13"/>
        <v>-7.4644227500671124E-4</v>
      </c>
      <c r="U26">
        <f t="shared" si="14"/>
        <v>0.99999989405377165</v>
      </c>
      <c r="V26">
        <f t="shared" si="15"/>
        <v>-4.6031778208448823E-4</v>
      </c>
      <c r="X26">
        <f t="shared" si="34"/>
        <v>49.608861521855189</v>
      </c>
      <c r="Y26">
        <f t="shared" si="16"/>
        <v>-88.291266416799047</v>
      </c>
      <c r="Z26">
        <f t="shared" si="35"/>
        <v>91.708733583200953</v>
      </c>
      <c r="AC26">
        <v>1</v>
      </c>
      <c r="AD26">
        <f t="shared" si="17"/>
        <v>1.488360933864E-2</v>
      </c>
      <c r="AE26">
        <f t="shared" si="18"/>
        <v>-1.2624724180010549E-9</v>
      </c>
      <c r="AF26">
        <f t="shared" si="19"/>
        <v>2.7426103834500001E-6</v>
      </c>
      <c r="AG26">
        <f t="shared" si="36"/>
        <v>5258.9637065812276</v>
      </c>
      <c r="AH26">
        <f t="shared" si="37"/>
        <v>-364618.55658793682</v>
      </c>
      <c r="AJ26">
        <f t="shared" si="20"/>
        <v>18000</v>
      </c>
      <c r="AK26">
        <f t="shared" si="21"/>
        <v>13.435963445520001</v>
      </c>
      <c r="AL26">
        <v>1</v>
      </c>
      <c r="AM26">
        <f t="shared" si="22"/>
        <v>2.313971482284E-2</v>
      </c>
      <c r="AN26">
        <f t="shared" si="38"/>
        <v>17990.677860631</v>
      </c>
      <c r="AO26">
        <f t="shared" si="39"/>
        <v>-402.86319171906263</v>
      </c>
      <c r="AQ26">
        <f t="shared" si="23"/>
        <v>9686.1681518791174</v>
      </c>
      <c r="AR26">
        <f t="shared" si="24"/>
        <v>-1743.510267338241</v>
      </c>
      <c r="AT26">
        <f t="shared" si="52"/>
        <v>-584776990.30654204</v>
      </c>
      <c r="AU26">
        <f t="shared" si="53"/>
        <v>-3540925707.6241913</v>
      </c>
      <c r="AV26">
        <f t="shared" si="42"/>
        <v>-1.7344670723382656</v>
      </c>
      <c r="AW26">
        <f t="shared" si="25"/>
        <v>173565973.3425951</v>
      </c>
      <c r="AX26">
        <f t="shared" si="26"/>
        <v>-37593596.008697644</v>
      </c>
      <c r="AY26">
        <f t="shared" si="50"/>
        <v>-0.2133005952806854</v>
      </c>
      <c r="BA26">
        <f t="shared" si="27"/>
        <v>20.208772421178747</v>
      </c>
      <c r="BB26">
        <f t="shared" si="43"/>
        <v>26.110798663279546</v>
      </c>
      <c r="BC26">
        <f t="shared" si="44"/>
        <v>-1.5211664770575801</v>
      </c>
      <c r="BD26">
        <f t="shared" si="28"/>
        <v>-267.15641917177402</v>
      </c>
      <c r="BF26">
        <f t="shared" si="29"/>
        <v>49.585109202931633</v>
      </c>
      <c r="BG26">
        <f t="shared" si="30"/>
        <v>-87.556819812749765</v>
      </c>
      <c r="BH26">
        <f t="shared" si="45"/>
        <v>92.443180187250235</v>
      </c>
      <c r="BI26">
        <f t="shared" si="46"/>
        <v>92.443180187250235</v>
      </c>
      <c r="BJ26">
        <f t="shared" si="31"/>
        <v>0</v>
      </c>
      <c r="BK26">
        <f t="shared" si="47"/>
        <v>0</v>
      </c>
      <c r="BM26">
        <f t="shared" si="48"/>
        <v>23.474310539652091</v>
      </c>
      <c r="BN26">
        <f t="shared" si="32"/>
        <v>-0.40040064097572919</v>
      </c>
      <c r="BQ26" s="56">
        <f t="shared" si="49"/>
        <v>43.012759463564684</v>
      </c>
      <c r="BR26" s="58"/>
      <c r="BS26" s="58"/>
      <c r="BT26" s="58">
        <v>144.54400000000001</v>
      </c>
      <c r="BU26" s="58">
        <v>31.499099999999999</v>
      </c>
      <c r="BV26" s="58">
        <v>-266.2885</v>
      </c>
      <c r="BW26" s="61"/>
      <c r="BY26" s="58"/>
      <c r="BZ26" s="58"/>
      <c r="CA26" s="58"/>
      <c r="CC26" s="58"/>
    </row>
    <row r="27" spans="1:81" x14ac:dyDescent="0.25">
      <c r="A27">
        <f t="shared" si="51"/>
        <v>100</v>
      </c>
      <c r="B27">
        <f t="shared" si="33"/>
        <v>0.1</v>
      </c>
      <c r="C27">
        <f t="shared" si="0"/>
        <v>1.0000003439359142</v>
      </c>
      <c r="D27">
        <f t="shared" si="1"/>
        <v>8.2938026943089481E-4</v>
      </c>
      <c r="F27">
        <f t="shared" si="2"/>
        <v>0.9946364459821887</v>
      </c>
      <c r="G27">
        <f t="shared" si="3"/>
        <v>-8.5949847464271457E-3</v>
      </c>
      <c r="H27">
        <f t="shared" si="4"/>
        <v>-8.5949847464271457E-3</v>
      </c>
      <c r="J27">
        <f t="shared" si="5"/>
        <v>15</v>
      </c>
      <c r="M27">
        <f t="shared" si="6"/>
        <v>18.230806789662815</v>
      </c>
      <c r="N27">
        <f t="shared" si="7"/>
        <v>-1.5707963250000001</v>
      </c>
      <c r="O27">
        <f t="shared" si="8"/>
        <v>1.0001367325205937</v>
      </c>
      <c r="P27">
        <f t="shared" si="9"/>
        <v>1.653583639207595E-2</v>
      </c>
      <c r="Q27">
        <f t="shared" si="10"/>
        <v>1.000330467865916</v>
      </c>
      <c r="R27">
        <f t="shared" si="11"/>
        <v>2.5705131163408119E-2</v>
      </c>
      <c r="S27">
        <f t="shared" si="12"/>
        <v>0.99999965606420405</v>
      </c>
      <c r="T27">
        <f t="shared" si="13"/>
        <v>-8.2938026943089459E-4</v>
      </c>
      <c r="U27">
        <f t="shared" si="14"/>
        <v>0.99999986920219208</v>
      </c>
      <c r="V27">
        <f t="shared" si="15"/>
        <v>-5.1146419384230136E-4</v>
      </c>
      <c r="X27">
        <f t="shared" si="34"/>
        <v>48.695286685902204</v>
      </c>
      <c r="Y27">
        <f t="shared" si="16"/>
        <v>-88.101531924981217</v>
      </c>
      <c r="Z27">
        <f t="shared" si="35"/>
        <v>91.898468075018783</v>
      </c>
      <c r="AC27">
        <v>1</v>
      </c>
      <c r="AD27">
        <f t="shared" si="17"/>
        <v>1.65373437096E-2</v>
      </c>
      <c r="AE27">
        <f t="shared" si="18"/>
        <v>-1.5586079234580926E-9</v>
      </c>
      <c r="AF27">
        <f t="shared" si="19"/>
        <v>3.0473448704999997E-6</v>
      </c>
      <c r="AG27">
        <f t="shared" si="36"/>
        <v>5258.9634451940938</v>
      </c>
      <c r="AH27">
        <f t="shared" si="37"/>
        <v>-328157.21198566421</v>
      </c>
      <c r="AJ27">
        <f t="shared" si="20"/>
        <v>18000</v>
      </c>
      <c r="AK27">
        <f t="shared" si="21"/>
        <v>14.9288482728</v>
      </c>
      <c r="AL27">
        <v>1</v>
      </c>
      <c r="AM27">
        <f t="shared" si="22"/>
        <v>2.5710794247599998E-2</v>
      </c>
      <c r="AN27">
        <f t="shared" si="38"/>
        <v>17988.492630499524</v>
      </c>
      <c r="AO27">
        <f t="shared" si="39"/>
        <v>-447.56958457444205</v>
      </c>
      <c r="AQ27">
        <f t="shared" si="23"/>
        <v>9615.3846153846152</v>
      </c>
      <c r="AR27">
        <f t="shared" si="24"/>
        <v>-1923.0769230769231</v>
      </c>
      <c r="AT27">
        <f t="shared" si="52"/>
        <v>-580504605.3071034</v>
      </c>
      <c r="AU27">
        <f t="shared" si="53"/>
        <v>-3165471198.7952213</v>
      </c>
      <c r="AV27">
        <f t="shared" si="42"/>
        <v>-1.7521675144465436</v>
      </c>
      <c r="AW27">
        <f t="shared" si="25"/>
        <v>172113202.90171704</v>
      </c>
      <c r="AX27">
        <f t="shared" si="26"/>
        <v>-40988833.78587348</v>
      </c>
      <c r="AY27">
        <f t="shared" si="50"/>
        <v>-0.23379541396795836</v>
      </c>
      <c r="BA27">
        <f t="shared" si="27"/>
        <v>18.189794528036149</v>
      </c>
      <c r="BB27">
        <f t="shared" si="43"/>
        <v>25.196555865993055</v>
      </c>
      <c r="BC27">
        <f t="shared" si="44"/>
        <v>-1.5183721004785853</v>
      </c>
      <c r="BD27">
        <f t="shared" si="28"/>
        <v>-266.99631318724448</v>
      </c>
      <c r="BF27">
        <f t="shared" si="29"/>
        <v>48.671671411103659</v>
      </c>
      <c r="BG27">
        <f t="shared" si="30"/>
        <v>-87.441249549652667</v>
      </c>
      <c r="BH27">
        <f t="shared" si="45"/>
        <v>92.558750450347333</v>
      </c>
      <c r="BI27">
        <f t="shared" si="46"/>
        <v>92.558750450347333</v>
      </c>
      <c r="BJ27">
        <f t="shared" si="31"/>
        <v>0</v>
      </c>
      <c r="BK27">
        <f t="shared" si="47"/>
        <v>0</v>
      </c>
      <c r="BM27">
        <f t="shared" si="48"/>
        <v>23.475115545110611</v>
      </c>
      <c r="BN27">
        <f t="shared" si="32"/>
        <v>-0.44493636240819606</v>
      </c>
      <c r="BQ27" s="56">
        <f t="shared" si="49"/>
        <v>42.098516666278194</v>
      </c>
      <c r="BR27" s="58"/>
      <c r="BS27" s="58"/>
      <c r="BT27" s="58">
        <v>147.911</v>
      </c>
      <c r="BU27" s="58">
        <v>31.4819</v>
      </c>
      <c r="BV27" s="58">
        <v>-266.34629999999999</v>
      </c>
      <c r="BW27" s="61"/>
      <c r="BY27" s="58"/>
      <c r="BZ27" s="58"/>
      <c r="CA27" s="58"/>
      <c r="CC27" s="58"/>
    </row>
    <row r="28" spans="1:81" x14ac:dyDescent="0.25">
      <c r="A28">
        <f t="shared" si="51"/>
        <v>200</v>
      </c>
      <c r="B28">
        <f t="shared" si="33"/>
        <v>0.2</v>
      </c>
      <c r="C28">
        <f t="shared" si="0"/>
        <v>1.0000013757429473</v>
      </c>
      <c r="D28">
        <f t="shared" si="1"/>
        <v>1.6587593978490416E-3</v>
      </c>
      <c r="F28">
        <f t="shared" si="2"/>
        <v>0.99609295309690615</v>
      </c>
      <c r="G28">
        <f t="shared" si="3"/>
        <v>-1.7215780260174372E-2</v>
      </c>
      <c r="H28">
        <f t="shared" si="4"/>
        <v>-1.7215780260174372E-2</v>
      </c>
      <c r="J28">
        <f t="shared" si="5"/>
        <v>15</v>
      </c>
      <c r="M28">
        <f t="shared" si="6"/>
        <v>9.1154033948314073</v>
      </c>
      <c r="N28">
        <f t="shared" si="7"/>
        <v>-1.5707963250000001</v>
      </c>
      <c r="O28">
        <f t="shared" si="8"/>
        <v>1.0005468179689934</v>
      </c>
      <c r="P28">
        <f t="shared" si="9"/>
        <v>3.3062634810254281E-2</v>
      </c>
      <c r="Q28">
        <f t="shared" si="10"/>
        <v>1.0013212170744059</v>
      </c>
      <c r="R28">
        <f t="shared" si="11"/>
        <v>5.1376337623165597E-2</v>
      </c>
      <c r="S28">
        <f t="shared" si="12"/>
        <v>0.99999862425894537</v>
      </c>
      <c r="T28">
        <f t="shared" si="13"/>
        <v>-1.6587593978490411E-3</v>
      </c>
      <c r="U28">
        <f t="shared" si="14"/>
        <v>0.9999994768090763</v>
      </c>
      <c r="V28">
        <f t="shared" si="15"/>
        <v>-1.0229281200911553E-3</v>
      </c>
      <c r="X28">
        <f t="shared" si="34"/>
        <v>42.699552519268174</v>
      </c>
      <c r="Y28">
        <f t="shared" si="16"/>
        <v>-86.207004262768493</v>
      </c>
      <c r="Z28">
        <f t="shared" si="35"/>
        <v>93.792995737231507</v>
      </c>
      <c r="AC28">
        <v>1</v>
      </c>
      <c r="AD28">
        <f t="shared" si="17"/>
        <v>3.30746874192E-2</v>
      </c>
      <c r="AE28">
        <f t="shared" si="18"/>
        <v>-6.2344316938323702E-9</v>
      </c>
      <c r="AF28">
        <f t="shared" si="19"/>
        <v>6.0946897409999994E-6</v>
      </c>
      <c r="AG28">
        <f t="shared" si="36"/>
        <v>5258.9593180322581</v>
      </c>
      <c r="AH28">
        <f t="shared" si="37"/>
        <v>-164082.64064621055</v>
      </c>
      <c r="AJ28">
        <f t="shared" si="20"/>
        <v>18000</v>
      </c>
      <c r="AK28">
        <f t="shared" si="21"/>
        <v>29.8576965456</v>
      </c>
      <c r="AL28">
        <v>1</v>
      </c>
      <c r="AM28">
        <f t="shared" si="22"/>
        <v>5.1421588495199996E-2</v>
      </c>
      <c r="AN28">
        <f t="shared" si="38"/>
        <v>17954.061563927553</v>
      </c>
      <c r="AO28">
        <f t="shared" si="39"/>
        <v>-893.36866901216945</v>
      </c>
      <c r="AQ28">
        <f t="shared" si="23"/>
        <v>8620.689655172413</v>
      </c>
      <c r="AR28">
        <f t="shared" si="24"/>
        <v>-3448.2758620689651</v>
      </c>
      <c r="AT28">
        <f t="shared" si="52"/>
        <v>-520466352.93493062</v>
      </c>
      <c r="AU28">
        <f t="shared" si="53"/>
        <v>-1432639865.2881331</v>
      </c>
      <c r="AV28">
        <f t="shared" si="42"/>
        <v>-1.9192629972170983</v>
      </c>
      <c r="AW28">
        <f t="shared" si="25"/>
        <v>151703446.6664266</v>
      </c>
      <c r="AX28">
        <f t="shared" si="26"/>
        <v>-70658083.453629509</v>
      </c>
      <c r="AY28">
        <f t="shared" si="50"/>
        <v>-0.4358860922375572</v>
      </c>
      <c r="BA28">
        <f t="shared" si="27"/>
        <v>9.1080869591850817</v>
      </c>
      <c r="BB28">
        <f t="shared" si="43"/>
        <v>19.188543367526897</v>
      </c>
      <c r="BC28">
        <f t="shared" si="44"/>
        <v>-1.4833769049795411</v>
      </c>
      <c r="BD28">
        <f t="shared" si="28"/>
        <v>-264.99123617962289</v>
      </c>
      <c r="BF28">
        <f t="shared" si="29"/>
        <v>42.676377851666359</v>
      </c>
      <c r="BG28">
        <f t="shared" si="30"/>
        <v>-85.882587817849625</v>
      </c>
      <c r="BH28">
        <f t="shared" si="45"/>
        <v>94.117412182150375</v>
      </c>
      <c r="BI28">
        <f t="shared" si="46"/>
        <v>94.117412182150375</v>
      </c>
      <c r="BJ28">
        <f t="shared" si="31"/>
        <v>0</v>
      </c>
      <c r="BK28">
        <f t="shared" si="47"/>
        <v>0</v>
      </c>
      <c r="BM28">
        <f t="shared" si="48"/>
        <v>23.487834484139462</v>
      </c>
      <c r="BN28">
        <f t="shared" si="32"/>
        <v>-0.89135163822673169</v>
      </c>
      <c r="BQ28" s="56">
        <f t="shared" si="49"/>
        <v>36.090504167812028</v>
      </c>
      <c r="BR28" s="58"/>
      <c r="BS28" s="58"/>
      <c r="BT28" s="58">
        <v>151.35599999999999</v>
      </c>
      <c r="BU28" s="58">
        <v>31.0519</v>
      </c>
      <c r="BV28" s="58">
        <v>-267.0283</v>
      </c>
      <c r="BW28" s="61"/>
      <c r="BY28" s="58"/>
      <c r="BZ28" s="58"/>
      <c r="CA28" s="58"/>
      <c r="CC28" s="58"/>
    </row>
    <row r="29" spans="1:81" x14ac:dyDescent="0.25">
      <c r="A29">
        <f t="shared" si="51"/>
        <v>300</v>
      </c>
      <c r="B29">
        <f t="shared" si="33"/>
        <v>0.3</v>
      </c>
      <c r="C29">
        <f t="shared" si="0"/>
        <v>1.0000030954189696</v>
      </c>
      <c r="D29">
        <f t="shared" si="1"/>
        <v>2.4881362442511104E-3</v>
      </c>
      <c r="F29">
        <f t="shared" si="2"/>
        <v>0.99852921374353143</v>
      </c>
      <c r="G29">
        <f t="shared" si="3"/>
        <v>-2.5888443325427973E-2</v>
      </c>
      <c r="H29">
        <f t="shared" si="4"/>
        <v>-2.5888443325427973E-2</v>
      </c>
      <c r="J29">
        <f t="shared" si="5"/>
        <v>15</v>
      </c>
      <c r="M29">
        <f t="shared" si="6"/>
        <v>6.0769355965542724</v>
      </c>
      <c r="N29">
        <f t="shared" si="7"/>
        <v>-1.5707963250000001</v>
      </c>
      <c r="O29">
        <f t="shared" si="8"/>
        <v>1.0012299204641883</v>
      </c>
      <c r="P29">
        <f t="shared" si="9"/>
        <v>4.9571386884835908E-2</v>
      </c>
      <c r="Q29">
        <f t="shared" si="10"/>
        <v>1.0029702909197171</v>
      </c>
      <c r="R29">
        <f t="shared" si="11"/>
        <v>7.6979962545459524E-2</v>
      </c>
      <c r="S29">
        <f t="shared" si="12"/>
        <v>0.99999690459061197</v>
      </c>
      <c r="T29">
        <f t="shared" si="13"/>
        <v>-2.48813624425111E-3</v>
      </c>
      <c r="U29">
        <f t="shared" si="14"/>
        <v>0.99999882282157615</v>
      </c>
      <c r="V29">
        <f t="shared" si="15"/>
        <v>-1.5343915111539542E-3</v>
      </c>
      <c r="X29">
        <f t="shared" si="34"/>
        <v>39.219160907330853</v>
      </c>
      <c r="Y29">
        <f t="shared" si="16"/>
        <v>-84.320354477889268</v>
      </c>
      <c r="Z29">
        <f t="shared" si="35"/>
        <v>95.679645522110732</v>
      </c>
      <c r="AC29">
        <v>1</v>
      </c>
      <c r="AD29">
        <f t="shared" si="17"/>
        <v>4.9612031128800006E-2</v>
      </c>
      <c r="AE29">
        <f t="shared" si="18"/>
        <v>-1.4027471311122835E-8</v>
      </c>
      <c r="AF29">
        <f t="shared" si="19"/>
        <v>9.1420346114999995E-6</v>
      </c>
      <c r="AG29">
        <f t="shared" si="36"/>
        <v>5258.9524394435957</v>
      </c>
      <c r="AH29">
        <f t="shared" si="37"/>
        <v>-109392.91003629022</v>
      </c>
      <c r="AJ29">
        <f t="shared" si="20"/>
        <v>18000</v>
      </c>
      <c r="AK29">
        <f t="shared" si="21"/>
        <v>44.786544818400003</v>
      </c>
      <c r="AL29">
        <v>1</v>
      </c>
      <c r="AM29">
        <f t="shared" si="22"/>
        <v>7.7132382742800001E-2</v>
      </c>
      <c r="AN29">
        <f t="shared" si="38"/>
        <v>17896.978131266289</v>
      </c>
      <c r="AO29">
        <f t="shared" si="39"/>
        <v>-1335.650022341953</v>
      </c>
      <c r="AQ29">
        <f t="shared" si="23"/>
        <v>7352.9411764705892</v>
      </c>
      <c r="AR29">
        <f t="shared" si="24"/>
        <v>-4411.7647058823532</v>
      </c>
      <c r="AT29">
        <f t="shared" si="52"/>
        <v>-443947011.63478339</v>
      </c>
      <c r="AU29">
        <f t="shared" si="53"/>
        <v>-827560893.38203228</v>
      </c>
      <c r="AV29">
        <f t="shared" si="42"/>
        <v>-2.0631788316917987</v>
      </c>
      <c r="AW29">
        <f t="shared" si="25"/>
        <v>125710484.56271283</v>
      </c>
      <c r="AX29">
        <f t="shared" si="26"/>
        <v>-89475660.133846134</v>
      </c>
      <c r="AY29">
        <f t="shared" si="50"/>
        <v>-0.61857487343574902</v>
      </c>
      <c r="BA29">
        <f t="shared" si="27"/>
        <v>6.0862562817949737</v>
      </c>
      <c r="BB29">
        <f t="shared" si="43"/>
        <v>15.687004716032757</v>
      </c>
      <c r="BC29">
        <f t="shared" si="44"/>
        <v>-1.4446039582560497</v>
      </c>
      <c r="BD29">
        <f t="shared" si="28"/>
        <v>-262.76970997054275</v>
      </c>
      <c r="BF29">
        <f t="shared" si="29"/>
        <v>39.196072292534268</v>
      </c>
      <c r="BG29">
        <f t="shared" si="30"/>
        <v>-84.110448807136322</v>
      </c>
      <c r="BH29">
        <f t="shared" si="45"/>
        <v>95.889551192863678</v>
      </c>
      <c r="BI29">
        <f t="shared" si="46"/>
        <v>95.889551192863678</v>
      </c>
      <c r="BJ29">
        <f t="shared" si="31"/>
        <v>0</v>
      </c>
      <c r="BK29">
        <f t="shared" si="47"/>
        <v>0</v>
      </c>
      <c r="BM29">
        <f t="shared" si="48"/>
        <v>23.509067576501511</v>
      </c>
      <c r="BN29">
        <f t="shared" si="32"/>
        <v>-1.3407388365935458</v>
      </c>
      <c r="BQ29" s="56">
        <f t="shared" si="49"/>
        <v>32.588965516317892</v>
      </c>
      <c r="BR29" s="58"/>
      <c r="BS29" s="58"/>
      <c r="BT29" s="58">
        <v>154.88200000000001</v>
      </c>
      <c r="BU29" s="58">
        <v>31.248699999999999</v>
      </c>
      <c r="BV29" s="58">
        <v>-260.69729999999998</v>
      </c>
      <c r="BW29" s="61"/>
      <c r="BY29" s="58"/>
      <c r="BZ29" s="58"/>
      <c r="CA29" s="58"/>
      <c r="CC29" s="58"/>
    </row>
    <row r="30" spans="1:81" x14ac:dyDescent="0.25">
      <c r="A30">
        <f t="shared" si="51"/>
        <v>400</v>
      </c>
      <c r="B30">
        <f t="shared" si="33"/>
        <v>0.4</v>
      </c>
      <c r="C30">
        <f t="shared" si="0"/>
        <v>1.0000055029604329</v>
      </c>
      <c r="D30">
        <f t="shared" si="1"/>
        <v>3.3175096676526083E-3</v>
      </c>
      <c r="F30">
        <f t="shared" si="2"/>
        <v>1.001958462995199</v>
      </c>
      <c r="G30">
        <f t="shared" si="3"/>
        <v>-3.4639527418764533E-2</v>
      </c>
      <c r="H30">
        <f t="shared" si="4"/>
        <v>-3.4639527418764533E-2</v>
      </c>
      <c r="J30">
        <f t="shared" si="5"/>
        <v>15</v>
      </c>
      <c r="M30">
        <f t="shared" si="6"/>
        <v>4.5577016974157036</v>
      </c>
      <c r="N30">
        <f t="shared" si="7"/>
        <v>-1.5707963250000001</v>
      </c>
      <c r="O30">
        <f t="shared" si="8"/>
        <v>1.0021854817305582</v>
      </c>
      <c r="P30">
        <f t="shared" si="9"/>
        <v>6.6053143212513155E-2</v>
      </c>
      <c r="Q30">
        <f t="shared" si="10"/>
        <v>1.0052744496173562</v>
      </c>
      <c r="R30">
        <f t="shared" si="11"/>
        <v>0.10248287957033075</v>
      </c>
      <c r="S30">
        <f t="shared" si="12"/>
        <v>0.99999449706984955</v>
      </c>
      <c r="T30">
        <f t="shared" si="13"/>
        <v>-3.3175096676526074E-3</v>
      </c>
      <c r="U30">
        <f t="shared" si="14"/>
        <v>0.99999790724123194</v>
      </c>
      <c r="V30">
        <f t="shared" si="15"/>
        <v>-2.0458540994397712E-3</v>
      </c>
      <c r="X30">
        <f t="shared" si="34"/>
        <v>36.778374333625422</v>
      </c>
      <c r="Y30">
        <f t="shared" si="16"/>
        <v>-82.445514720810436</v>
      </c>
      <c r="Z30">
        <f t="shared" si="35"/>
        <v>97.554485279189564</v>
      </c>
      <c r="AC30">
        <v>1</v>
      </c>
      <c r="AD30">
        <f t="shared" si="17"/>
        <v>6.6149374838399999E-2</v>
      </c>
      <c r="AE30">
        <f t="shared" si="18"/>
        <v>-2.4937726775329481E-8</v>
      </c>
      <c r="AF30">
        <f t="shared" si="19"/>
        <v>1.2189379481999999E-5</v>
      </c>
      <c r="AG30">
        <f t="shared" si="36"/>
        <v>5258.9428094496971</v>
      </c>
      <c r="AH30">
        <f t="shared" si="37"/>
        <v>-82049.389598198846</v>
      </c>
      <c r="AJ30">
        <f t="shared" si="20"/>
        <v>18000</v>
      </c>
      <c r="AK30">
        <f t="shared" si="21"/>
        <v>59.715393091199999</v>
      </c>
      <c r="AL30">
        <v>1</v>
      </c>
      <c r="AM30">
        <f t="shared" si="22"/>
        <v>0.10284317699039999</v>
      </c>
      <c r="AN30">
        <f t="shared" si="38"/>
        <v>17817.688633877842</v>
      </c>
      <c r="AO30">
        <f t="shared" si="39"/>
        <v>-1772.7123126425372</v>
      </c>
      <c r="AQ30">
        <f t="shared" si="23"/>
        <v>6097.5609756097556</v>
      </c>
      <c r="AR30">
        <f t="shared" si="24"/>
        <v>-4878.0487804878048</v>
      </c>
      <c r="AT30">
        <f t="shared" si="52"/>
        <v>-368174200.42139864</v>
      </c>
      <c r="AU30">
        <f t="shared" si="53"/>
        <v>-525954535.64486951</v>
      </c>
      <c r="AV30">
        <f t="shared" si="42"/>
        <v>-2.1815299799053758</v>
      </c>
      <c r="AW30">
        <f t="shared" si="25"/>
        <v>100004689.93068734</v>
      </c>
      <c r="AX30">
        <f t="shared" si="26"/>
        <v>-98247930.345760733</v>
      </c>
      <c r="AY30">
        <f t="shared" si="50"/>
        <v>-0.77653717783417686</v>
      </c>
      <c r="BA30">
        <f t="shared" si="27"/>
        <v>4.5795487669352637</v>
      </c>
      <c r="BB30">
        <f t="shared" si="43"/>
        <v>13.216453762329209</v>
      </c>
      <c r="BC30">
        <f t="shared" si="44"/>
        <v>-1.4049928020711988</v>
      </c>
      <c r="BD30">
        <f t="shared" si="28"/>
        <v>-260.50015789692395</v>
      </c>
      <c r="BF30">
        <f t="shared" si="29"/>
        <v>36.75532109887137</v>
      </c>
      <c r="BG30">
        <f t="shared" si="30"/>
        <v>-82.294777321947166</v>
      </c>
      <c r="BH30">
        <f t="shared" si="45"/>
        <v>97.705222678052834</v>
      </c>
      <c r="BI30">
        <f t="shared" si="46"/>
        <v>97.705222678052834</v>
      </c>
      <c r="BJ30">
        <f t="shared" si="31"/>
        <v>0</v>
      </c>
      <c r="BK30">
        <f t="shared" si="47"/>
        <v>0</v>
      </c>
      <c r="BM30">
        <f t="shared" si="48"/>
        <v>23.538867336542161</v>
      </c>
      <c r="BN30">
        <f t="shared" si="32"/>
        <v>-1.7946194250232108</v>
      </c>
      <c r="BQ30" s="56">
        <f t="shared" si="49"/>
        <v>30.118414562614348</v>
      </c>
      <c r="BR30" s="58"/>
      <c r="BS30" s="58"/>
      <c r="BT30" s="58">
        <v>158.489</v>
      </c>
      <c r="BU30" s="58">
        <v>31.003699999999998</v>
      </c>
      <c r="BV30" s="58">
        <v>-259.86900000000003</v>
      </c>
      <c r="BW30" s="61"/>
      <c r="BY30" s="58"/>
      <c r="BZ30" s="58"/>
      <c r="CA30" s="58"/>
      <c r="CC30" s="58"/>
    </row>
    <row r="31" spans="1:81" x14ac:dyDescent="0.25">
      <c r="A31">
        <f t="shared" si="51"/>
        <v>500</v>
      </c>
      <c r="B31">
        <f t="shared" si="33"/>
        <v>0.5</v>
      </c>
      <c r="C31">
        <f t="shared" si="0"/>
        <v>1.0000085983623686</v>
      </c>
      <c r="D31">
        <f t="shared" si="1"/>
        <v>4.1468785270972969E-3</v>
      </c>
      <c r="F31">
        <f t="shared" si="2"/>
        <v>1.0063994559494633</v>
      </c>
      <c r="G31">
        <f t="shared" si="3"/>
        <v>-4.3496342843127762E-2</v>
      </c>
      <c r="H31">
        <f t="shared" si="4"/>
        <v>-4.3496342843127762E-2</v>
      </c>
      <c r="J31">
        <f t="shared" si="5"/>
        <v>15</v>
      </c>
      <c r="M31">
        <f t="shared" si="6"/>
        <v>3.6461613579325634</v>
      </c>
      <c r="N31">
        <f t="shared" si="7"/>
        <v>-1.5707963250000001</v>
      </c>
      <c r="O31">
        <f t="shared" si="8"/>
        <v>1.0034127233717121</v>
      </c>
      <c r="P31">
        <f t="shared" si="9"/>
        <v>8.2499042238235926E-2</v>
      </c>
      <c r="Q31">
        <f t="shared" si="10"/>
        <v>1.0082292018787498</v>
      </c>
      <c r="R31">
        <f t="shared" si="11"/>
        <v>0.12785274507622801</v>
      </c>
      <c r="S31">
        <f t="shared" si="12"/>
        <v>0.99999140171156264</v>
      </c>
      <c r="T31">
        <f t="shared" si="13"/>
        <v>-4.146878527097296E-3</v>
      </c>
      <c r="U31">
        <f t="shared" si="14"/>
        <v>0.99999673007019851</v>
      </c>
      <c r="V31">
        <f t="shared" si="15"/>
        <v>-2.5573156173601982E-3</v>
      </c>
      <c r="X31">
        <f t="shared" si="34"/>
        <v>34.914699839453334</v>
      </c>
      <c r="Y31">
        <f t="shared" si="16"/>
        <v>-80.586410624013993</v>
      </c>
      <c r="Z31">
        <f t="shared" si="35"/>
        <v>99.413589375986007</v>
      </c>
      <c r="AC31">
        <v>1</v>
      </c>
      <c r="AD31">
        <f t="shared" si="17"/>
        <v>8.2686718547999999E-2</v>
      </c>
      <c r="AE31">
        <f t="shared" si="18"/>
        <v>-3.8965198086452314E-8</v>
      </c>
      <c r="AF31">
        <f t="shared" si="19"/>
        <v>1.5236724352499998E-5</v>
      </c>
      <c r="AG31">
        <f t="shared" si="36"/>
        <v>5258.9304280807919</v>
      </c>
      <c r="AH31">
        <f t="shared" si="37"/>
        <v>-65644.353217018215</v>
      </c>
      <c r="AJ31">
        <f t="shared" si="20"/>
        <v>18000</v>
      </c>
      <c r="AK31">
        <f t="shared" si="21"/>
        <v>74.64424136400001</v>
      </c>
      <c r="AL31">
        <v>1</v>
      </c>
      <c r="AM31">
        <f t="shared" si="22"/>
        <v>0.12855397123799997</v>
      </c>
      <c r="AN31">
        <f t="shared" si="38"/>
        <v>17716.805694353869</v>
      </c>
      <c r="AO31">
        <f t="shared" si="39"/>
        <v>-2202.9214882972014</v>
      </c>
      <c r="AQ31">
        <f t="shared" si="23"/>
        <v>5000</v>
      </c>
      <c r="AR31">
        <f t="shared" si="24"/>
        <v>-5000</v>
      </c>
      <c r="AT31">
        <f t="shared" si="52"/>
        <v>-301927113.94468707</v>
      </c>
      <c r="AU31">
        <f t="shared" si="53"/>
        <v>-354516418.22549504</v>
      </c>
      <c r="AV31">
        <f t="shared" si="42"/>
        <v>-2.2762527635714691</v>
      </c>
      <c r="AW31">
        <f t="shared" si="25"/>
        <v>77577036.835624486</v>
      </c>
      <c r="AX31">
        <f t="shared" si="26"/>
        <v>-100017229.78694737</v>
      </c>
      <c r="AY31">
        <f t="shared" si="50"/>
        <v>-0.91108858159971273</v>
      </c>
      <c r="BA31">
        <f t="shared" si="27"/>
        <v>3.6789005766101277</v>
      </c>
      <c r="BB31">
        <f t="shared" si="43"/>
        <v>11.314361021025629</v>
      </c>
      <c r="BC31">
        <f t="shared" si="44"/>
        <v>-1.3651641819717564</v>
      </c>
      <c r="BD31">
        <f t="shared" si="28"/>
        <v>-258.21814605878842</v>
      </c>
      <c r="BF31">
        <f t="shared" si="29"/>
        <v>34.891668752755734</v>
      </c>
      <c r="BG31">
        <f t="shared" si="30"/>
        <v>-80.472704292773784</v>
      </c>
      <c r="BH31">
        <f t="shared" si="45"/>
        <v>99.527295707226216</v>
      </c>
      <c r="BI31">
        <f t="shared" si="46"/>
        <v>99.527295707226216</v>
      </c>
      <c r="BJ31">
        <f t="shared" si="31"/>
        <v>0</v>
      </c>
      <c r="BK31">
        <f t="shared" si="47"/>
        <v>0</v>
      </c>
      <c r="BM31">
        <f t="shared" si="48"/>
        <v>23.577307731730105</v>
      </c>
      <c r="BN31">
        <f t="shared" si="32"/>
        <v>-2.2545582339853909</v>
      </c>
      <c r="BQ31" s="56">
        <f t="shared" si="49"/>
        <v>28.216321821310764</v>
      </c>
      <c r="BR31" s="58"/>
      <c r="BS31" s="58"/>
      <c r="BT31" s="58">
        <v>162.18100000000001</v>
      </c>
      <c r="BU31" s="58">
        <v>30.429300000000001</v>
      </c>
      <c r="BV31" s="58">
        <v>-262.39859999999999</v>
      </c>
      <c r="BW31" s="61"/>
      <c r="BY31" s="58"/>
      <c r="BZ31" s="58"/>
      <c r="CA31" s="58"/>
      <c r="CC31" s="58"/>
    </row>
    <row r="32" spans="1:81" x14ac:dyDescent="0.25">
      <c r="A32">
        <f t="shared" si="51"/>
        <v>600</v>
      </c>
      <c r="B32">
        <f t="shared" si="33"/>
        <v>0.6</v>
      </c>
      <c r="C32">
        <f t="shared" si="0"/>
        <v>1.0000123816183897</v>
      </c>
      <c r="D32">
        <f t="shared" si="1"/>
        <v>4.9762416816666087E-3</v>
      </c>
      <c r="F32">
        <f t="shared" si="2"/>
        <v>1.0118766989391121</v>
      </c>
      <c r="G32">
        <f t="shared" si="3"/>
        <v>-5.2487231408250803E-2</v>
      </c>
      <c r="H32">
        <f t="shared" si="4"/>
        <v>-5.2487231408250803E-2</v>
      </c>
      <c r="J32">
        <f t="shared" si="5"/>
        <v>15</v>
      </c>
      <c r="M32">
        <f t="shared" si="6"/>
        <v>3.0384677982771362</v>
      </c>
      <c r="N32">
        <f t="shared" si="7"/>
        <v>-1.5707963250000001</v>
      </c>
      <c r="O32">
        <f t="shared" si="8"/>
        <v>1.0049106500236229</v>
      </c>
      <c r="P32">
        <f t="shared" si="9"/>
        <v>9.8900338425708806E-2</v>
      </c>
      <c r="Q32">
        <f t="shared" si="10"/>
        <v>1.0118288481113429</v>
      </c>
      <c r="R32">
        <f t="shared" si="11"/>
        <v>0.15305823540462549</v>
      </c>
      <c r="S32">
        <f t="shared" si="12"/>
        <v>0.99998761853491291</v>
      </c>
      <c r="T32">
        <f t="shared" si="13"/>
        <v>-4.9762416816666079E-3</v>
      </c>
      <c r="U32">
        <f t="shared" si="14"/>
        <v>0.9999952913112482</v>
      </c>
      <c r="V32">
        <f t="shared" si="15"/>
        <v>-3.068775797330189E-3</v>
      </c>
      <c r="X32">
        <f t="shared" si="34"/>
        <v>33.422119073451071</v>
      </c>
      <c r="Y32">
        <f t="shared" si="16"/>
        <v>-78.7469618340062</v>
      </c>
      <c r="Z32">
        <f t="shared" si="35"/>
        <v>101.2530381659938</v>
      </c>
      <c r="AC32">
        <v>1</v>
      </c>
      <c r="AD32">
        <f t="shared" si="17"/>
        <v>9.9224062257600013E-2</v>
      </c>
      <c r="AE32">
        <f t="shared" si="18"/>
        <v>-5.6109885244491339E-8</v>
      </c>
      <c r="AF32">
        <f t="shared" si="19"/>
        <v>1.8284069222999999E-5</v>
      </c>
      <c r="AG32">
        <f t="shared" si="36"/>
        <v>5258.9152953757484</v>
      </c>
      <c r="AH32">
        <f t="shared" si="37"/>
        <v>-54708.558851627909</v>
      </c>
      <c r="AJ32">
        <f t="shared" si="20"/>
        <v>18000</v>
      </c>
      <c r="AK32">
        <f t="shared" si="21"/>
        <v>89.573089636800006</v>
      </c>
      <c r="AL32">
        <v>1</v>
      </c>
      <c r="AM32">
        <f t="shared" si="22"/>
        <v>0.1542647654856</v>
      </c>
      <c r="AN32">
        <f t="shared" si="38"/>
        <v>17595.096586704745</v>
      </c>
      <c r="AO32">
        <f t="shared" si="39"/>
        <v>-2624.7303590076885</v>
      </c>
      <c r="AQ32">
        <f t="shared" si="23"/>
        <v>4098.3606557377052</v>
      </c>
      <c r="AR32">
        <f t="shared" si="24"/>
        <v>-4918.0327868852464</v>
      </c>
      <c r="AT32">
        <f t="shared" si="52"/>
        <v>-247505554.61712193</v>
      </c>
      <c r="AU32">
        <f t="shared" si="53"/>
        <v>-250078922.97573286</v>
      </c>
      <c r="AV32">
        <f t="shared" si="42"/>
        <v>-2.3510228147647112</v>
      </c>
      <c r="AW32">
        <f t="shared" si="25"/>
        <v>59210147.328930147</v>
      </c>
      <c r="AX32">
        <f t="shared" si="26"/>
        <v>-97639252.390932977</v>
      </c>
      <c r="AY32">
        <f t="shared" si="50"/>
        <v>-1.0256714635050426</v>
      </c>
      <c r="BA32">
        <f t="shared" si="27"/>
        <v>3.0812793648585952</v>
      </c>
      <c r="BB32">
        <f t="shared" si="43"/>
        <v>9.7746215100993279</v>
      </c>
      <c r="BC32">
        <f t="shared" si="44"/>
        <v>-1.3253513512596686</v>
      </c>
      <c r="BD32">
        <f t="shared" si="28"/>
        <v>-255.9370388859104</v>
      </c>
      <c r="BF32">
        <f t="shared" si="29"/>
        <v>33.399106141471947</v>
      </c>
      <c r="BG32">
        <f t="shared" si="30"/>
        <v>-78.659218080843644</v>
      </c>
      <c r="BH32">
        <f t="shared" si="45"/>
        <v>101.34078191915636</v>
      </c>
      <c r="BI32">
        <f t="shared" si="46"/>
        <v>101.34078191915636</v>
      </c>
      <c r="BJ32">
        <f t="shared" si="31"/>
        <v>0</v>
      </c>
      <c r="BK32">
        <f t="shared" si="47"/>
        <v>0</v>
      </c>
      <c r="BM32">
        <f t="shared" si="48"/>
        <v>23.624484631372624</v>
      </c>
      <c r="BN32">
        <f t="shared" si="32"/>
        <v>-2.7221791949332306</v>
      </c>
      <c r="BQ32" s="56">
        <f t="shared" si="49"/>
        <v>26.676582310384465</v>
      </c>
      <c r="BR32" s="58"/>
      <c r="BS32" s="58"/>
      <c r="BT32" s="58">
        <v>165.959</v>
      </c>
      <c r="BU32" s="58">
        <v>29.9194</v>
      </c>
      <c r="BV32" s="58">
        <v>-264.8295</v>
      </c>
      <c r="BW32" s="61"/>
      <c r="BY32" s="58"/>
      <c r="BZ32" s="58"/>
      <c r="CA32" s="58"/>
      <c r="CC32" s="58"/>
    </row>
    <row r="33" spans="1:81" x14ac:dyDescent="0.25">
      <c r="A33">
        <f t="shared" si="51"/>
        <v>700</v>
      </c>
      <c r="B33">
        <f t="shared" si="33"/>
        <v>0.7</v>
      </c>
      <c r="C33">
        <f t="shared" si="0"/>
        <v>1.0000168527206887</v>
      </c>
      <c r="D33">
        <f t="shared" si="1"/>
        <v>5.8055979904890658E-3</v>
      </c>
      <c r="F33">
        <f t="shared" si="2"/>
        <v>1.0184207543739341</v>
      </c>
      <c r="G33">
        <f t="shared" si="3"/>
        <v>-6.164186119291977E-2</v>
      </c>
      <c r="H33">
        <f t="shared" si="4"/>
        <v>-6.164186119291977E-2</v>
      </c>
      <c r="J33">
        <f t="shared" si="5"/>
        <v>15</v>
      </c>
      <c r="M33">
        <f t="shared" si="6"/>
        <v>2.6044009699518309</v>
      </c>
      <c r="N33">
        <f t="shared" si="7"/>
        <v>-1.5707963250000001</v>
      </c>
      <c r="O33">
        <f t="shared" si="8"/>
        <v>1.0066780533574291</v>
      </c>
      <c r="P33">
        <f t="shared" si="9"/>
        <v>0.11524842949617467</v>
      </c>
      <c r="Q33">
        <f t="shared" si="10"/>
        <v>1.0160665342886157</v>
      </c>
      <c r="R33">
        <f t="shared" si="11"/>
        <v>0.17806926487693522</v>
      </c>
      <c r="S33">
        <f t="shared" si="12"/>
        <v>0.99998314756332063</v>
      </c>
      <c r="T33">
        <f t="shared" si="13"/>
        <v>-5.805597990489064E-3</v>
      </c>
      <c r="U33">
        <f t="shared" si="14"/>
        <v>0.99999359096776741</v>
      </c>
      <c r="V33">
        <f t="shared" si="15"/>
        <v>-3.5802343717688955E-3</v>
      </c>
      <c r="X33">
        <f t="shared" si="34"/>
        <v>32.190726267050991</v>
      </c>
      <c r="Y33">
        <f t="shared" si="16"/>
        <v>-76.931084847834782</v>
      </c>
      <c r="Z33">
        <f t="shared" si="35"/>
        <v>103.06891515216522</v>
      </c>
      <c r="AC33">
        <v>1</v>
      </c>
      <c r="AD33">
        <f t="shared" si="17"/>
        <v>0.1157614059672</v>
      </c>
      <c r="AE33">
        <f t="shared" si="18"/>
        <v>-7.637178824944656E-8</v>
      </c>
      <c r="AF33">
        <f t="shared" si="19"/>
        <v>2.1331414093499998E-5</v>
      </c>
      <c r="AG33">
        <f t="shared" si="36"/>
        <v>5258.8974113820668</v>
      </c>
      <c r="AH33">
        <f t="shared" si="37"/>
        <v>-46898.045624849838</v>
      </c>
      <c r="AJ33">
        <f t="shared" si="20"/>
        <v>18000</v>
      </c>
      <c r="AK33">
        <f t="shared" si="21"/>
        <v>104.50193790960002</v>
      </c>
      <c r="AL33">
        <v>1</v>
      </c>
      <c r="AM33">
        <f t="shared" si="22"/>
        <v>0.17997555973319998</v>
      </c>
      <c r="AN33">
        <f t="shared" si="38"/>
        <v>17453.468954495042</v>
      </c>
      <c r="AO33">
        <f t="shared" si="39"/>
        <v>-3036.695906461674</v>
      </c>
      <c r="AQ33">
        <f t="shared" si="23"/>
        <v>3378.3783783783783</v>
      </c>
      <c r="AR33">
        <f t="shared" si="24"/>
        <v>-4729.72972972973</v>
      </c>
      <c r="AT33">
        <f t="shared" si="52"/>
        <v>-204048535.34935036</v>
      </c>
      <c r="AU33">
        <f t="shared" si="53"/>
        <v>-183312506.75940788</v>
      </c>
      <c r="AV33">
        <f t="shared" si="42"/>
        <v>-2.4096749724825659</v>
      </c>
      <c r="AW33">
        <f t="shared" si="25"/>
        <v>44609265.189045265</v>
      </c>
      <c r="AX33">
        <f t="shared" si="26"/>
        <v>-93108425.478996634</v>
      </c>
      <c r="AY33">
        <f t="shared" si="50"/>
        <v>-1.1239991807993828</v>
      </c>
      <c r="BA33">
        <f t="shared" si="27"/>
        <v>2.6568113250735612</v>
      </c>
      <c r="BB33">
        <f t="shared" si="43"/>
        <v>8.4872142768477694</v>
      </c>
      <c r="BC33">
        <f t="shared" si="44"/>
        <v>-1.2856757916831831</v>
      </c>
      <c r="BD33">
        <f t="shared" si="28"/>
        <v>-253.66379676976038</v>
      </c>
      <c r="BF33">
        <f t="shared" si="29"/>
        <v>32.167730661867616</v>
      </c>
      <c r="BG33">
        <f t="shared" si="30"/>
        <v>-76.862978998696875</v>
      </c>
      <c r="BH33">
        <f t="shared" si="45"/>
        <v>103.13702100130313</v>
      </c>
      <c r="BI33">
        <f t="shared" si="46"/>
        <v>103.13702100130313</v>
      </c>
      <c r="BJ33">
        <f t="shared" si="31"/>
        <v>0</v>
      </c>
      <c r="BK33">
        <f t="shared" si="47"/>
        <v>0</v>
      </c>
      <c r="BM33">
        <f t="shared" si="48"/>
        <v>23.680516385019846</v>
      </c>
      <c r="BN33">
        <f t="shared" si="32"/>
        <v>-3.1991822289364995</v>
      </c>
      <c r="BQ33" s="56">
        <f t="shared" si="49"/>
        <v>25.389175077132904</v>
      </c>
      <c r="BR33" s="58"/>
      <c r="BS33" s="58"/>
      <c r="BT33" s="58">
        <v>169.82400000000001</v>
      </c>
      <c r="BU33" s="58">
        <v>29.808900000000001</v>
      </c>
      <c r="BV33" s="58">
        <v>-267.72770000000003</v>
      </c>
      <c r="BW33" s="61"/>
      <c r="BY33" s="58"/>
      <c r="BZ33" s="58"/>
      <c r="CA33" s="58"/>
      <c r="CC33" s="58"/>
    </row>
    <row r="34" spans="1:81" x14ac:dyDescent="0.25">
      <c r="A34">
        <f t="shared" si="51"/>
        <v>800</v>
      </c>
      <c r="B34">
        <f t="shared" si="33"/>
        <v>0.8</v>
      </c>
      <c r="C34">
        <f t="shared" si="0"/>
        <v>1.00002201166004</v>
      </c>
      <c r="D34">
        <f t="shared" si="1"/>
        <v>6.6349463127496917E-3</v>
      </c>
      <c r="F34">
        <f t="shared" si="2"/>
        <v>1.0260686250985525</v>
      </c>
      <c r="G34">
        <f t="shared" si="3"/>
        <v>-7.0991547550057002E-2</v>
      </c>
      <c r="H34">
        <f t="shared" si="4"/>
        <v>-7.0991547550057002E-2</v>
      </c>
      <c r="J34">
        <f t="shared" si="5"/>
        <v>15</v>
      </c>
      <c r="M34">
        <f t="shared" si="6"/>
        <v>2.2788508487078518</v>
      </c>
      <c r="N34">
        <f t="shared" si="7"/>
        <v>-1.5707963250000001</v>
      </c>
      <c r="O34">
        <f t="shared" si="8"/>
        <v>1.0087135168946852</v>
      </c>
      <c r="P34">
        <f t="shared" si="9"/>
        <v>0.13153488252899762</v>
      </c>
      <c r="Q34">
        <f t="shared" si="10"/>
        <v>1.020934315327835</v>
      </c>
      <c r="R34">
        <f t="shared" si="11"/>
        <v>0.20285718109828763</v>
      </c>
      <c r="S34">
        <f t="shared" si="12"/>
        <v>0.99997798882446254</v>
      </c>
      <c r="T34">
        <f t="shared" si="13"/>
        <v>-6.6349463127496899E-3</v>
      </c>
      <c r="U34">
        <f t="shared" si="14"/>
        <v>0.99999162904376004</v>
      </c>
      <c r="V34">
        <f t="shared" si="15"/>
        <v>-4.0916910731005098E-3</v>
      </c>
      <c r="X34">
        <f t="shared" si="34"/>
        <v>31.15491149951405</v>
      </c>
      <c r="Y34">
        <f t="shared" si="16"/>
        <v>-75.142698719790118</v>
      </c>
      <c r="Z34">
        <f t="shared" si="35"/>
        <v>104.85730128020988</v>
      </c>
      <c r="AC34">
        <v>1</v>
      </c>
      <c r="AD34">
        <f t="shared" si="17"/>
        <v>0.1322987496768</v>
      </c>
      <c r="AE34">
        <f t="shared" si="18"/>
        <v>-9.9750907101317923E-8</v>
      </c>
      <c r="AF34">
        <f t="shared" si="19"/>
        <v>2.4378758963999998E-5</v>
      </c>
      <c r="AG34">
        <f t="shared" si="36"/>
        <v>5258.8767761558893</v>
      </c>
      <c r="AH34">
        <f t="shared" si="37"/>
        <v>-41040.833095984322</v>
      </c>
      <c r="AJ34">
        <f t="shared" si="20"/>
        <v>18000</v>
      </c>
      <c r="AK34">
        <f t="shared" si="21"/>
        <v>119.4307861824</v>
      </c>
      <c r="AL34">
        <v>1</v>
      </c>
      <c r="AM34">
        <f t="shared" si="22"/>
        <v>0.20568635398079999</v>
      </c>
      <c r="AN34">
        <f t="shared" si="38"/>
        <v>17292.954401716619</v>
      </c>
      <c r="AO34">
        <f t="shared" si="39"/>
        <v>-3437.4939542629172</v>
      </c>
      <c r="AQ34">
        <f t="shared" si="23"/>
        <v>2808.9887640449433</v>
      </c>
      <c r="AR34">
        <f t="shared" si="24"/>
        <v>-4494.3820224719093</v>
      </c>
      <c r="AT34">
        <f t="shared" si="52"/>
        <v>-169681056.67814332</v>
      </c>
      <c r="AU34">
        <f t="shared" si="53"/>
        <v>-138918640.27481386</v>
      </c>
      <c r="AV34">
        <f t="shared" si="42"/>
        <v>-2.4555501467903338</v>
      </c>
      <c r="AW34">
        <f t="shared" si="25"/>
        <v>33133884.216012273</v>
      </c>
      <c r="AX34">
        <f t="shared" si="26"/>
        <v>-87638831.157436669</v>
      </c>
      <c r="AY34">
        <f t="shared" si="50"/>
        <v>-1.2093341612806496</v>
      </c>
      <c r="BA34">
        <f t="shared" si="27"/>
        <v>2.3405582782210703</v>
      </c>
      <c r="BB34">
        <f t="shared" si="43"/>
        <v>7.3863891843790164</v>
      </c>
      <c r="BC34">
        <f t="shared" si="44"/>
        <v>-1.2462159855096842</v>
      </c>
      <c r="BD34">
        <f t="shared" si="28"/>
        <v>-251.40291641303116</v>
      </c>
      <c r="BF34">
        <f t="shared" si="29"/>
        <v>31.131933715269788</v>
      </c>
      <c r="BG34">
        <f t="shared" si="30"/>
        <v>-75.090278051948729</v>
      </c>
      <c r="BH34">
        <f t="shared" si="45"/>
        <v>104.90972194805127</v>
      </c>
      <c r="BI34">
        <f t="shared" si="46"/>
        <v>104.90972194805127</v>
      </c>
      <c r="BJ34">
        <f t="shared" si="31"/>
        <v>0</v>
      </c>
      <c r="BK34">
        <f t="shared" si="47"/>
        <v>0</v>
      </c>
      <c r="BM34">
        <f t="shared" si="48"/>
        <v>23.745544530890772</v>
      </c>
      <c r="BN34">
        <f t="shared" si="32"/>
        <v>-3.6873616389175456</v>
      </c>
      <c r="BQ34" s="56">
        <f t="shared" si="49"/>
        <v>24.288349984664151</v>
      </c>
      <c r="BR34" s="58"/>
      <c r="BS34" s="58"/>
      <c r="BT34" s="58">
        <v>173.78</v>
      </c>
      <c r="BU34" s="58">
        <v>30.070900000000002</v>
      </c>
      <c r="BV34" s="58">
        <v>-269.952</v>
      </c>
      <c r="BW34" s="61"/>
      <c r="BY34" s="58"/>
      <c r="BZ34" s="58"/>
      <c r="CA34" s="58"/>
      <c r="CC34" s="58"/>
    </row>
    <row r="35" spans="1:81" x14ac:dyDescent="0.25">
      <c r="A35">
        <f t="shared" si="51"/>
        <v>900</v>
      </c>
      <c r="B35">
        <f t="shared" si="33"/>
        <v>0.9</v>
      </c>
      <c r="C35">
        <f t="shared" si="0"/>
        <v>1.000027858425798</v>
      </c>
      <c r="D35">
        <f t="shared" si="1"/>
        <v>7.4642855076994296E-3</v>
      </c>
      <c r="F35">
        <f t="shared" si="2"/>
        <v>1.0348642256828868</v>
      </c>
      <c r="G35">
        <f t="shared" si="3"/>
        <v>-8.05696073461111E-2</v>
      </c>
      <c r="H35">
        <f t="shared" si="4"/>
        <v>-8.05696073461111E-2</v>
      </c>
      <c r="J35">
        <f t="shared" si="5"/>
        <v>15</v>
      </c>
      <c r="M35">
        <f t="shared" si="6"/>
        <v>2.0256451988514241</v>
      </c>
      <c r="N35">
        <f t="shared" si="7"/>
        <v>-1.5707963250000001</v>
      </c>
      <c r="O35">
        <f t="shared" si="8"/>
        <v>1.0110154215908504</v>
      </c>
      <c r="P35">
        <f t="shared" si="9"/>
        <v>0.14775145873424922</v>
      </c>
      <c r="Q35">
        <f t="shared" si="10"/>
        <v>1.0264232266507982</v>
      </c>
      <c r="R35">
        <f t="shared" si="11"/>
        <v>0.22739493479879205</v>
      </c>
      <c r="S35">
        <f t="shared" si="12"/>
        <v>0.99997214235027232</v>
      </c>
      <c r="T35">
        <f t="shared" si="13"/>
        <v>-7.4642855076994278E-3</v>
      </c>
      <c r="U35">
        <f t="shared" si="14"/>
        <v>0.99998940554384419</v>
      </c>
      <c r="V35">
        <f t="shared" si="15"/>
        <v>-4.6031456337551043E-3</v>
      </c>
      <c r="X35">
        <f t="shared" si="34"/>
        <v>30.272353242815768</v>
      </c>
      <c r="Y35">
        <f t="shared" si="16"/>
        <v>-73.385734207274922</v>
      </c>
      <c r="Z35">
        <f t="shared" si="35"/>
        <v>106.61426579272508</v>
      </c>
      <c r="AC35">
        <v>1</v>
      </c>
      <c r="AD35">
        <f t="shared" si="17"/>
        <v>0.1488360933864</v>
      </c>
      <c r="AE35">
        <f t="shared" si="18"/>
        <v>-1.2624724180010553E-7</v>
      </c>
      <c r="AF35">
        <f t="shared" si="19"/>
        <v>2.74261038345E-5</v>
      </c>
      <c r="AG35">
        <f t="shared" si="36"/>
        <v>5258.8533897619845</v>
      </c>
      <c r="AH35">
        <f t="shared" si="37"/>
        <v>-36485.821018322247</v>
      </c>
      <c r="AJ35">
        <f t="shared" si="20"/>
        <v>18000</v>
      </c>
      <c r="AK35">
        <f t="shared" si="21"/>
        <v>134.35963445520002</v>
      </c>
      <c r="AL35">
        <v>1</v>
      </c>
      <c r="AM35">
        <f t="shared" si="22"/>
        <v>0.23139714822839996</v>
      </c>
      <c r="AN35">
        <f t="shared" si="38"/>
        <v>17114.690491601807</v>
      </c>
      <c r="AO35">
        <f t="shared" si="39"/>
        <v>-3825.9309381131707</v>
      </c>
      <c r="AQ35">
        <f t="shared" si="23"/>
        <v>2358.4905660377358</v>
      </c>
      <c r="AR35">
        <f t="shared" si="24"/>
        <v>-4245.2830188679245</v>
      </c>
      <c r="AT35">
        <f t="shared" si="52"/>
        <v>-142489680.29060864</v>
      </c>
      <c r="AU35">
        <f t="shared" si="53"/>
        <v>-108376785.66012692</v>
      </c>
      <c r="AV35">
        <f t="shared" si="42"/>
        <v>-2.4913458360969623</v>
      </c>
      <c r="AW35">
        <f t="shared" si="25"/>
        <v>24130242.2640801</v>
      </c>
      <c r="AX35">
        <f t="shared" si="26"/>
        <v>-81912912.529024407</v>
      </c>
      <c r="AY35">
        <f t="shared" si="50"/>
        <v>-1.2843156170552037</v>
      </c>
      <c r="BA35">
        <f t="shared" si="27"/>
        <v>2.0964426604496542</v>
      </c>
      <c r="BB35">
        <f t="shared" si="43"/>
        <v>6.4296597713206598</v>
      </c>
      <c r="BC35">
        <f t="shared" si="44"/>
        <v>-1.2070302190417586</v>
      </c>
      <c r="BD35">
        <f t="shared" si="28"/>
        <v>-249.1577373748683</v>
      </c>
      <c r="BF35">
        <f t="shared" si="29"/>
        <v>30.249394405067605</v>
      </c>
      <c r="BG35">
        <f t="shared" si="30"/>
        <v>-73.346363780941047</v>
      </c>
      <c r="BH35">
        <f t="shared" si="45"/>
        <v>106.65363621905895</v>
      </c>
      <c r="BI35">
        <f t="shared" si="46"/>
        <v>106.65363621905895</v>
      </c>
      <c r="BJ35">
        <f t="shared" si="31"/>
        <v>0</v>
      </c>
      <c r="BK35">
        <f t="shared" si="47"/>
        <v>0</v>
      </c>
      <c r="BM35">
        <f t="shared" si="48"/>
        <v>23.81973463374695</v>
      </c>
      <c r="BN35">
        <f t="shared" si="32"/>
        <v>-4.1886264060727614</v>
      </c>
      <c r="BQ35" s="56">
        <f t="shared" si="49"/>
        <v>23.331620571605796</v>
      </c>
      <c r="BR35" s="58"/>
      <c r="BS35" s="58"/>
      <c r="BT35" s="58">
        <v>177.828</v>
      </c>
      <c r="BU35" s="58">
        <v>29.720099999999999</v>
      </c>
      <c r="BV35" s="58">
        <v>-271.56010000000003</v>
      </c>
      <c r="BW35" s="61"/>
      <c r="BY35" s="58"/>
      <c r="BZ35" s="58"/>
      <c r="CA35" s="58"/>
      <c r="CC35" s="58"/>
    </row>
    <row r="36" spans="1:81" x14ac:dyDescent="0.25">
      <c r="A36">
        <f t="shared" si="51"/>
        <v>1000</v>
      </c>
      <c r="B36">
        <f t="shared" si="33"/>
        <v>1</v>
      </c>
      <c r="C36">
        <f t="shared" si="0"/>
        <v>1.000034393005899</v>
      </c>
      <c r="D36">
        <f t="shared" si="1"/>
        <v>8.2936144346645538E-3</v>
      </c>
      <c r="F36">
        <f t="shared" si="2"/>
        <v>1.0448589497153071</v>
      </c>
      <c r="G36">
        <f t="shared" si="3"/>
        <v>-9.0411754497511015E-2</v>
      </c>
      <c r="H36">
        <f t="shared" si="4"/>
        <v>-9.0411754497511015E-2</v>
      </c>
      <c r="J36">
        <f t="shared" si="5"/>
        <v>15</v>
      </c>
      <c r="M36">
        <f t="shared" si="6"/>
        <v>1.8230806789662817</v>
      </c>
      <c r="N36">
        <f t="shared" si="7"/>
        <v>-1.5707963250000001</v>
      </c>
      <c r="O36">
        <f t="shared" si="8"/>
        <v>1.0135819521365526</v>
      </c>
      <c r="P36">
        <f t="shared" si="9"/>
        <v>0.16389013672663605</v>
      </c>
      <c r="Q36">
        <f t="shared" si="10"/>
        <v>1.0325233624883468</v>
      </c>
      <c r="R36">
        <f t="shared" si="11"/>
        <v>0.251657222273449</v>
      </c>
      <c r="S36">
        <f t="shared" si="12"/>
        <v>0.99996560817693914</v>
      </c>
      <c r="T36">
        <f t="shared" si="13"/>
        <v>-8.2936144346645521E-3</v>
      </c>
      <c r="U36">
        <f t="shared" si="14"/>
        <v>0.99998692047325544</v>
      </c>
      <c r="V36">
        <f t="shared" si="15"/>
        <v>-5.11459778616947E-3</v>
      </c>
      <c r="X36">
        <f t="shared" si="34"/>
        <v>29.514157800474521</v>
      </c>
      <c r="Y36">
        <f t="shared" si="16"/>
        <v>-71.66414693867047</v>
      </c>
      <c r="Z36">
        <f t="shared" si="35"/>
        <v>108.33585306132953</v>
      </c>
      <c r="AC36">
        <v>1</v>
      </c>
      <c r="AD36">
        <f t="shared" si="17"/>
        <v>0.165373437096</v>
      </c>
      <c r="AE36">
        <f t="shared" si="18"/>
        <v>-1.5586079234580926E-7</v>
      </c>
      <c r="AF36">
        <f t="shared" si="19"/>
        <v>3.0473448704999996E-5</v>
      </c>
      <c r="AG36">
        <f t="shared" si="36"/>
        <v>5258.827252273767</v>
      </c>
      <c r="AH36">
        <f t="shared" si="37"/>
        <v>-32842.349242149859</v>
      </c>
      <c r="AJ36">
        <f t="shared" si="20"/>
        <v>18000</v>
      </c>
      <c r="AK36">
        <f t="shared" si="21"/>
        <v>149.28848272800002</v>
      </c>
      <c r="AL36">
        <v>1</v>
      </c>
      <c r="AM36">
        <f t="shared" si="22"/>
        <v>0.25710794247599994</v>
      </c>
      <c r="AN36">
        <f t="shared" si="38"/>
        <v>16919.901712002531</v>
      </c>
      <c r="AO36">
        <f t="shared" si="39"/>
        <v>-4200.9526333411195</v>
      </c>
      <c r="AQ36">
        <f t="shared" si="23"/>
        <v>2000</v>
      </c>
      <c r="AR36">
        <f t="shared" si="24"/>
        <v>-4000</v>
      </c>
      <c r="AT36">
        <f t="shared" si="52"/>
        <v>-120851742.4640519</v>
      </c>
      <c r="AU36">
        <f t="shared" si="53"/>
        <v>-86720007.493394792</v>
      </c>
      <c r="AV36">
        <f t="shared" si="42"/>
        <v>-2.5191695056485206</v>
      </c>
      <c r="AW36">
        <f t="shared" si="25"/>
        <v>17043542.567715157</v>
      </c>
      <c r="AX36">
        <f t="shared" si="26"/>
        <v>-76291087.364002392</v>
      </c>
      <c r="AY36">
        <f t="shared" si="50"/>
        <v>-1.3510038894254932</v>
      </c>
      <c r="BA36">
        <f t="shared" si="27"/>
        <v>1.9028173638926686</v>
      </c>
      <c r="BB36">
        <f t="shared" si="43"/>
        <v>5.5879421171851877</v>
      </c>
      <c r="BC36">
        <f t="shared" si="44"/>
        <v>-1.1681656162230274</v>
      </c>
      <c r="BD36">
        <f t="shared" si="28"/>
        <v>-246.93095965835829</v>
      </c>
      <c r="BF36">
        <f t="shared" si="29"/>
        <v>29.491219367156148</v>
      </c>
      <c r="BG36">
        <f t="shared" si="30"/>
        <v>-71.635982510799835</v>
      </c>
      <c r="BH36">
        <f t="shared" si="45"/>
        <v>108.36401748920017</v>
      </c>
      <c r="BI36">
        <f t="shared" si="46"/>
        <v>108.36401748920017</v>
      </c>
      <c r="BJ36">
        <f t="shared" si="31"/>
        <v>0</v>
      </c>
      <c r="BK36">
        <f t="shared" si="47"/>
        <v>0</v>
      </c>
      <c r="BM36">
        <f t="shared" si="48"/>
        <v>23.903277249970959</v>
      </c>
      <c r="BN36">
        <f t="shared" si="32"/>
        <v>-4.7050228524415356</v>
      </c>
      <c r="BQ36" s="56">
        <f t="shared" si="49"/>
        <v>22.489902917470324</v>
      </c>
      <c r="BR36" s="58"/>
      <c r="BS36" s="58"/>
      <c r="BT36" s="58">
        <v>181.97</v>
      </c>
      <c r="BU36" s="58">
        <v>30.042100000000001</v>
      </c>
      <c r="BV36" s="58">
        <v>-268.84590000000003</v>
      </c>
      <c r="BW36" s="61"/>
      <c r="BY36" s="58"/>
      <c r="BZ36" s="58"/>
      <c r="CA36" s="58"/>
      <c r="CC36" s="58"/>
    </row>
    <row r="37" spans="1:81" x14ac:dyDescent="0.25">
      <c r="A37">
        <f>A36+500</f>
        <v>1500</v>
      </c>
      <c r="B37">
        <f t="shared" si="33"/>
        <v>1.5</v>
      </c>
      <c r="C37">
        <f t="shared" si="0"/>
        <v>1.0000773825999778</v>
      </c>
      <c r="D37">
        <f t="shared" si="1"/>
        <v>1.2440065132599378E-2</v>
      </c>
      <c r="F37">
        <f t="shared" si="2"/>
        <v>1.1152372648499309</v>
      </c>
      <c r="G37">
        <f t="shared" si="3"/>
        <v>-0.14506350593593081</v>
      </c>
      <c r="H37">
        <f t="shared" si="4"/>
        <v>-0.14506350593593081</v>
      </c>
      <c r="J37">
        <f t="shared" si="5"/>
        <v>15</v>
      </c>
      <c r="M37">
        <f t="shared" si="6"/>
        <v>1.2153871193108543</v>
      </c>
      <c r="N37">
        <f t="shared" si="7"/>
        <v>-1.5707963250000001</v>
      </c>
      <c r="O37">
        <f t="shared" si="8"/>
        <v>1.0303076437735117</v>
      </c>
      <c r="P37">
        <f t="shared" si="9"/>
        <v>0.24315209558535736</v>
      </c>
      <c r="Q37">
        <f t="shared" si="10"/>
        <v>1.0717906100025063</v>
      </c>
      <c r="R37">
        <f t="shared" si="11"/>
        <v>0.36808518111129218</v>
      </c>
      <c r="S37">
        <f t="shared" si="12"/>
        <v>0.99992262338762561</v>
      </c>
      <c r="T37">
        <f t="shared" si="13"/>
        <v>-1.2440065132599374E-2</v>
      </c>
      <c r="U37">
        <f t="shared" si="14"/>
        <v>0.99997057178652016</v>
      </c>
      <c r="V37">
        <f t="shared" si="15"/>
        <v>-7.6718130605017672E-3</v>
      </c>
      <c r="X37">
        <f t="shared" si="34"/>
        <v>27.024745001136438</v>
      </c>
      <c r="Y37">
        <f t="shared" si="16"/>
        <v>-63.729772895273655</v>
      </c>
      <c r="Z37">
        <f t="shared" si="35"/>
        <v>116.27022710472635</v>
      </c>
      <c r="AC37">
        <v>1</v>
      </c>
      <c r="AD37">
        <f t="shared" si="17"/>
        <v>0.24806015564400002</v>
      </c>
      <c r="AE37">
        <f t="shared" si="18"/>
        <v>-3.5068678277807096E-7</v>
      </c>
      <c r="AF37">
        <f t="shared" si="19"/>
        <v>4.5710173057499999E-5</v>
      </c>
      <c r="AG37">
        <f t="shared" si="36"/>
        <v>5258.6553015916461</v>
      </c>
      <c r="AH37">
        <f t="shared" si="37"/>
        <v>-21917.312359531188</v>
      </c>
      <c r="AJ37">
        <f t="shared" si="20"/>
        <v>18000</v>
      </c>
      <c r="AK37">
        <f t="shared" si="21"/>
        <v>223.93272409200003</v>
      </c>
      <c r="AL37">
        <v>1</v>
      </c>
      <c r="AM37">
        <f t="shared" si="22"/>
        <v>0.38566191371399994</v>
      </c>
      <c r="AN37">
        <f t="shared" si="38"/>
        <v>15744.589104023573</v>
      </c>
      <c r="AO37">
        <f t="shared" si="39"/>
        <v>-5848.1556404063231</v>
      </c>
      <c r="AQ37">
        <f t="shared" si="23"/>
        <v>1000</v>
      </c>
      <c r="AR37">
        <f t="shared" si="24"/>
        <v>-3000</v>
      </c>
      <c r="AT37">
        <f t="shared" si="52"/>
        <v>-60493281.777001917</v>
      </c>
      <c r="AU37">
        <f t="shared" si="53"/>
        <v>-37693278.264306128</v>
      </c>
      <c r="AV37">
        <f t="shared" si="42"/>
        <v>-2.5843618166682951</v>
      </c>
      <c r="AW37">
        <f t="shared" si="25"/>
        <v>-1792425.6904161125</v>
      </c>
      <c r="AX37">
        <f t="shared" si="26"/>
        <v>-53221916.184485435</v>
      </c>
      <c r="AY37">
        <f t="shared" si="50"/>
        <v>-1.6044619406072578</v>
      </c>
      <c r="BA37">
        <f t="shared" si="27"/>
        <v>1.3384575859162842</v>
      </c>
      <c r="BB37">
        <f t="shared" si="43"/>
        <v>2.5320922696018529</v>
      </c>
      <c r="BC37">
        <f t="shared" si="44"/>
        <v>-0.97989987606103734</v>
      </c>
      <c r="BD37">
        <f t="shared" si="28"/>
        <v>-236.14412730784392</v>
      </c>
      <c r="BF37">
        <f t="shared" si="29"/>
        <v>27.001935014108092</v>
      </c>
      <c r="BG37">
        <f t="shared" si="30"/>
        <v>-63.742890739060769</v>
      </c>
      <c r="BH37">
        <f t="shared" si="45"/>
        <v>116.25710926093923</v>
      </c>
      <c r="BI37">
        <f t="shared" si="46"/>
        <v>116.25710926093923</v>
      </c>
      <c r="BJ37">
        <f t="shared" si="31"/>
        <v>0</v>
      </c>
      <c r="BK37">
        <f t="shared" si="47"/>
        <v>0</v>
      </c>
      <c r="BM37">
        <f t="shared" si="48"/>
        <v>24.469842744506241</v>
      </c>
      <c r="BN37">
        <f t="shared" si="32"/>
        <v>-7.5987634312168568</v>
      </c>
      <c r="BQ37" s="56">
        <f t="shared" si="49"/>
        <v>19.434053069886989</v>
      </c>
      <c r="BR37" s="58"/>
      <c r="BS37" s="58"/>
      <c r="BT37" s="58">
        <v>186.209</v>
      </c>
      <c r="BU37" s="58">
        <v>29.901800000000001</v>
      </c>
      <c r="BV37" s="58">
        <v>-265.37959999999998</v>
      </c>
      <c r="BW37" s="61"/>
      <c r="BY37" s="58"/>
      <c r="BZ37" s="58"/>
      <c r="CA37" s="58"/>
      <c r="CC37" s="58"/>
    </row>
    <row r="38" spans="1:81" x14ac:dyDescent="0.25">
      <c r="A38">
        <f t="shared" ref="A38:A101" si="54">A37+500</f>
        <v>2000</v>
      </c>
      <c r="B38">
        <f t="shared" si="33"/>
        <v>2</v>
      </c>
      <c r="C38">
        <f t="shared" si="0"/>
        <v>1.0001375649272986</v>
      </c>
      <c r="D38">
        <f t="shared" si="1"/>
        <v>1.65860880896395E-2</v>
      </c>
      <c r="F38">
        <f t="shared" si="2"/>
        <v>1.2291765751632235</v>
      </c>
      <c r="G38">
        <f t="shared" si="3"/>
        <v>-0.21406295769505451</v>
      </c>
      <c r="H38">
        <f t="shared" si="4"/>
        <v>-0.21406295769505451</v>
      </c>
      <c r="J38">
        <f t="shared" si="5"/>
        <v>15</v>
      </c>
      <c r="M38">
        <f t="shared" si="6"/>
        <v>0.91154033948314084</v>
      </c>
      <c r="N38">
        <f t="shared" si="7"/>
        <v>-1.5707963250000001</v>
      </c>
      <c r="O38">
        <f t="shared" si="8"/>
        <v>1.0532775013204159</v>
      </c>
      <c r="P38">
        <f t="shared" si="9"/>
        <v>0.3194209377430593</v>
      </c>
      <c r="Q38">
        <f t="shared" si="10"/>
        <v>1.1244634170736585</v>
      </c>
      <c r="R38">
        <f t="shared" si="11"/>
        <v>0.47495553136955576</v>
      </c>
      <c r="S38">
        <f t="shared" si="12"/>
        <v>0.9998624539942077</v>
      </c>
      <c r="T38">
        <f t="shared" si="13"/>
        <v>-1.6586088089639496E-2</v>
      </c>
      <c r="U38">
        <f t="shared" si="14"/>
        <v>0.99994768497213871</v>
      </c>
      <c r="V38">
        <f t="shared" si="15"/>
        <v>-1.0228927999680282E-2</v>
      </c>
      <c r="X38">
        <f t="shared" si="34"/>
        <v>25.978936891009617</v>
      </c>
      <c r="Y38">
        <f t="shared" si="16"/>
        <v>-57.336559367358319</v>
      </c>
      <c r="Z38">
        <f t="shared" si="35"/>
        <v>122.66344063264168</v>
      </c>
      <c r="AC38">
        <v>1</v>
      </c>
      <c r="AD38">
        <f t="shared" si="17"/>
        <v>0.330746874192</v>
      </c>
      <c r="AE38">
        <f t="shared" si="18"/>
        <v>-6.2344316938323702E-7</v>
      </c>
      <c r="AF38">
        <f t="shared" si="19"/>
        <v>6.0946897409999992E-5</v>
      </c>
      <c r="AG38">
        <f t="shared" si="36"/>
        <v>5258.4145895269503</v>
      </c>
      <c r="AH38">
        <f t="shared" si="37"/>
        <v>-16461.51593096535</v>
      </c>
      <c r="AJ38">
        <f t="shared" si="20"/>
        <v>18000</v>
      </c>
      <c r="AK38">
        <f t="shared" si="21"/>
        <v>298.57696545600004</v>
      </c>
      <c r="AL38">
        <v>1</v>
      </c>
      <c r="AM38">
        <f t="shared" si="22"/>
        <v>0.51421588495199988</v>
      </c>
      <c r="AN38">
        <f t="shared" si="38"/>
        <v>14357.224713863374</v>
      </c>
      <c r="AO38">
        <f t="shared" si="39"/>
        <v>-7084.1360462379789</v>
      </c>
      <c r="AQ38">
        <f t="shared" si="23"/>
        <v>588.23529411764707</v>
      </c>
      <c r="AR38">
        <f t="shared" si="24"/>
        <v>-2352.9411764705883</v>
      </c>
      <c r="AT38">
        <f t="shared" si="52"/>
        <v>-35639793.608432032</v>
      </c>
      <c r="AU38">
        <f t="shared" si="53"/>
        <v>-22055984.875925384</v>
      </c>
      <c r="AV38">
        <f t="shared" si="42"/>
        <v>-2.58742198071955</v>
      </c>
      <c r="AW38">
        <f t="shared" si="25"/>
        <v>-8215792.1646335702</v>
      </c>
      <c r="AX38">
        <f t="shared" si="26"/>
        <v>-38054087.623814695</v>
      </c>
      <c r="AY38">
        <f t="shared" si="50"/>
        <v>-1.7834304200846594</v>
      </c>
      <c r="BA38">
        <f t="shared" si="27"/>
        <v>1.0765888758449174</v>
      </c>
      <c r="BB38">
        <f t="shared" si="43"/>
        <v>0.64099776067776193</v>
      </c>
      <c r="BC38">
        <f t="shared" si="44"/>
        <v>-0.80399156063489063</v>
      </c>
      <c r="BD38">
        <f t="shared" si="28"/>
        <v>-226.06532324115295</v>
      </c>
      <c r="BF38">
        <f t="shared" si="29"/>
        <v>25.956303236695078</v>
      </c>
      <c r="BG38">
        <f t="shared" si="30"/>
        <v>-57.379914433927325</v>
      </c>
      <c r="BH38">
        <f t="shared" si="45"/>
        <v>122.62008556607267</v>
      </c>
      <c r="BI38">
        <f t="shared" si="46"/>
        <v>122.62008556607267</v>
      </c>
      <c r="BJ38">
        <f t="shared" si="31"/>
        <v>0</v>
      </c>
      <c r="BK38">
        <f t="shared" si="47"/>
        <v>0</v>
      </c>
      <c r="BM38">
        <f t="shared" si="48"/>
        <v>25.315305476017322</v>
      </c>
      <c r="BN38">
        <f t="shared" si="32"/>
        <v>-11.314591192774373</v>
      </c>
      <c r="BQ38" s="56">
        <f t="shared" si="49"/>
        <v>17.542958560962898</v>
      </c>
      <c r="BR38" s="58"/>
      <c r="BS38" s="58"/>
      <c r="BT38" s="58">
        <v>190.54599999999999</v>
      </c>
      <c r="BU38" s="58">
        <v>29.566700000000001</v>
      </c>
      <c r="BV38" s="58">
        <v>-265.89449999999999</v>
      </c>
      <c r="BW38" s="61"/>
      <c r="BY38" s="58"/>
      <c r="BZ38" s="58"/>
      <c r="CA38" s="58"/>
      <c r="CC38" s="58"/>
    </row>
    <row r="39" spans="1:81" x14ac:dyDescent="0.25">
      <c r="A39">
        <f t="shared" si="54"/>
        <v>2500</v>
      </c>
      <c r="B39">
        <f t="shared" si="33"/>
        <v>2.5</v>
      </c>
      <c r="C39">
        <f t="shared" si="0"/>
        <v>1.0002149368844324</v>
      </c>
      <c r="D39">
        <f t="shared" si="1"/>
        <v>2.0731540862744903E-2</v>
      </c>
      <c r="F39">
        <f t="shared" si="2"/>
        <v>1.4084176541748954</v>
      </c>
      <c r="G39">
        <f t="shared" si="3"/>
        <v>-0.309162975066332</v>
      </c>
      <c r="H39">
        <f t="shared" si="4"/>
        <v>-0.309162975066332</v>
      </c>
      <c r="J39">
        <f t="shared" si="5"/>
        <v>15</v>
      </c>
      <c r="M39">
        <f t="shared" si="6"/>
        <v>0.7292322715865126</v>
      </c>
      <c r="N39">
        <f t="shared" si="7"/>
        <v>-1.5707963250000001</v>
      </c>
      <c r="O39">
        <f t="shared" si="8"/>
        <v>1.0820939587697107</v>
      </c>
      <c r="P39">
        <f t="shared" si="9"/>
        <v>0.39203315243498837</v>
      </c>
      <c r="Q39">
        <f t="shared" si="10"/>
        <v>1.188761156846283</v>
      </c>
      <c r="R39">
        <f t="shared" si="11"/>
        <v>0.57127571497429253</v>
      </c>
      <c r="S39">
        <f t="shared" si="12"/>
        <v>0.99978510930350439</v>
      </c>
      <c r="T39">
        <f t="shared" si="13"/>
        <v>-2.0731540862744896E-2</v>
      </c>
      <c r="U39">
        <f t="shared" si="14"/>
        <v>0.99991826137689488</v>
      </c>
      <c r="V39">
        <f t="shared" si="15"/>
        <v>-1.2785909170900788E-2</v>
      </c>
      <c r="X39">
        <f t="shared" si="34"/>
        <v>25.940253545923721</v>
      </c>
      <c r="Y39">
        <f t="shared" si="16"/>
        <v>-53.252779773670333</v>
      </c>
      <c r="Z39">
        <f t="shared" si="35"/>
        <v>126.74722022632966</v>
      </c>
      <c r="AC39">
        <v>1</v>
      </c>
      <c r="AD39">
        <f t="shared" si="17"/>
        <v>0.41343359274000002</v>
      </c>
      <c r="AE39">
        <f t="shared" si="18"/>
        <v>-9.7412995216130804E-7</v>
      </c>
      <c r="AF39">
        <f t="shared" si="19"/>
        <v>7.6183621762499992E-5</v>
      </c>
      <c r="AG39">
        <f t="shared" si="36"/>
        <v>5258.1051349655118</v>
      </c>
      <c r="AH39">
        <f t="shared" si="37"/>
        <v>-13193.414207019705</v>
      </c>
      <c r="AJ39">
        <f t="shared" si="20"/>
        <v>18000</v>
      </c>
      <c r="AK39">
        <f t="shared" si="21"/>
        <v>373.22120682000002</v>
      </c>
      <c r="AL39">
        <v>1</v>
      </c>
      <c r="AM39">
        <f t="shared" si="22"/>
        <v>0.64276985618999993</v>
      </c>
      <c r="AN39">
        <f t="shared" si="38"/>
        <v>12907.232412382868</v>
      </c>
      <c r="AO39">
        <f t="shared" si="39"/>
        <v>-7923.1587146982411</v>
      </c>
      <c r="AQ39">
        <f t="shared" si="23"/>
        <v>384.61538461538464</v>
      </c>
      <c r="AR39">
        <f t="shared" si="24"/>
        <v>-1923.0769230769231</v>
      </c>
      <c r="AT39">
        <f t="shared" si="52"/>
        <v>-23349602.269281931</v>
      </c>
      <c r="AU39">
        <f t="shared" si="53"/>
        <v>-15186130.723787408</v>
      </c>
      <c r="AV39">
        <f t="shared" si="42"/>
        <v>-2.5649498504758248</v>
      </c>
      <c r="AW39">
        <f t="shared" si="25"/>
        <v>-10265307.039971031</v>
      </c>
      <c r="AX39">
        <f t="shared" si="26"/>
        <v>-27953377.105132863</v>
      </c>
      <c r="AY39">
        <f t="shared" si="50"/>
        <v>-1.9227372356015431</v>
      </c>
      <c r="BA39">
        <f t="shared" si="27"/>
        <v>0.93535445885403457</v>
      </c>
      <c r="BB39">
        <f t="shared" si="43"/>
        <v>-0.58047558249669351</v>
      </c>
      <c r="BC39">
        <f t="shared" si="44"/>
        <v>-0.64221261487428172</v>
      </c>
      <c r="BD39">
        <f t="shared" si="28"/>
        <v>-216.79607242440255</v>
      </c>
      <c r="BF39">
        <f t="shared" si="29"/>
        <v>25.917845520240856</v>
      </c>
      <c r="BG39">
        <f t="shared" si="30"/>
        <v>-53.321976302056974</v>
      </c>
      <c r="BH39">
        <f t="shared" si="45"/>
        <v>126.67802369794302</v>
      </c>
      <c r="BI39">
        <f t="shared" si="46"/>
        <v>126.67802369794302</v>
      </c>
      <c r="BJ39">
        <f t="shared" si="31"/>
        <v>0</v>
      </c>
      <c r="BK39">
        <f t="shared" si="47"/>
        <v>0</v>
      </c>
      <c r="BM39">
        <f t="shared" si="48"/>
        <v>26.498321102737549</v>
      </c>
      <c r="BN39">
        <f t="shared" si="32"/>
        <v>-16.525903877654432</v>
      </c>
      <c r="BQ39" s="56">
        <f t="shared" si="49"/>
        <v>16.321485217788442</v>
      </c>
      <c r="BR39" s="58"/>
      <c r="BS39" s="58"/>
      <c r="BT39" s="58">
        <v>194.98400000000001</v>
      </c>
      <c r="BU39" s="58">
        <v>29.685600000000001</v>
      </c>
      <c r="BV39" s="58">
        <v>-265.6327</v>
      </c>
      <c r="BW39" s="61"/>
      <c r="BY39" s="58"/>
      <c r="BZ39" s="58"/>
      <c r="CA39" s="58"/>
      <c r="CC39" s="58"/>
    </row>
    <row r="40" spans="1:81" x14ac:dyDescent="0.25">
      <c r="A40">
        <f t="shared" si="54"/>
        <v>3000</v>
      </c>
      <c r="B40">
        <f t="shared" si="33"/>
        <v>3</v>
      </c>
      <c r="C40">
        <f t="shared" si="0"/>
        <v>1.0003094944826274</v>
      </c>
      <c r="D40">
        <f t="shared" si="1"/>
        <v>2.4876281126434467E-2</v>
      </c>
      <c r="F40">
        <f t="shared" si="2"/>
        <v>1.6914002674022526</v>
      </c>
      <c r="G40">
        <f t="shared" si="3"/>
        <v>-0.45389914201534837</v>
      </c>
      <c r="H40">
        <f t="shared" si="4"/>
        <v>-0.45389914201534837</v>
      </c>
      <c r="J40">
        <f t="shared" si="5"/>
        <v>15</v>
      </c>
      <c r="M40">
        <f t="shared" si="6"/>
        <v>0.60769355965542715</v>
      </c>
      <c r="N40">
        <f t="shared" si="7"/>
        <v>-1.5707963250000001</v>
      </c>
      <c r="O40">
        <f t="shared" si="8"/>
        <v>1.1163043327303277</v>
      </c>
      <c r="P40">
        <f t="shared" si="9"/>
        <v>0.46053904392263972</v>
      </c>
      <c r="Q40">
        <f t="shared" si="10"/>
        <v>1.2629095164572082</v>
      </c>
      <c r="R40">
        <f t="shared" si="11"/>
        <v>0.65700926636637735</v>
      </c>
      <c r="S40">
        <f t="shared" si="12"/>
        <v>0.9996906012745711</v>
      </c>
      <c r="T40">
        <f t="shared" si="13"/>
        <v>-2.487628112643446E-2</v>
      </c>
      <c r="U40">
        <f t="shared" si="14"/>
        <v>0.99988230273198964</v>
      </c>
      <c r="V40">
        <f t="shared" si="15"/>
        <v>-1.534272315185342E-2</v>
      </c>
      <c r="X40">
        <f t="shared" si="34"/>
        <v>26.742520311997882</v>
      </c>
      <c r="Y40">
        <f t="shared" si="16"/>
        <v>-52.854776820945652</v>
      </c>
      <c r="Z40">
        <f t="shared" si="35"/>
        <v>127.14522317905434</v>
      </c>
      <c r="AA40">
        <f>20*LOG(7)</f>
        <v>16.901960800285135</v>
      </c>
      <c r="AC40">
        <v>1</v>
      </c>
      <c r="AD40">
        <f t="shared" si="17"/>
        <v>0.49612031128800005</v>
      </c>
      <c r="AE40">
        <f t="shared" si="18"/>
        <v>-1.4027471311122839E-6</v>
      </c>
      <c r="AF40">
        <f t="shared" si="19"/>
        <v>9.1420346114999998E-5</v>
      </c>
      <c r="AG40">
        <f t="shared" si="36"/>
        <v>5257.7269621827609</v>
      </c>
      <c r="AH40">
        <f t="shared" si="37"/>
        <v>-11019.158253297035</v>
      </c>
      <c r="AJ40">
        <f t="shared" si="20"/>
        <v>18000</v>
      </c>
      <c r="AK40">
        <f t="shared" si="21"/>
        <v>447.86544818400006</v>
      </c>
      <c r="AL40">
        <v>1</v>
      </c>
      <c r="AM40">
        <f t="shared" si="22"/>
        <v>0.77132382742799988</v>
      </c>
      <c r="AN40">
        <f t="shared" si="38"/>
        <v>11502.278551499756</v>
      </c>
      <c r="AO40">
        <f t="shared" si="39"/>
        <v>-8424.1160683017824</v>
      </c>
      <c r="AQ40">
        <f t="shared" si="23"/>
        <v>270.27027027027026</v>
      </c>
      <c r="AR40">
        <f t="shared" si="24"/>
        <v>-1621.6216216216217</v>
      </c>
      <c r="AT40">
        <f t="shared" si="52"/>
        <v>-16447897.988540392</v>
      </c>
      <c r="AU40">
        <f t="shared" si="53"/>
        <v>-11504194.601728002</v>
      </c>
      <c r="AV40">
        <f t="shared" si="42"/>
        <v>-2.5312476554043801</v>
      </c>
      <c r="AW40">
        <f t="shared" si="25"/>
        <v>-10544905.137761442</v>
      </c>
      <c r="AX40">
        <f t="shared" si="26"/>
        <v>-20999648.585292295</v>
      </c>
      <c r="AY40">
        <f t="shared" si="50"/>
        <v>-2.0361598549224489</v>
      </c>
      <c r="BA40">
        <f t="shared" si="27"/>
        <v>0.85417592851457325</v>
      </c>
      <c r="BB40">
        <f t="shared" si="43"/>
        <v>-1.3690534313188532</v>
      </c>
      <c r="BC40">
        <f t="shared" si="44"/>
        <v>-0.49508780048193124</v>
      </c>
      <c r="BD40">
        <f t="shared" si="28"/>
        <v>-208.366441488443</v>
      </c>
      <c r="BF40">
        <f t="shared" si="29"/>
        <v>26.72038746710577</v>
      </c>
      <c r="BG40">
        <f t="shared" si="30"/>
        <v>-52.947640760094124</v>
      </c>
      <c r="BH40">
        <f t="shared" si="45"/>
        <v>127.05235923990588</v>
      </c>
      <c r="BI40">
        <f t="shared" si="46"/>
        <v>127.05235923990588</v>
      </c>
      <c r="BJ40">
        <f t="shared" si="31"/>
        <v>0</v>
      </c>
      <c r="BK40">
        <f t="shared" si="47"/>
        <v>0</v>
      </c>
      <c r="BM40">
        <f t="shared" si="48"/>
        <v>28.089440898424623</v>
      </c>
      <c r="BN40">
        <f t="shared" si="32"/>
        <v>-24.581199271651116</v>
      </c>
      <c r="BQ40" s="56">
        <f t="shared" si="49"/>
        <v>15.532907368966281</v>
      </c>
      <c r="BR40" s="58"/>
      <c r="BS40" s="58"/>
      <c r="BT40" s="58">
        <v>199.52600000000001</v>
      </c>
      <c r="BU40" s="58">
        <v>29.050999999999998</v>
      </c>
      <c r="BV40" s="58">
        <v>-267.80150000000003</v>
      </c>
      <c r="BW40" s="61"/>
      <c r="BY40" s="58"/>
      <c r="BZ40" s="58"/>
      <c r="CA40" s="58"/>
      <c r="CC40" s="58"/>
    </row>
    <row r="41" spans="1:81" x14ac:dyDescent="0.25">
      <c r="A41">
        <f t="shared" si="54"/>
        <v>3500</v>
      </c>
      <c r="B41">
        <f t="shared" si="33"/>
        <v>3.5</v>
      </c>
      <c r="C41">
        <f t="shared" si="0"/>
        <v>1.000421232848838</v>
      </c>
      <c r="D41">
        <f t="shared" si="1"/>
        <v>2.9020166702062065E-2</v>
      </c>
      <c r="F41">
        <f t="shared" si="2"/>
        <v>2.1268119527472265</v>
      </c>
      <c r="G41">
        <f t="shared" si="3"/>
        <v>-0.69872140994671283</v>
      </c>
      <c r="H41">
        <f t="shared" si="4"/>
        <v>-0.69872140994671283</v>
      </c>
      <c r="J41">
        <f t="shared" si="5"/>
        <v>15</v>
      </c>
      <c r="M41">
        <f t="shared" si="6"/>
        <v>0.52088019399036622</v>
      </c>
      <c r="N41">
        <f t="shared" si="7"/>
        <v>-1.5707963250000001</v>
      </c>
      <c r="O41">
        <f t="shared" si="8"/>
        <v>1.1554296074567123</v>
      </c>
      <c r="P41">
        <f t="shared" si="9"/>
        <v>0.52469065689468508</v>
      </c>
      <c r="Q41">
        <f t="shared" si="10"/>
        <v>1.3452806593911792</v>
      </c>
      <c r="R41">
        <f t="shared" si="11"/>
        <v>0.73274758313479571</v>
      </c>
      <c r="S41">
        <f t="shared" si="12"/>
        <v>0.9995789445135641</v>
      </c>
      <c r="T41">
        <f t="shared" si="13"/>
        <v>-2.9020166702062058E-2</v>
      </c>
      <c r="U41">
        <f t="shared" si="14"/>
        <v>0.99983981115276011</v>
      </c>
      <c r="V41">
        <f t="shared" si="15"/>
        <v>-1.7899336533342414E-2</v>
      </c>
      <c r="X41">
        <f t="shared" si="34"/>
        <v>28.240900227194444</v>
      </c>
      <c r="Y41">
        <f t="shared" si="16"/>
        <v>-59.013440097366988</v>
      </c>
      <c r="Z41">
        <f t="shared" si="35"/>
        <v>120.98655990263302</v>
      </c>
      <c r="AC41">
        <v>1</v>
      </c>
      <c r="AD41">
        <f t="shared" si="17"/>
        <v>0.57880702983599996</v>
      </c>
      <c r="AE41">
        <f t="shared" si="18"/>
        <v>-1.9092947062361635E-6</v>
      </c>
      <c r="AF41">
        <f t="shared" si="19"/>
        <v>1.066570704675E-4</v>
      </c>
      <c r="AG41">
        <f t="shared" si="36"/>
        <v>5257.2801008389615</v>
      </c>
      <c r="AH41">
        <f t="shared" si="37"/>
        <v>-9469.9553685332667</v>
      </c>
      <c r="AJ41">
        <f t="shared" si="20"/>
        <v>18000</v>
      </c>
      <c r="AK41">
        <f t="shared" si="21"/>
        <v>522.50968954799998</v>
      </c>
      <c r="AL41">
        <v>1</v>
      </c>
      <c r="AM41">
        <f t="shared" si="22"/>
        <v>0.89987779866599993</v>
      </c>
      <c r="AN41">
        <f t="shared" si="38"/>
        <v>10205.767735903295</v>
      </c>
      <c r="AO41">
        <f t="shared" si="39"/>
        <v>-8661.4341143331458</v>
      </c>
      <c r="AQ41">
        <f t="shared" si="23"/>
        <v>200</v>
      </c>
      <c r="AR41">
        <f t="shared" si="24"/>
        <v>-1400</v>
      </c>
      <c r="AT41">
        <f t="shared" si="52"/>
        <v>-12206481.49577878</v>
      </c>
      <c r="AU41">
        <f t="shared" si="53"/>
        <v>-9254183.2148812003</v>
      </c>
      <c r="AV41">
        <f t="shared" si="42"/>
        <v>-2.4929042786242865</v>
      </c>
      <c r="AW41">
        <f t="shared" si="25"/>
        <v>-10077862.408374799</v>
      </c>
      <c r="AX41">
        <f t="shared" si="26"/>
        <v>-16080950.6902357</v>
      </c>
      <c r="AY41">
        <f t="shared" si="50"/>
        <v>-2.1306140819487256</v>
      </c>
      <c r="BA41">
        <f t="shared" si="27"/>
        <v>0.80714461406249161</v>
      </c>
      <c r="BB41">
        <f t="shared" si="43"/>
        <v>-1.8609729372142292</v>
      </c>
      <c r="BC41">
        <f t="shared" si="44"/>
        <v>-0.36229019667556095</v>
      </c>
      <c r="BD41">
        <f t="shared" si="28"/>
        <v>-200.75769925219331</v>
      </c>
      <c r="BF41">
        <f t="shared" si="29"/>
        <v>28.219092103494418</v>
      </c>
      <c r="BG41">
        <f t="shared" si="30"/>
        <v>-59.128754068621241</v>
      </c>
      <c r="BH41">
        <f t="shared" si="45"/>
        <v>120.87124593137875</v>
      </c>
      <c r="BI41">
        <f t="shared" si="46"/>
        <v>120.87124593137875</v>
      </c>
      <c r="BJ41">
        <f t="shared" si="31"/>
        <v>0</v>
      </c>
      <c r="BK41">
        <f t="shared" si="47"/>
        <v>0</v>
      </c>
      <c r="BM41">
        <f t="shared" si="48"/>
        <v>30.080065040708647</v>
      </c>
      <c r="BN41">
        <f t="shared" si="32"/>
        <v>-38.371054816427943</v>
      </c>
      <c r="BQ41" s="56">
        <f t="shared" si="49"/>
        <v>15.040987863070907</v>
      </c>
      <c r="BR41" s="58"/>
      <c r="BS41" s="58"/>
      <c r="BT41" s="58">
        <v>204.17400000000001</v>
      </c>
      <c r="BU41" s="58">
        <v>28.424299999999999</v>
      </c>
      <c r="BV41" s="58">
        <v>-264.16840000000002</v>
      </c>
      <c r="BW41" s="61"/>
      <c r="BY41" s="58"/>
      <c r="BZ41" s="58"/>
      <c r="CA41" s="58"/>
      <c r="CC41" s="58"/>
    </row>
    <row r="42" spans="1:81" x14ac:dyDescent="0.25">
      <c r="A42">
        <f t="shared" si="54"/>
        <v>4000</v>
      </c>
      <c r="B42">
        <f t="shared" si="33"/>
        <v>4</v>
      </c>
      <c r="C42">
        <f t="shared" si="0"/>
        <v>1.0005501462269775</v>
      </c>
      <c r="D42">
        <f t="shared" si="1"/>
        <v>3.3163055587017043E-2</v>
      </c>
      <c r="F42">
        <f t="shared" si="2"/>
        <v>2.6188158631718355</v>
      </c>
      <c r="G42">
        <f t="shared" si="3"/>
        <v>-1.1318295077434004</v>
      </c>
      <c r="H42">
        <f t="shared" si="4"/>
        <v>-1.1318295077434004</v>
      </c>
      <c r="J42">
        <f t="shared" si="5"/>
        <v>15</v>
      </c>
      <c r="M42">
        <f t="shared" si="6"/>
        <v>0.45577016974157042</v>
      </c>
      <c r="N42">
        <f t="shared" si="7"/>
        <v>-1.5707963250000001</v>
      </c>
      <c r="O42">
        <f t="shared" si="8"/>
        <v>1.1989887318699517</v>
      </c>
      <c r="P42">
        <f t="shared" si="9"/>
        <v>0.58441279714686734</v>
      </c>
      <c r="Q42">
        <f t="shared" si="10"/>
        <v>1.4344587499638579</v>
      </c>
      <c r="R42">
        <f t="shared" si="11"/>
        <v>0.79941387178279766</v>
      </c>
      <c r="S42">
        <f t="shared" si="12"/>
        <v>0.99945015626747746</v>
      </c>
      <c r="T42">
        <f t="shared" si="13"/>
        <v>-3.3163055587017036E-2</v>
      </c>
      <c r="U42">
        <f t="shared" si="14"/>
        <v>0.9997907891383323</v>
      </c>
      <c r="V42">
        <f t="shared" si="15"/>
        <v>-2.0455715921903258E-2</v>
      </c>
      <c r="X42">
        <f t="shared" si="34"/>
        <v>29.767088320989316</v>
      </c>
      <c r="Y42">
        <f t="shared" si="16"/>
        <v>-76.733652388833704</v>
      </c>
      <c r="Z42">
        <f t="shared" si="35"/>
        <v>103.2663476111663</v>
      </c>
      <c r="AC42">
        <v>1</v>
      </c>
      <c r="AD42">
        <f t="shared" si="17"/>
        <v>0.66149374838399999</v>
      </c>
      <c r="AE42">
        <f t="shared" si="18"/>
        <v>-2.4937726775329481E-6</v>
      </c>
      <c r="AF42">
        <f t="shared" si="19"/>
        <v>1.2189379481999998E-4</v>
      </c>
      <c r="AG42">
        <f t="shared" si="36"/>
        <v>5256.7645859734184</v>
      </c>
      <c r="AH42">
        <f t="shared" si="37"/>
        <v>-8311.4089391734578</v>
      </c>
      <c r="AJ42">
        <f t="shared" si="20"/>
        <v>18000</v>
      </c>
      <c r="AK42">
        <f t="shared" si="21"/>
        <v>597.15393091200008</v>
      </c>
      <c r="AL42">
        <v>1</v>
      </c>
      <c r="AM42">
        <f t="shared" si="22"/>
        <v>1.0284317699039998</v>
      </c>
      <c r="AN42">
        <f t="shared" si="38"/>
        <v>9046.2099548985298</v>
      </c>
      <c r="AO42">
        <f t="shared" si="39"/>
        <v>-8706.2557839274759</v>
      </c>
      <c r="AQ42">
        <f t="shared" si="23"/>
        <v>153.84615384615384</v>
      </c>
      <c r="AR42">
        <f t="shared" si="24"/>
        <v>-1230.7692307692307</v>
      </c>
      <c r="AT42">
        <f t="shared" si="52"/>
        <v>-9420693.3734483439</v>
      </c>
      <c r="AU42">
        <f t="shared" si="53"/>
        <v>-7748542.4041478159</v>
      </c>
      <c r="AV42">
        <f t="shared" si="42"/>
        <v>-2.4532805778180675</v>
      </c>
      <c r="AW42">
        <f t="shared" si="25"/>
        <v>-9316771.9330840781</v>
      </c>
      <c r="AX42">
        <f t="shared" si="26"/>
        <v>-12526356.554303767</v>
      </c>
      <c r="AY42">
        <f t="shared" si="50"/>
        <v>-2.2103005448893573</v>
      </c>
      <c r="BA42">
        <f t="shared" si="27"/>
        <v>0.78135363272372427</v>
      </c>
      <c r="BB42">
        <f t="shared" si="43"/>
        <v>-2.1430472870955479</v>
      </c>
      <c r="BC42">
        <f t="shared" si="44"/>
        <v>-0.24298003292871018</v>
      </c>
      <c r="BD42">
        <f t="shared" si="28"/>
        <v>-193.92173040867274</v>
      </c>
      <c r="BF42">
        <f t="shared" si="29"/>
        <v>29.745654348395398</v>
      </c>
      <c r="BG42">
        <f t="shared" si="30"/>
        <v>-76.870681281774964</v>
      </c>
      <c r="BH42">
        <f t="shared" si="45"/>
        <v>103.12931871822504</v>
      </c>
      <c r="BI42">
        <f t="shared" si="46"/>
        <v>103.12931871822504</v>
      </c>
      <c r="BJ42">
        <f t="shared" si="31"/>
        <v>0</v>
      </c>
      <c r="BK42">
        <f t="shared" si="47"/>
        <v>0</v>
      </c>
      <c r="BM42">
        <f t="shared" si="48"/>
        <v>31.888701635490943</v>
      </c>
      <c r="BN42">
        <f t="shared" si="32"/>
        <v>-62.948950873102213</v>
      </c>
      <c r="BQ42" s="56">
        <f t="shared" si="49"/>
        <v>14.758913513189588</v>
      </c>
      <c r="BR42" s="58"/>
      <c r="BS42" s="58"/>
      <c r="BT42" s="58">
        <v>208.93</v>
      </c>
      <c r="BU42" s="58">
        <v>28.510899999999999</v>
      </c>
      <c r="BV42" s="58">
        <v>-267.69110000000001</v>
      </c>
      <c r="BW42" s="61"/>
      <c r="BY42" s="58"/>
      <c r="BZ42" s="58"/>
      <c r="CA42" s="58"/>
      <c r="CC42" s="58"/>
    </row>
    <row r="43" spans="1:81" x14ac:dyDescent="0.25">
      <c r="A43">
        <f t="shared" si="54"/>
        <v>4500</v>
      </c>
      <c r="B43">
        <f t="shared" si="33"/>
        <v>4.5</v>
      </c>
      <c r="C43">
        <f t="shared" si="0"/>
        <v>1.0006962279794012</v>
      </c>
      <c r="D43">
        <f t="shared" si="1"/>
        <v>3.7304805983834136E-2</v>
      </c>
      <c r="F43">
        <f t="shared" si="2"/>
        <v>2.5397856962541732</v>
      </c>
      <c r="G43">
        <f t="shared" si="3"/>
        <v>1.4132094828667685</v>
      </c>
      <c r="H43">
        <f t="shared" si="4"/>
        <v>-1.7283831671332317</v>
      </c>
      <c r="J43">
        <f t="shared" si="5"/>
        <v>15</v>
      </c>
      <c r="M43">
        <f t="shared" si="6"/>
        <v>0.4051290397702848</v>
      </c>
      <c r="N43">
        <f t="shared" si="7"/>
        <v>-1.5707963250000001</v>
      </c>
      <c r="O43">
        <f t="shared" si="8"/>
        <v>1.2465169743582032</v>
      </c>
      <c r="P43">
        <f t="shared" si="9"/>
        <v>0.63976619192154349</v>
      </c>
      <c r="Q43">
        <f t="shared" si="10"/>
        <v>1.5292534143188639</v>
      </c>
      <c r="R43">
        <f t="shared" si="11"/>
        <v>0.858050213846828</v>
      </c>
      <c r="S43">
        <f t="shared" si="12"/>
        <v>0.99930425641674803</v>
      </c>
      <c r="T43">
        <f t="shared" si="13"/>
        <v>-3.7304805983834129E-2</v>
      </c>
      <c r="U43">
        <f t="shared" si="14"/>
        <v>0.99973523957121346</v>
      </c>
      <c r="V43">
        <f t="shared" si="15"/>
        <v>-2.3011827942416789E-2</v>
      </c>
      <c r="X43">
        <f t="shared" si="34"/>
        <v>29.370887262633293</v>
      </c>
      <c r="Y43">
        <f t="shared" si="16"/>
        <v>-104.52898295878997</v>
      </c>
      <c r="Z43">
        <f t="shared" si="35"/>
        <v>75.471017041210033</v>
      </c>
      <c r="AC43">
        <v>1</v>
      </c>
      <c r="AD43">
        <f t="shared" si="17"/>
        <v>0.74418046693200002</v>
      </c>
      <c r="AE43">
        <f t="shared" si="18"/>
        <v>-3.1561810450026382E-6</v>
      </c>
      <c r="AF43">
        <f t="shared" si="19"/>
        <v>1.371305191725E-4</v>
      </c>
      <c r="AG43">
        <f t="shared" si="36"/>
        <v>5256.180457997586</v>
      </c>
      <c r="AH43">
        <f t="shared" si="37"/>
        <v>-7413.2983909428021</v>
      </c>
      <c r="AJ43">
        <f t="shared" si="20"/>
        <v>18000</v>
      </c>
      <c r="AK43">
        <f t="shared" si="21"/>
        <v>671.79817227600006</v>
      </c>
      <c r="AL43">
        <v>1</v>
      </c>
      <c r="AM43">
        <f t="shared" si="22"/>
        <v>1.1569857411419999</v>
      </c>
      <c r="AN43">
        <f t="shared" si="38"/>
        <v>8029.219360702763</v>
      </c>
      <c r="AO43">
        <f t="shared" si="39"/>
        <v>-8617.894140558381</v>
      </c>
      <c r="AQ43">
        <f t="shared" si="23"/>
        <v>121.95121951219512</v>
      </c>
      <c r="AR43">
        <f t="shared" si="24"/>
        <v>-1097.560975609756</v>
      </c>
      <c r="AT43">
        <f t="shared" si="52"/>
        <v>-7495549.3976204433</v>
      </c>
      <c r="AU43">
        <f t="shared" si="53"/>
        <v>-6673039.3308440335</v>
      </c>
      <c r="AV43">
        <f t="shared" si="42"/>
        <v>-2.414181068436771</v>
      </c>
      <c r="AW43">
        <f t="shared" si="25"/>
        <v>-8472680.8898266312</v>
      </c>
      <c r="AX43">
        <f t="shared" si="26"/>
        <v>-9910852.2056195587</v>
      </c>
      <c r="AY43">
        <f t="shared" si="50"/>
        <v>-2.2781220062135756</v>
      </c>
      <c r="BA43">
        <f t="shared" si="27"/>
        <v>0.7696676633913927</v>
      </c>
      <c r="BB43">
        <f t="shared" si="43"/>
        <v>-2.2739351877577807</v>
      </c>
      <c r="BC43">
        <f t="shared" si="44"/>
        <v>-0.13605906222319541</v>
      </c>
      <c r="BD43">
        <f t="shared" si="28"/>
        <v>-187.79561003880474</v>
      </c>
      <c r="BF43">
        <f t="shared" si="29"/>
        <v>29.349876708033491</v>
      </c>
      <c r="BG43">
        <f t="shared" si="30"/>
        <v>-104.68726306928006</v>
      </c>
      <c r="BH43">
        <f t="shared" si="45"/>
        <v>75.312736930719936</v>
      </c>
      <c r="BI43">
        <f t="shared" si="46"/>
        <v>75.312736930719936</v>
      </c>
      <c r="BJ43">
        <f t="shared" si="31"/>
        <v>0</v>
      </c>
      <c r="BK43">
        <f t="shared" si="47"/>
        <v>0</v>
      </c>
      <c r="BM43">
        <f t="shared" si="48"/>
        <v>31.623811895791277</v>
      </c>
      <c r="BN43">
        <f t="shared" si="32"/>
        <v>-96.891653030475339</v>
      </c>
      <c r="BQ43" s="56">
        <f t="shared" si="49"/>
        <v>14.628025612527356</v>
      </c>
      <c r="BR43" s="58"/>
      <c r="BS43" s="58"/>
      <c r="BT43" s="58">
        <v>213.79599999999999</v>
      </c>
      <c r="BU43" s="58">
        <v>28.178999999999998</v>
      </c>
      <c r="BV43" s="58">
        <v>-266.9667</v>
      </c>
      <c r="BW43" s="61"/>
      <c r="BY43" s="58"/>
      <c r="BZ43" s="58"/>
      <c r="CA43" s="58"/>
      <c r="CC43" s="58"/>
    </row>
    <row r="44" spans="1:81" x14ac:dyDescent="0.25">
      <c r="A44">
        <f t="shared" si="54"/>
        <v>5000</v>
      </c>
      <c r="B44">
        <f t="shared" si="33"/>
        <v>5</v>
      </c>
      <c r="C44">
        <f t="shared" si="0"/>
        <v>1.0008594705886116</v>
      </c>
      <c r="D44">
        <f t="shared" si="1"/>
        <v>4.1445276329197991E-2</v>
      </c>
      <c r="F44">
        <f t="shared" si="2"/>
        <v>1.875917533316684</v>
      </c>
      <c r="G44">
        <f t="shared" si="3"/>
        <v>0.94502474067803466</v>
      </c>
      <c r="H44">
        <f t="shared" si="4"/>
        <v>-2.1965679093219657</v>
      </c>
      <c r="J44">
        <f t="shared" si="5"/>
        <v>15</v>
      </c>
      <c r="M44">
        <f t="shared" si="6"/>
        <v>0.3646161357932563</v>
      </c>
      <c r="N44">
        <f t="shared" si="7"/>
        <v>-1.5707963250000001</v>
      </c>
      <c r="O44">
        <f t="shared" si="8"/>
        <v>1.2975782606161437</v>
      </c>
      <c r="P44">
        <f t="shared" si="9"/>
        <v>0.69091003349099134</v>
      </c>
      <c r="Q44">
        <f t="shared" si="10"/>
        <v>1.6286842395338799</v>
      </c>
      <c r="R44">
        <f t="shared" si="11"/>
        <v>0.9096873516587245</v>
      </c>
      <c r="S44">
        <f t="shared" si="12"/>
        <v>0.99914126746674425</v>
      </c>
      <c r="T44">
        <f t="shared" si="13"/>
        <v>-4.1445276329197978E-2</v>
      </c>
      <c r="U44">
        <f t="shared" si="14"/>
        <v>0.99967316571682152</v>
      </c>
      <c r="V44">
        <f t="shared" si="15"/>
        <v>-2.5567639240719663E-2</v>
      </c>
      <c r="X44">
        <f t="shared" si="34"/>
        <v>26.719387496821962</v>
      </c>
      <c r="Y44">
        <f t="shared" si="16"/>
        <v>-125.6115136105677</v>
      </c>
      <c r="Z44">
        <f t="shared" si="35"/>
        <v>54.388486389432302</v>
      </c>
      <c r="AC44">
        <v>1</v>
      </c>
      <c r="AD44">
        <f t="shared" si="17"/>
        <v>0.82686718548000004</v>
      </c>
      <c r="AE44">
        <f t="shared" si="18"/>
        <v>-3.8965198086452322E-6</v>
      </c>
      <c r="AF44">
        <f t="shared" si="19"/>
        <v>1.5236724352499998E-4</v>
      </c>
      <c r="AG44">
        <f t="shared" si="36"/>
        <v>5255.5277626871675</v>
      </c>
      <c r="AH44">
        <f t="shared" si="37"/>
        <v>-6697.4911695160927</v>
      </c>
      <c r="AJ44">
        <f t="shared" si="20"/>
        <v>18000</v>
      </c>
      <c r="AK44">
        <f t="shared" si="21"/>
        <v>746.44241364000004</v>
      </c>
      <c r="AL44">
        <v>1</v>
      </c>
      <c r="AM44">
        <f t="shared" si="22"/>
        <v>1.2855397123799999</v>
      </c>
      <c r="AN44">
        <f t="shared" si="38"/>
        <v>7147.5130358516044</v>
      </c>
      <c r="AO44">
        <f t="shared" si="39"/>
        <v>-8441.9694387009713</v>
      </c>
      <c r="AQ44">
        <f t="shared" si="23"/>
        <v>99.009900990099013</v>
      </c>
      <c r="AR44">
        <f t="shared" si="24"/>
        <v>-990.09900990099015</v>
      </c>
      <c r="AT44">
        <f t="shared" si="52"/>
        <v>-6110830.0923241349</v>
      </c>
      <c r="AU44">
        <f t="shared" si="53"/>
        <v>-5866610.7719195811</v>
      </c>
      <c r="AV44">
        <f t="shared" si="42"/>
        <v>-2.3765816068483594</v>
      </c>
      <c r="AW44">
        <f t="shared" si="25"/>
        <v>-7643974.4471986173</v>
      </c>
      <c r="AX44">
        <f t="shared" si="26"/>
        <v>-7955266.7144919112</v>
      </c>
      <c r="AY44">
        <f t="shared" si="50"/>
        <v>-2.3362415352781323</v>
      </c>
      <c r="BA44">
        <f t="shared" si="27"/>
        <v>0.76782874512439059</v>
      </c>
      <c r="BB44">
        <f t="shared" si="43"/>
        <v>-2.2947126655438517</v>
      </c>
      <c r="BC44">
        <f t="shared" si="44"/>
        <v>-4.0340071570227121E-2</v>
      </c>
      <c r="BD44">
        <f t="shared" si="28"/>
        <v>-182.31131584887075</v>
      </c>
      <c r="BF44">
        <f t="shared" si="29"/>
        <v>26.698849427299074</v>
      </c>
      <c r="BG44">
        <f t="shared" si="30"/>
        <v>-125.79074719357361</v>
      </c>
      <c r="BH44">
        <f t="shared" si="45"/>
        <v>54.209252806426392</v>
      </c>
      <c r="BI44">
        <f t="shared" si="46"/>
        <v>54.209252806426392</v>
      </c>
      <c r="BJ44">
        <f t="shared" si="31"/>
        <v>0</v>
      </c>
      <c r="BK44">
        <f t="shared" si="47"/>
        <v>0</v>
      </c>
      <c r="BM44">
        <f t="shared" si="48"/>
        <v>28.993562092842922</v>
      </c>
      <c r="BN44">
        <f t="shared" si="32"/>
        <v>-123.47943134470286</v>
      </c>
      <c r="BQ44" s="56">
        <f t="shared" si="49"/>
        <v>14.607248134741287</v>
      </c>
      <c r="BR44" s="58"/>
      <c r="BS44" s="58"/>
      <c r="BT44" s="58">
        <v>218.77600000000001</v>
      </c>
      <c r="BU44" s="58">
        <v>27.706399999999999</v>
      </c>
      <c r="BV44" s="58">
        <v>-263.5369</v>
      </c>
      <c r="BW44" s="61"/>
      <c r="BY44" s="58"/>
      <c r="BZ44" s="58"/>
      <c r="CA44" s="58"/>
      <c r="CC44" s="58"/>
    </row>
    <row r="45" spans="1:81" x14ac:dyDescent="0.25">
      <c r="A45">
        <f t="shared" si="54"/>
        <v>5500</v>
      </c>
      <c r="B45">
        <f t="shared" si="33"/>
        <v>5.5</v>
      </c>
      <c r="C45">
        <f t="shared" si="0"/>
        <v>1.0010398656591895</v>
      </c>
      <c r="D45">
        <f t="shared" si="1"/>
        <v>4.5584325322827406E-2</v>
      </c>
      <c r="F45">
        <f t="shared" si="2"/>
        <v>1.3212406961032002</v>
      </c>
      <c r="G45">
        <f t="shared" si="3"/>
        <v>0.6789069391680338</v>
      </c>
      <c r="H45">
        <f t="shared" si="4"/>
        <v>-2.4626857108319662</v>
      </c>
      <c r="J45">
        <f t="shared" si="5"/>
        <v>15</v>
      </c>
      <c r="M45">
        <f t="shared" si="6"/>
        <v>0.33146921435750576</v>
      </c>
      <c r="N45">
        <f t="shared" si="7"/>
        <v>-1.5707963250000001</v>
      </c>
      <c r="O45">
        <f t="shared" si="8"/>
        <v>1.3517722827209382</v>
      </c>
      <c r="P45">
        <f t="shared" si="9"/>
        <v>0.73806849667614782</v>
      </c>
      <c r="Q45">
        <f t="shared" si="10"/>
        <v>1.7319529283581363</v>
      </c>
      <c r="R45">
        <f t="shared" si="11"/>
        <v>0.95527665628119962</v>
      </c>
      <c r="S45">
        <f t="shared" si="12"/>
        <v>0.99896121453813957</v>
      </c>
      <c r="T45">
        <f t="shared" si="13"/>
        <v>-4.5584325322827392E-2</v>
      </c>
      <c r="U45">
        <f t="shared" si="14"/>
        <v>0.99960457122295288</v>
      </c>
      <c r="V45">
        <f t="shared" si="15"/>
        <v>-2.8123116486210725E-2</v>
      </c>
      <c r="X45">
        <f t="shared" si="34"/>
        <v>23.735685105850017</v>
      </c>
      <c r="Y45">
        <f t="shared" si="16"/>
        <v>-135.69130290808047</v>
      </c>
      <c r="Z45">
        <f t="shared" si="35"/>
        <v>44.308697091919527</v>
      </c>
      <c r="AC45">
        <v>1</v>
      </c>
      <c r="AD45">
        <f t="shared" si="17"/>
        <v>0.90955390402800007</v>
      </c>
      <c r="AE45">
        <f t="shared" si="18"/>
        <v>-4.7147889684607308E-6</v>
      </c>
      <c r="AF45">
        <f t="shared" si="19"/>
        <v>1.6760396787749999E-4</v>
      </c>
      <c r="AG45">
        <f t="shared" si="36"/>
        <v>5254.8065511731502</v>
      </c>
      <c r="AH45">
        <f t="shared" si="37"/>
        <v>-6114.2663681319527</v>
      </c>
      <c r="AJ45">
        <f t="shared" si="20"/>
        <v>18000</v>
      </c>
      <c r="AK45">
        <f t="shared" si="21"/>
        <v>821.08665500400014</v>
      </c>
      <c r="AL45">
        <v>1</v>
      </c>
      <c r="AM45">
        <f t="shared" si="22"/>
        <v>1.414093683618</v>
      </c>
      <c r="AN45">
        <f t="shared" si="38"/>
        <v>6387.7530818229689</v>
      </c>
      <c r="AO45">
        <f t="shared" si="39"/>
        <v>-8211.7946305132737</v>
      </c>
      <c r="AQ45">
        <f t="shared" si="23"/>
        <v>81.967213114754102</v>
      </c>
      <c r="AR45">
        <f t="shared" si="24"/>
        <v>-901.63934426229503</v>
      </c>
      <c r="AT45">
        <f t="shared" si="52"/>
        <v>-5082141.2703506825</v>
      </c>
      <c r="AU45">
        <f t="shared" si="53"/>
        <v>-5239109.7074620165</v>
      </c>
      <c r="AV45">
        <f t="shared" si="42"/>
        <v>-2.3409873861991106</v>
      </c>
      <c r="AW45">
        <f t="shared" si="25"/>
        <v>-6873817.9411029564</v>
      </c>
      <c r="AX45">
        <f t="shared" si="26"/>
        <v>-6471421.6488317633</v>
      </c>
      <c r="AY45">
        <f t="shared" si="50"/>
        <v>-2.3863381533562902</v>
      </c>
      <c r="BA45">
        <f t="shared" si="27"/>
        <v>0.77314124702225862</v>
      </c>
      <c r="BB45">
        <f t="shared" si="43"/>
        <v>-2.2348231307258866</v>
      </c>
      <c r="BC45">
        <f t="shared" si="44"/>
        <v>4.5350767157179561E-2</v>
      </c>
      <c r="BD45">
        <f t="shared" si="28"/>
        <v>-177.40159244124399</v>
      </c>
      <c r="BF45">
        <f t="shared" si="29"/>
        <v>23.715668358211342</v>
      </c>
      <c r="BG45">
        <f t="shared" si="30"/>
        <v>-135.89130064438896</v>
      </c>
      <c r="BH45">
        <f t="shared" si="45"/>
        <v>44.108699355611037</v>
      </c>
      <c r="BI45">
        <f t="shared" si="46"/>
        <v>44.108699355611037</v>
      </c>
      <c r="BJ45">
        <f t="shared" si="31"/>
        <v>0</v>
      </c>
      <c r="BK45">
        <f t="shared" si="47"/>
        <v>0</v>
      </c>
      <c r="BM45">
        <f t="shared" si="48"/>
        <v>25.950491488937224</v>
      </c>
      <c r="BN45">
        <f t="shared" si="32"/>
        <v>-138.489708203145</v>
      </c>
      <c r="BQ45" s="56">
        <f t="shared" si="49"/>
        <v>14.667137669559249</v>
      </c>
      <c r="BR45" s="58"/>
      <c r="BS45" s="58"/>
      <c r="BT45" s="58">
        <v>223.87200000000001</v>
      </c>
      <c r="BU45" s="58">
        <v>27.937100000000001</v>
      </c>
      <c r="BV45" s="58">
        <v>-265.19450000000001</v>
      </c>
      <c r="BW45" s="61"/>
      <c r="BY45" s="58"/>
      <c r="BZ45" s="58"/>
      <c r="CA45" s="58"/>
      <c r="CC45" s="58"/>
    </row>
    <row r="46" spans="1:81" x14ac:dyDescent="0.25">
      <c r="A46">
        <f t="shared" si="54"/>
        <v>6000</v>
      </c>
      <c r="B46">
        <f t="shared" si="33"/>
        <v>6</v>
      </c>
      <c r="C46">
        <f t="shared" si="0"/>
        <v>1.0012374039199488</v>
      </c>
      <c r="D46">
        <f t="shared" si="1"/>
        <v>4.9721811956224798E-2</v>
      </c>
      <c r="F46">
        <f t="shared" si="2"/>
        <v>0.96907511447985006</v>
      </c>
      <c r="G46">
        <f t="shared" si="3"/>
        <v>0.52641838188608514</v>
      </c>
      <c r="H46">
        <f t="shared" si="4"/>
        <v>-2.6151742681139152</v>
      </c>
      <c r="J46">
        <f t="shared" si="5"/>
        <v>15</v>
      </c>
      <c r="M46">
        <f t="shared" si="6"/>
        <v>0.30384677982771358</v>
      </c>
      <c r="N46">
        <f t="shared" si="7"/>
        <v>-1.5707963250000001</v>
      </c>
      <c r="O46">
        <f t="shared" si="8"/>
        <v>1.4087375387523426</v>
      </c>
      <c r="P46">
        <f t="shared" si="9"/>
        <v>0.78150338377031114</v>
      </c>
      <c r="Q46">
        <f t="shared" si="10"/>
        <v>1.8384128445571513</v>
      </c>
      <c r="R46">
        <f t="shared" si="11"/>
        <v>0.99566205992176104</v>
      </c>
      <c r="S46">
        <f t="shared" si="12"/>
        <v>0.99876412535618009</v>
      </c>
      <c r="T46">
        <f t="shared" si="13"/>
        <v>-4.9721811956224785E-2</v>
      </c>
      <c r="U46">
        <f t="shared" si="14"/>
        <v>0.99952946011918642</v>
      </c>
      <c r="V46">
        <f t="shared" si="15"/>
        <v>-3.0678226374452798E-2</v>
      </c>
      <c r="X46">
        <f t="shared" si="34"/>
        <v>21.163441408468117</v>
      </c>
      <c r="Y46">
        <f t="shared" si="16"/>
        <v>-139.77210178516722</v>
      </c>
      <c r="Z46">
        <f t="shared" si="35"/>
        <v>40.227898214832777</v>
      </c>
      <c r="AC46">
        <v>1</v>
      </c>
      <c r="AD46">
        <f t="shared" si="17"/>
        <v>0.9922406225760001</v>
      </c>
      <c r="AE46">
        <f t="shared" si="18"/>
        <v>-5.6109885244491354E-6</v>
      </c>
      <c r="AF46">
        <f t="shared" si="19"/>
        <v>1.8284069223E-4</v>
      </c>
      <c r="AG46">
        <f t="shared" si="36"/>
        <v>5254.0168799317953</v>
      </c>
      <c r="AH46">
        <f t="shared" si="37"/>
        <v>-5630.476541433949</v>
      </c>
      <c r="AJ46">
        <f t="shared" si="20"/>
        <v>18000</v>
      </c>
      <c r="AK46">
        <f t="shared" si="21"/>
        <v>895.73089636800012</v>
      </c>
      <c r="AL46">
        <v>1</v>
      </c>
      <c r="AM46">
        <f t="shared" si="22"/>
        <v>1.5426476548559998</v>
      </c>
      <c r="AN46">
        <f t="shared" si="38"/>
        <v>5734.6636798567206</v>
      </c>
      <c r="AO46">
        <f t="shared" si="39"/>
        <v>-7950.8345807508467</v>
      </c>
      <c r="AQ46">
        <f t="shared" si="23"/>
        <v>68.965517241379317</v>
      </c>
      <c r="AR46">
        <f t="shared" si="24"/>
        <v>-827.58620689655174</v>
      </c>
      <c r="AT46">
        <f t="shared" si="52"/>
        <v>-4297358.7322259033</v>
      </c>
      <c r="AU46">
        <f t="shared" si="53"/>
        <v>-4736460.6276286552</v>
      </c>
      <c r="AV46">
        <f t="shared" si="42"/>
        <v>-2.3076262643054934</v>
      </c>
      <c r="AW46">
        <f t="shared" si="25"/>
        <v>-6177889.0661222134</v>
      </c>
      <c r="AX46">
        <f t="shared" si="26"/>
        <v>-5329959.2407773295</v>
      </c>
      <c r="AY46">
        <f t="shared" si="50"/>
        <v>-2.4297443207389917</v>
      </c>
      <c r="BA46">
        <f t="shared" si="27"/>
        <v>0.78381570744657991</v>
      </c>
      <c r="BB46">
        <f t="shared" si="43"/>
        <v>-2.1157207526259962</v>
      </c>
      <c r="BC46">
        <f t="shared" si="44"/>
        <v>0.12211805643349827</v>
      </c>
      <c r="BD46">
        <f t="shared" si="28"/>
        <v>-173.00315075602506</v>
      </c>
      <c r="BF46">
        <f t="shared" si="29"/>
        <v>21.143994561644842</v>
      </c>
      <c r="BG46">
        <f t="shared" si="30"/>
        <v>-139.99274920329168</v>
      </c>
      <c r="BH46">
        <f t="shared" si="45"/>
        <v>40.00725079670832</v>
      </c>
      <c r="BI46">
        <f t="shared" si="46"/>
        <v>40.00725079670832</v>
      </c>
      <c r="BJ46">
        <f t="shared" si="31"/>
        <v>0</v>
      </c>
      <c r="BK46">
        <f t="shared" si="47"/>
        <v>0</v>
      </c>
      <c r="BM46">
        <f t="shared" si="48"/>
        <v>23.259715314270835</v>
      </c>
      <c r="BN46">
        <f t="shared" si="32"/>
        <v>-146.98959844726662</v>
      </c>
      <c r="BQ46" s="56">
        <f t="shared" si="49"/>
        <v>14.78624004765914</v>
      </c>
      <c r="BR46" s="58"/>
      <c r="BS46" s="58"/>
      <c r="BT46" s="58">
        <v>229.08699999999999</v>
      </c>
      <c r="BU46" s="58">
        <v>27.676300000000001</v>
      </c>
      <c r="BV46" s="58">
        <v>-266.75440000000003</v>
      </c>
      <c r="BW46" s="61"/>
      <c r="BY46" s="58"/>
      <c r="BZ46" s="58"/>
      <c r="CA46" s="58"/>
      <c r="CC46" s="58"/>
    </row>
    <row r="47" spans="1:81" x14ac:dyDescent="0.25">
      <c r="A47">
        <f t="shared" si="54"/>
        <v>6500</v>
      </c>
      <c r="B47">
        <f t="shared" si="33"/>
        <v>6.5</v>
      </c>
      <c r="C47">
        <f t="shared" si="0"/>
        <v>1.0014520752263123</v>
      </c>
      <c r="D47">
        <f t="shared" si="1"/>
        <v>5.3857595541276213E-2</v>
      </c>
      <c r="F47">
        <f t="shared" si="2"/>
        <v>0.74368172778144737</v>
      </c>
      <c r="G47">
        <f t="shared" si="3"/>
        <v>0.43092448760685997</v>
      </c>
      <c r="H47">
        <f t="shared" si="4"/>
        <v>-2.7106681623931403</v>
      </c>
      <c r="J47">
        <f t="shared" si="5"/>
        <v>15</v>
      </c>
      <c r="M47">
        <f t="shared" si="6"/>
        <v>0.28047395061019714</v>
      </c>
      <c r="N47">
        <f t="shared" si="7"/>
        <v>-1.5707963250000001</v>
      </c>
      <c r="O47">
        <f t="shared" si="8"/>
        <v>1.4681514869712569</v>
      </c>
      <c r="P47">
        <f t="shared" si="9"/>
        <v>0.82149330604877491</v>
      </c>
      <c r="Q47">
        <f t="shared" si="10"/>
        <v>1.9475407248782322</v>
      </c>
      <c r="R47">
        <f t="shared" si="11"/>
        <v>1.0315748594613041</v>
      </c>
      <c r="S47">
        <f t="shared" si="12"/>
        <v>0.9985500302388568</v>
      </c>
      <c r="T47">
        <f t="shared" si="13"/>
        <v>-5.3857595541276199E-2</v>
      </c>
      <c r="U47">
        <f t="shared" si="14"/>
        <v>0.99944783681622751</v>
      </c>
      <c r="V47">
        <f t="shared" si="15"/>
        <v>-3.3232935629769332E-2</v>
      </c>
      <c r="X47">
        <f t="shared" si="34"/>
        <v>19.027769029454699</v>
      </c>
      <c r="Y47">
        <f t="shared" si="16"/>
        <v>-141.04096734257047</v>
      </c>
      <c r="Z47">
        <f t="shared" si="35"/>
        <v>38.959032657429532</v>
      </c>
      <c r="AC47">
        <v>1</v>
      </c>
      <c r="AD47">
        <f t="shared" si="17"/>
        <v>1.0749273411239999</v>
      </c>
      <c r="AE47">
        <f t="shared" si="18"/>
        <v>-6.5851184766104426E-6</v>
      </c>
      <c r="AF47">
        <f t="shared" si="19"/>
        <v>1.980774165825E-4</v>
      </c>
      <c r="AG47">
        <f t="shared" si="36"/>
        <v>5253.1588107735979</v>
      </c>
      <c r="AH47">
        <f t="shared" si="37"/>
        <v>-5223.1732975701561</v>
      </c>
      <c r="AJ47">
        <f t="shared" si="20"/>
        <v>18000</v>
      </c>
      <c r="AK47">
        <f t="shared" si="21"/>
        <v>970.3751377320001</v>
      </c>
      <c r="AL47">
        <v>1</v>
      </c>
      <c r="AM47">
        <f t="shared" si="22"/>
        <v>1.6712016260939997</v>
      </c>
      <c r="AN47">
        <f t="shared" si="38"/>
        <v>5173.248848036038</v>
      </c>
      <c r="AO47">
        <f t="shared" si="39"/>
        <v>-7675.1667492947372</v>
      </c>
      <c r="AQ47">
        <f t="shared" si="23"/>
        <v>58.823529411764703</v>
      </c>
      <c r="AR47">
        <f t="shared" si="24"/>
        <v>-764.70588235294122</v>
      </c>
      <c r="AT47">
        <f t="shared" si="52"/>
        <v>-3685182.0033904961</v>
      </c>
      <c r="AU47">
        <f t="shared" si="53"/>
        <v>-4324366.9316251138</v>
      </c>
      <c r="AV47">
        <f t="shared" si="42"/>
        <v>-2.2765603919010093</v>
      </c>
      <c r="AW47">
        <f t="shared" si="25"/>
        <v>-5558365.9117919467</v>
      </c>
      <c r="AX47">
        <f t="shared" si="26"/>
        <v>-4440500.9282714957</v>
      </c>
      <c r="AY47">
        <f t="shared" si="50"/>
        <v>-2.4675313248876543</v>
      </c>
      <c r="BA47">
        <f t="shared" si="27"/>
        <v>0.79861686630921247</v>
      </c>
      <c r="BB47">
        <f t="shared" si="43"/>
        <v>-1.9532304401170888</v>
      </c>
      <c r="BC47">
        <f t="shared" si="44"/>
        <v>0.19097093298664491</v>
      </c>
      <c r="BD47">
        <f t="shared" si="28"/>
        <v>-169.0581715176867</v>
      </c>
      <c r="BF47">
        <f t="shared" si="29"/>
        <v>19.008940378364407</v>
      </c>
      <c r="BG47">
        <f t="shared" si="30"/>
        <v>-141.28220413799968</v>
      </c>
      <c r="BH47">
        <f t="shared" si="45"/>
        <v>38.717795862000315</v>
      </c>
      <c r="BI47">
        <f t="shared" si="46"/>
        <v>38.717795862000315</v>
      </c>
      <c r="BJ47">
        <f t="shared" si="31"/>
        <v>0</v>
      </c>
      <c r="BK47">
        <f t="shared" si="47"/>
        <v>0</v>
      </c>
      <c r="BM47">
        <f t="shared" si="48"/>
        <v>20.962170818481493</v>
      </c>
      <c r="BN47">
        <f t="shared" si="32"/>
        <v>-152.22403262031298</v>
      </c>
      <c r="BQ47" s="56">
        <f t="shared" si="49"/>
        <v>14.948730360168048</v>
      </c>
      <c r="BR47" s="58"/>
      <c r="BS47" s="58"/>
      <c r="BT47" s="58">
        <v>234.423</v>
      </c>
      <c r="BU47" s="58">
        <v>27.670300000000001</v>
      </c>
      <c r="BV47" s="58">
        <v>-266.76120000000003</v>
      </c>
      <c r="BW47" s="61"/>
      <c r="BY47" s="58"/>
      <c r="BZ47" s="58"/>
      <c r="CA47" s="58"/>
      <c r="CC47" s="58"/>
    </row>
    <row r="48" spans="1:81" x14ac:dyDescent="0.25">
      <c r="A48">
        <f t="shared" si="54"/>
        <v>7000</v>
      </c>
      <c r="B48">
        <f t="shared" si="33"/>
        <v>7</v>
      </c>
      <c r="C48">
        <f t="shared" si="0"/>
        <v>1.0016838685629088</v>
      </c>
      <c r="D48">
        <f t="shared" si="1"/>
        <v>5.7991535738687594E-2</v>
      </c>
      <c r="F48">
        <f t="shared" si="2"/>
        <v>0.59185249864332068</v>
      </c>
      <c r="G48">
        <f t="shared" si="3"/>
        <v>0.36612848237623907</v>
      </c>
      <c r="H48">
        <f t="shared" si="4"/>
        <v>-2.775464167623761</v>
      </c>
      <c r="J48">
        <f t="shared" si="5"/>
        <v>15</v>
      </c>
      <c r="M48">
        <f t="shared" si="6"/>
        <v>0.26044009699518311</v>
      </c>
      <c r="N48">
        <f t="shared" si="7"/>
        <v>-1.5707963250000001</v>
      </c>
      <c r="O48">
        <f t="shared" si="8"/>
        <v>1.5297288358236205</v>
      </c>
      <c r="P48">
        <f t="shared" si="9"/>
        <v>0.85831880144831429</v>
      </c>
      <c r="Q48">
        <f t="shared" si="10"/>
        <v>2.0589123852480617</v>
      </c>
      <c r="R48">
        <f t="shared" si="11"/>
        <v>1.0636401742826145</v>
      </c>
      <c r="S48">
        <f t="shared" si="12"/>
        <v>0.99831896208399107</v>
      </c>
      <c r="T48">
        <f t="shared" si="13"/>
        <v>-5.799153573868758E-2</v>
      </c>
      <c r="U48">
        <f t="shared" si="14"/>
        <v>0.99935970610518843</v>
      </c>
      <c r="V48">
        <f t="shared" si="15"/>
        <v>-3.5787211007835405E-2</v>
      </c>
      <c r="X48">
        <f t="shared" si="34"/>
        <v>17.239734943175804</v>
      </c>
      <c r="Y48">
        <f t="shared" si="16"/>
        <v>-140.95270149747776</v>
      </c>
      <c r="Z48">
        <f t="shared" si="35"/>
        <v>39.047298502522239</v>
      </c>
      <c r="AC48">
        <v>1</v>
      </c>
      <c r="AD48">
        <f t="shared" si="17"/>
        <v>1.1576140596719999</v>
      </c>
      <c r="AE48">
        <f t="shared" si="18"/>
        <v>-7.6371788249446541E-6</v>
      </c>
      <c r="AF48">
        <f t="shared" si="19"/>
        <v>2.1331414093500001E-4</v>
      </c>
      <c r="AG48">
        <f t="shared" si="36"/>
        <v>5252.2324108312096</v>
      </c>
      <c r="AH48">
        <f t="shared" si="37"/>
        <v>-4875.9647794218472</v>
      </c>
      <c r="AJ48">
        <f t="shared" si="20"/>
        <v>18000</v>
      </c>
      <c r="AK48">
        <f t="shared" si="21"/>
        <v>1045.019379096</v>
      </c>
      <c r="AL48">
        <v>1</v>
      </c>
      <c r="AM48">
        <f t="shared" si="22"/>
        <v>1.7997555973319999</v>
      </c>
      <c r="AN48">
        <f t="shared" si="38"/>
        <v>4689.836213974404</v>
      </c>
      <c r="AO48">
        <f t="shared" si="39"/>
        <v>-7395.5395975747469</v>
      </c>
      <c r="AQ48">
        <f t="shared" si="23"/>
        <v>50.761421319796952</v>
      </c>
      <c r="AR48">
        <f t="shared" si="24"/>
        <v>-710.65989847715741</v>
      </c>
      <c r="AT48">
        <f t="shared" si="52"/>
        <v>-3198541.8528464292</v>
      </c>
      <c r="AU48">
        <f t="shared" si="53"/>
        <v>-3980061.8543684664</v>
      </c>
      <c r="AV48">
        <f t="shared" si="42"/>
        <v>-2.247753598364024</v>
      </c>
      <c r="AW48">
        <f t="shared" si="25"/>
        <v>-5011121.2106322097</v>
      </c>
      <c r="AX48">
        <f t="shared" si="26"/>
        <v>-3738985.5950418753</v>
      </c>
      <c r="AY48">
        <f t="shared" si="50"/>
        <v>-2.5005681130356283</v>
      </c>
      <c r="BA48">
        <f t="shared" si="27"/>
        <v>0.81666360104003999</v>
      </c>
      <c r="BB48">
        <f t="shared" si="43"/>
        <v>-1.7591360125040634</v>
      </c>
      <c r="BC48">
        <f t="shared" si="44"/>
        <v>0.25281451467160432</v>
      </c>
      <c r="BD48">
        <f t="shared" si="28"/>
        <v>-165.51479529311709</v>
      </c>
      <c r="BF48">
        <f t="shared" si="29"/>
        <v>17.221572473420469</v>
      </c>
      <c r="BG48">
        <f t="shared" si="30"/>
        <v>-141.21450822035263</v>
      </c>
      <c r="BH48">
        <f t="shared" si="45"/>
        <v>38.785491779647373</v>
      </c>
      <c r="BI48">
        <f t="shared" si="46"/>
        <v>38.785491779647373</v>
      </c>
      <c r="BJ48">
        <f t="shared" si="31"/>
        <v>0</v>
      </c>
      <c r="BK48">
        <f t="shared" si="47"/>
        <v>0</v>
      </c>
      <c r="BM48">
        <f t="shared" si="48"/>
        <v>18.980708485924531</v>
      </c>
      <c r="BN48">
        <f t="shared" si="32"/>
        <v>-155.69971292723554</v>
      </c>
      <c r="BQ48" s="56">
        <f t="shared" si="49"/>
        <v>15.142824787781073</v>
      </c>
      <c r="BR48" s="58"/>
      <c r="BS48" s="58"/>
      <c r="BT48" s="58">
        <v>239.88300000000001</v>
      </c>
      <c r="BU48" s="58">
        <v>27.2761</v>
      </c>
      <c r="BV48" s="58">
        <v>-267.59569999999997</v>
      </c>
      <c r="BW48" s="61"/>
      <c r="BY48" s="58"/>
      <c r="BZ48" s="58"/>
      <c r="CA48" s="58"/>
      <c r="CC48" s="58"/>
    </row>
    <row r="49" spans="1:81" x14ac:dyDescent="0.25">
      <c r="A49">
        <f t="shared" si="54"/>
        <v>7500</v>
      </c>
      <c r="B49">
        <f t="shared" si="33"/>
        <v>7.5</v>
      </c>
      <c r="C49">
        <f t="shared" si="0"/>
        <v>1.0019327720463886</v>
      </c>
      <c r="D49">
        <f t="shared" si="1"/>
        <v>6.2123492586243015E-2</v>
      </c>
      <c r="F49">
        <f t="shared" si="2"/>
        <v>0.48443674099105732</v>
      </c>
      <c r="G49">
        <f t="shared" si="3"/>
        <v>0.31936062001361876</v>
      </c>
      <c r="H49">
        <f t="shared" si="4"/>
        <v>-2.8222320299863815</v>
      </c>
      <c r="J49">
        <f t="shared" si="5"/>
        <v>15</v>
      </c>
      <c r="M49">
        <f t="shared" si="6"/>
        <v>0.24307742386217085</v>
      </c>
      <c r="N49">
        <f t="shared" si="7"/>
        <v>-1.5707963250000001</v>
      </c>
      <c r="O49">
        <f t="shared" si="8"/>
        <v>1.593218761015931</v>
      </c>
      <c r="P49">
        <f t="shared" si="9"/>
        <v>0.8922523472453795</v>
      </c>
      <c r="Q49">
        <f t="shared" si="10"/>
        <v>2.1721827253338102</v>
      </c>
      <c r="R49">
        <f t="shared" si="11"/>
        <v>1.0923884034670592</v>
      </c>
      <c r="S49">
        <f t="shared" si="12"/>
        <v>0.99807095635524423</v>
      </c>
      <c r="T49">
        <f t="shared" si="13"/>
        <v>-6.2123492586243001E-2</v>
      </c>
      <c r="U49">
        <f t="shared" si="14"/>
        <v>0.9992650731568089</v>
      </c>
      <c r="V49">
        <f t="shared" si="15"/>
        <v>-3.8341019298262641E-2</v>
      </c>
      <c r="X49">
        <f t="shared" si="34"/>
        <v>15.718508665175612</v>
      </c>
      <c r="Y49">
        <f t="shared" si="16"/>
        <v>-140.18722390472772</v>
      </c>
      <c r="Z49">
        <f t="shared" si="35"/>
        <v>39.812776095272284</v>
      </c>
      <c r="AC49">
        <v>1</v>
      </c>
      <c r="AD49">
        <f t="shared" si="17"/>
        <v>1.24030077822</v>
      </c>
      <c r="AE49">
        <f t="shared" si="18"/>
        <v>-8.7671695694517715E-6</v>
      </c>
      <c r="AF49">
        <f t="shared" si="19"/>
        <v>2.2855086528749999E-4</v>
      </c>
      <c r="AG49">
        <f t="shared" si="36"/>
        <v>5251.2377525463135</v>
      </c>
      <c r="AH49">
        <f t="shared" si="37"/>
        <v>-4576.830153367574</v>
      </c>
      <c r="AJ49">
        <f t="shared" si="20"/>
        <v>18000</v>
      </c>
      <c r="AK49">
        <f t="shared" si="21"/>
        <v>1119.6636204599999</v>
      </c>
      <c r="AL49">
        <v>1</v>
      </c>
      <c r="AM49">
        <f t="shared" si="22"/>
        <v>1.9283095685699998</v>
      </c>
      <c r="AN49">
        <f t="shared" si="38"/>
        <v>4272.4552718251807</v>
      </c>
      <c r="AO49">
        <f t="shared" si="39"/>
        <v>-7118.9527614878361</v>
      </c>
      <c r="AQ49">
        <f t="shared" si="23"/>
        <v>44.247787610619469</v>
      </c>
      <c r="AR49">
        <f t="shared" si="24"/>
        <v>-663.71681415929208</v>
      </c>
      <c r="AT49">
        <f t="shared" si="52"/>
        <v>-2805363.4755737744</v>
      </c>
      <c r="AU49">
        <f t="shared" si="53"/>
        <v>-3687849.4000691273</v>
      </c>
      <c r="AV49">
        <f t="shared" si="42"/>
        <v>-2.2211131618668523</v>
      </c>
      <c r="AW49">
        <f t="shared" si="25"/>
        <v>-4529428.135865761</v>
      </c>
      <c r="AX49">
        <f t="shared" si="26"/>
        <v>-3179396.2990324101</v>
      </c>
      <c r="AY49">
        <f t="shared" si="50"/>
        <v>-2.5295644550432526</v>
      </c>
      <c r="BA49">
        <f t="shared" si="27"/>
        <v>0.83730963069267972</v>
      </c>
      <c r="BB49">
        <f t="shared" si="43"/>
        <v>-1.5422782705998332</v>
      </c>
      <c r="BC49">
        <f t="shared" si="44"/>
        <v>0.3084512931764003</v>
      </c>
      <c r="BD49">
        <f t="shared" si="28"/>
        <v>-162.32704269544556</v>
      </c>
      <c r="BF49">
        <f t="shared" si="29"/>
        <v>15.701060028276032</v>
      </c>
      <c r="BG49">
        <f t="shared" si="30"/>
        <v>-140.46961306720425</v>
      </c>
      <c r="BH49">
        <f t="shared" si="45"/>
        <v>39.53038693279575</v>
      </c>
      <c r="BI49">
        <f t="shared" si="46"/>
        <v>39.53038693279575</v>
      </c>
      <c r="BJ49">
        <f t="shared" si="31"/>
        <v>0</v>
      </c>
      <c r="BK49">
        <f t="shared" si="47"/>
        <v>0</v>
      </c>
      <c r="BM49">
        <f t="shared" si="48"/>
        <v>17.243338298875866</v>
      </c>
      <c r="BN49">
        <f t="shared" si="32"/>
        <v>-158.14257037175869</v>
      </c>
      <c r="BQ49" s="56">
        <f t="shared" si="49"/>
        <v>15.359682529685303</v>
      </c>
      <c r="BR49" s="58"/>
      <c r="BS49" s="58"/>
      <c r="BT49" s="58">
        <v>245.471</v>
      </c>
      <c r="BU49" s="58">
        <v>27.075500000000002</v>
      </c>
      <c r="BV49" s="58">
        <v>-266.80959999999999</v>
      </c>
      <c r="BW49" s="61"/>
      <c r="BY49" s="58"/>
      <c r="BZ49" s="58"/>
      <c r="CA49" s="58"/>
      <c r="CC49" s="58"/>
    </row>
    <row r="50" spans="1:81" x14ac:dyDescent="0.25">
      <c r="A50">
        <f t="shared" si="54"/>
        <v>8000</v>
      </c>
      <c r="B50">
        <f t="shared" si="33"/>
        <v>8</v>
      </c>
      <c r="C50">
        <f t="shared" si="0"/>
        <v>1.0021987729284567</v>
      </c>
      <c r="D50">
        <f t="shared" si="1"/>
        <v>6.6253326526870909E-2</v>
      </c>
      <c r="F50">
        <f t="shared" si="2"/>
        <v>0.40529864655688774</v>
      </c>
      <c r="G50">
        <f t="shared" si="3"/>
        <v>0.28398390188180667</v>
      </c>
      <c r="H50">
        <f t="shared" si="4"/>
        <v>-2.8576087481181935</v>
      </c>
      <c r="J50">
        <f t="shared" si="5"/>
        <v>15</v>
      </c>
      <c r="M50">
        <f t="shared" si="6"/>
        <v>0.22788508487078521</v>
      </c>
      <c r="N50">
        <f t="shared" si="7"/>
        <v>-1.5707963250000001</v>
      </c>
      <c r="O50">
        <f t="shared" si="8"/>
        <v>1.6584016149909102</v>
      </c>
      <c r="P50">
        <f t="shared" si="9"/>
        <v>0.92355214613154413</v>
      </c>
      <c r="Q50">
        <f t="shared" si="10"/>
        <v>2.2870696581852279</v>
      </c>
      <c r="R50">
        <f t="shared" si="11"/>
        <v>1.1182680433620644</v>
      </c>
      <c r="S50">
        <f t="shared" si="12"/>
        <v>0.99780605106706344</v>
      </c>
      <c r="T50">
        <f t="shared" si="13"/>
        <v>-6.6253326526870895E-2</v>
      </c>
      <c r="U50">
        <f t="shared" si="14"/>
        <v>0.99916394352061499</v>
      </c>
      <c r="V50">
        <f t="shared" si="15"/>
        <v>-4.0894327327177508E-2</v>
      </c>
      <c r="X50">
        <f t="shared" si="34"/>
        <v>14.40376343369344</v>
      </c>
      <c r="Y50">
        <f t="shared" si="16"/>
        <v>-139.08431380221023</v>
      </c>
      <c r="Z50">
        <f t="shared" si="35"/>
        <v>40.915686197789768</v>
      </c>
      <c r="AC50">
        <v>1</v>
      </c>
      <c r="AD50">
        <f t="shared" si="17"/>
        <v>1.322987496768</v>
      </c>
      <c r="AE50">
        <f t="shared" si="18"/>
        <v>-9.9750907101317924E-6</v>
      </c>
      <c r="AF50">
        <f t="shared" si="19"/>
        <v>2.4378758963999997E-4</v>
      </c>
      <c r="AG50">
        <f t="shared" si="36"/>
        <v>5250.1749136554918</v>
      </c>
      <c r="AH50">
        <f t="shared" si="37"/>
        <v>-4316.7536647858215</v>
      </c>
      <c r="AJ50">
        <f t="shared" si="20"/>
        <v>18000</v>
      </c>
      <c r="AK50">
        <f t="shared" si="21"/>
        <v>1194.3078618240002</v>
      </c>
      <c r="AL50">
        <v>1</v>
      </c>
      <c r="AM50">
        <f t="shared" si="22"/>
        <v>2.0568635398079995</v>
      </c>
      <c r="AN50">
        <f t="shared" si="38"/>
        <v>3910.8678967240421</v>
      </c>
      <c r="AO50">
        <f t="shared" si="39"/>
        <v>-6849.8137239532798</v>
      </c>
      <c r="AQ50">
        <f t="shared" si="23"/>
        <v>38.910505836575872</v>
      </c>
      <c r="AR50">
        <f t="shared" si="24"/>
        <v>-622.56809338521396</v>
      </c>
      <c r="AT50">
        <f t="shared" si="52"/>
        <v>-2483186.1370785078</v>
      </c>
      <c r="AU50">
        <f t="shared" si="53"/>
        <v>-3436558.4546020888</v>
      </c>
      <c r="AV50">
        <f t="shared" si="42"/>
        <v>-2.1965160247894691</v>
      </c>
      <c r="AW50">
        <f t="shared" si="25"/>
        <v>-4105838.8943229788</v>
      </c>
      <c r="AX50">
        <f t="shared" si="26"/>
        <v>-2728257.9504731954</v>
      </c>
      <c r="AY50">
        <f t="shared" si="50"/>
        <v>-2.5551037142347548</v>
      </c>
      <c r="BA50">
        <f t="shared" si="27"/>
        <v>0.86006944071065417</v>
      </c>
      <c r="BB50">
        <f t="shared" si="43"/>
        <v>-1.3093296611756353</v>
      </c>
      <c r="BC50">
        <f t="shared" si="44"/>
        <v>0.35858768944528574</v>
      </c>
      <c r="BD50">
        <f t="shared" si="28"/>
        <v>-159.45443878596055</v>
      </c>
      <c r="BF50">
        <f t="shared" si="29"/>
        <v>14.387075922711421</v>
      </c>
      <c r="BG50">
        <f t="shared" si="30"/>
        <v>-139.38732374685387</v>
      </c>
      <c r="BH50">
        <f t="shared" si="45"/>
        <v>40.612676253146134</v>
      </c>
      <c r="BI50">
        <f t="shared" si="46"/>
        <v>40.612676253146134</v>
      </c>
      <c r="BJ50">
        <f t="shared" si="31"/>
        <v>0</v>
      </c>
      <c r="BK50">
        <f t="shared" si="47"/>
        <v>0</v>
      </c>
      <c r="BM50">
        <f t="shared" si="48"/>
        <v>15.696405583887056</v>
      </c>
      <c r="BN50">
        <f t="shared" si="32"/>
        <v>-159.93288496089335</v>
      </c>
      <c r="BQ50" s="56">
        <f t="shared" si="49"/>
        <v>15.5926311391095</v>
      </c>
      <c r="BR50" s="58"/>
      <c r="BS50" s="58"/>
      <c r="BT50" s="58">
        <v>251.18899999999999</v>
      </c>
      <c r="BU50" s="58">
        <v>27.043399999999998</v>
      </c>
      <c r="BV50" s="58">
        <v>-265.9205</v>
      </c>
      <c r="BW50" s="61"/>
      <c r="BY50" s="58"/>
      <c r="BZ50" s="58"/>
      <c r="CA50" s="58"/>
      <c r="CC50" s="58"/>
    </row>
    <row r="51" spans="1:81" x14ac:dyDescent="0.25">
      <c r="A51">
        <f t="shared" si="54"/>
        <v>8500</v>
      </c>
      <c r="B51">
        <f t="shared" si="33"/>
        <v>8.5</v>
      </c>
      <c r="C51">
        <f t="shared" si="0"/>
        <v>1.0024818575991221</v>
      </c>
      <c r="D51">
        <f t="shared" si="1"/>
        <v>7.0380898436504219E-2</v>
      </c>
      <c r="F51">
        <f t="shared" si="2"/>
        <v>0.34505446670875289</v>
      </c>
      <c r="G51">
        <f t="shared" si="3"/>
        <v>0.25623882094135531</v>
      </c>
      <c r="H51">
        <f t="shared" si="4"/>
        <v>-2.8853538290586451</v>
      </c>
      <c r="J51">
        <f t="shared" si="5"/>
        <v>15</v>
      </c>
      <c r="M51">
        <f t="shared" si="6"/>
        <v>0.21448007987838608</v>
      </c>
      <c r="N51">
        <f t="shared" si="7"/>
        <v>-1.5707963250000001</v>
      </c>
      <c r="O51">
        <f t="shared" si="8"/>
        <v>1.7250855050125058</v>
      </c>
      <c r="P51">
        <f t="shared" si="9"/>
        <v>0.95245867223178871</v>
      </c>
      <c r="Q51">
        <f t="shared" si="10"/>
        <v>2.4033413610193817</v>
      </c>
      <c r="R51">
        <f t="shared" si="11"/>
        <v>1.1416580446047784</v>
      </c>
      <c r="S51">
        <f t="shared" si="12"/>
        <v>0.99752428676857452</v>
      </c>
      <c r="T51">
        <f t="shared" si="13"/>
        <v>-7.0380898436504205E-2</v>
      </c>
      <c r="U51">
        <f t="shared" si="14"/>
        <v>0.99905632312401638</v>
      </c>
      <c r="V51">
        <f t="shared" si="15"/>
        <v>-4.3447101959792435E-2</v>
      </c>
      <c r="X51">
        <f t="shared" si="34"/>
        <v>13.251638699791922</v>
      </c>
      <c r="Y51">
        <f t="shared" si="16"/>
        <v>-137.82388275346162</v>
      </c>
      <c r="Z51">
        <f t="shared" si="35"/>
        <v>42.176117246538382</v>
      </c>
      <c r="AC51">
        <v>1</v>
      </c>
      <c r="AD51">
        <f t="shared" si="17"/>
        <v>1.405674215316</v>
      </c>
      <c r="AE51">
        <f t="shared" si="18"/>
        <v>-1.1260942246984722E-5</v>
      </c>
      <c r="AF51">
        <f t="shared" si="19"/>
        <v>2.5902431399250003E-4</v>
      </c>
      <c r="AG51">
        <f t="shared" si="36"/>
        <v>5249.0439771750744</v>
      </c>
      <c r="AH51">
        <f t="shared" si="37"/>
        <v>-4088.8407916390338</v>
      </c>
      <c r="AJ51">
        <f t="shared" si="20"/>
        <v>18000</v>
      </c>
      <c r="AK51">
        <f t="shared" si="21"/>
        <v>1268.9521031880001</v>
      </c>
      <c r="AL51">
        <v>1</v>
      </c>
      <c r="AM51">
        <f t="shared" si="22"/>
        <v>2.1854175110459999</v>
      </c>
      <c r="AN51">
        <f t="shared" si="38"/>
        <v>3596.4354939095711</v>
      </c>
      <c r="AO51">
        <f t="shared" si="39"/>
        <v>-6590.761002549345</v>
      </c>
      <c r="AQ51">
        <f t="shared" si="23"/>
        <v>34.482758620689658</v>
      </c>
      <c r="AR51">
        <f t="shared" si="24"/>
        <v>-586.20689655172418</v>
      </c>
      <c r="AT51">
        <f t="shared" si="52"/>
        <v>-2215905.1545065003</v>
      </c>
      <c r="AU51">
        <f t="shared" si="53"/>
        <v>-3218020.2897798382</v>
      </c>
      <c r="AV51">
        <f t="shared" si="42"/>
        <v>-2.173825260602074</v>
      </c>
      <c r="AW51">
        <f t="shared" si="25"/>
        <v>-3733099.0646867035</v>
      </c>
      <c r="AX51">
        <f t="shared" si="26"/>
        <v>-2360924.17321182</v>
      </c>
      <c r="AY51">
        <f t="shared" si="50"/>
        <v>-2.5776681861318482</v>
      </c>
      <c r="BA51">
        <f t="shared" si="27"/>
        <v>0.88457065281145819</v>
      </c>
      <c r="BB51">
        <f t="shared" si="43"/>
        <v>-1.0653494642268984</v>
      </c>
      <c r="BC51">
        <f t="shared" si="44"/>
        <v>0.40384292552977419</v>
      </c>
      <c r="BD51">
        <f t="shared" si="28"/>
        <v>-156.86150475448835</v>
      </c>
      <c r="BF51">
        <f t="shared" si="29"/>
        <v>13.235759225264589</v>
      </c>
      <c r="BG51">
        <f t="shared" si="30"/>
        <v>-138.1475733070059</v>
      </c>
      <c r="BH51">
        <f t="shared" si="45"/>
        <v>41.852426692994101</v>
      </c>
      <c r="BI51">
        <f t="shared" si="46"/>
        <v>41.852426692994101</v>
      </c>
      <c r="BJ51">
        <f t="shared" si="31"/>
        <v>0</v>
      </c>
      <c r="BK51">
        <f t="shared" si="47"/>
        <v>0</v>
      </c>
      <c r="BM51">
        <f t="shared" si="48"/>
        <v>14.301108689491489</v>
      </c>
      <c r="BN51">
        <f t="shared" si="32"/>
        <v>-161.28606855251755</v>
      </c>
      <c r="BQ51" s="56">
        <f t="shared" si="49"/>
        <v>15.836611336058237</v>
      </c>
      <c r="BR51" s="58"/>
      <c r="BS51" s="58"/>
      <c r="BT51" s="58">
        <v>257.04000000000002</v>
      </c>
      <c r="BU51" s="58">
        <v>26.677600000000002</v>
      </c>
      <c r="BV51" s="58">
        <v>-267.60309999999998</v>
      </c>
      <c r="BW51" s="61"/>
      <c r="BY51" s="58"/>
      <c r="BZ51" s="58"/>
      <c r="CA51" s="58"/>
      <c r="CC51" s="58"/>
    </row>
    <row r="52" spans="1:81" x14ac:dyDescent="0.25">
      <c r="A52">
        <f t="shared" si="54"/>
        <v>9000</v>
      </c>
      <c r="B52">
        <f t="shared" si="33"/>
        <v>9</v>
      </c>
      <c r="C52">
        <f t="shared" si="0"/>
        <v>1.0027820115901596</v>
      </c>
      <c r="D52">
        <f t="shared" si="1"/>
        <v>7.4506069651721143E-2</v>
      </c>
      <c r="F52">
        <f t="shared" si="2"/>
        <v>0.29795938307420528</v>
      </c>
      <c r="G52">
        <f t="shared" si="3"/>
        <v>0.2338517158395178</v>
      </c>
      <c r="H52">
        <f t="shared" si="4"/>
        <v>-2.9077409341604823</v>
      </c>
      <c r="J52">
        <f t="shared" si="5"/>
        <v>15</v>
      </c>
      <c r="M52">
        <f t="shared" si="6"/>
        <v>0.2025645198851424</v>
      </c>
      <c r="N52">
        <f t="shared" si="7"/>
        <v>-1.5707963250000001</v>
      </c>
      <c r="O52">
        <f t="shared" si="8"/>
        <v>1.7931029723505894</v>
      </c>
      <c r="P52">
        <f t="shared" si="9"/>
        <v>0.97919314574623606</v>
      </c>
      <c r="Q52">
        <f t="shared" si="10"/>
        <v>2.5208062243702134</v>
      </c>
      <c r="R52">
        <f t="shared" si="11"/>
        <v>1.1628789138878124</v>
      </c>
      <c r="S52">
        <f t="shared" si="12"/>
        <v>0.99722570652643838</v>
      </c>
      <c r="T52">
        <f t="shared" si="13"/>
        <v>-7.450606965172113E-2</v>
      </c>
      <c r="U52">
        <f t="shared" si="14"/>
        <v>0.99894221827134333</v>
      </c>
      <c r="V52">
        <f t="shared" si="15"/>
        <v>-4.5999310102969329E-2</v>
      </c>
      <c r="X52">
        <f t="shared" si="34"/>
        <v>12.229935310601615</v>
      </c>
      <c r="Y52">
        <f t="shared" si="16"/>
        <v>-136.50516139744997</v>
      </c>
      <c r="Z52">
        <f t="shared" si="35"/>
        <v>43.494838602550033</v>
      </c>
      <c r="AC52">
        <v>1</v>
      </c>
      <c r="AD52">
        <f t="shared" si="17"/>
        <v>1.488360933864</v>
      </c>
      <c r="AE52">
        <f t="shared" si="18"/>
        <v>-1.2624724180010553E-5</v>
      </c>
      <c r="AF52">
        <f t="shared" si="19"/>
        <v>2.7426103834500001E-4</v>
      </c>
      <c r="AG52">
        <f t="shared" si="36"/>
        <v>5247.8450313849489</v>
      </c>
      <c r="AH52">
        <f t="shared" si="37"/>
        <v>-3887.7290135517069</v>
      </c>
      <c r="AJ52">
        <f t="shared" si="20"/>
        <v>18000</v>
      </c>
      <c r="AK52">
        <f t="shared" si="21"/>
        <v>1343.5963445520001</v>
      </c>
      <c r="AL52">
        <v>1</v>
      </c>
      <c r="AM52">
        <f t="shared" si="22"/>
        <v>2.3139714822839998</v>
      </c>
      <c r="AN52">
        <f t="shared" si="38"/>
        <v>3321.9235415953117</v>
      </c>
      <c r="AO52">
        <f t="shared" si="39"/>
        <v>-6343.2399970274173</v>
      </c>
      <c r="AQ52">
        <f t="shared" si="23"/>
        <v>30.76923076923077</v>
      </c>
      <c r="AR52">
        <f t="shared" si="24"/>
        <v>-553.84615384615381</v>
      </c>
      <c r="AT52">
        <f t="shared" si="52"/>
        <v>-1991731.6065398697</v>
      </c>
      <c r="AU52">
        <f t="shared" si="53"/>
        <v>-3026121.2177994084</v>
      </c>
      <c r="AV52">
        <f t="shared" si="42"/>
        <v>-2.1529003127008095</v>
      </c>
      <c r="AW52">
        <f t="shared" si="25"/>
        <v>-3404554.5934298676</v>
      </c>
      <c r="AX52">
        <f t="shared" si="26"/>
        <v>-2059038.9139546065</v>
      </c>
      <c r="AY52">
        <f t="shared" si="50"/>
        <v>-2.5976588929123725</v>
      </c>
      <c r="BA52">
        <f t="shared" si="27"/>
        <v>0.9105224506729731</v>
      </c>
      <c r="BB52">
        <f t="shared" si="43"/>
        <v>-0.81418682751452864</v>
      </c>
      <c r="BC52">
        <f t="shared" si="44"/>
        <v>0.444758580211563</v>
      </c>
      <c r="BD52">
        <f t="shared" si="28"/>
        <v>-154.51721042252842</v>
      </c>
      <c r="BF52">
        <f t="shared" si="29"/>
        <v>12.21491037674987</v>
      </c>
      <c r="BG52">
        <f t="shared" si="30"/>
        <v>-136.84961071369185</v>
      </c>
      <c r="BH52">
        <f t="shared" si="45"/>
        <v>43.150389286308155</v>
      </c>
      <c r="BI52">
        <f t="shared" si="46"/>
        <v>43.150389286308155</v>
      </c>
      <c r="BJ52">
        <f t="shared" si="31"/>
        <v>0</v>
      </c>
      <c r="BK52">
        <f t="shared" si="47"/>
        <v>0</v>
      </c>
      <c r="BM52">
        <f t="shared" si="48"/>
        <v>13.029097204264399</v>
      </c>
      <c r="BN52">
        <f t="shared" si="32"/>
        <v>-162.33240029116345</v>
      </c>
      <c r="BQ52" s="56">
        <f t="shared" si="49"/>
        <v>16.087773972770606</v>
      </c>
      <c r="BR52" s="58"/>
      <c r="BS52" s="58"/>
      <c r="BT52" s="58">
        <v>263.02699999999999</v>
      </c>
      <c r="BU52" s="58">
        <v>26.270299999999999</v>
      </c>
      <c r="BV52" s="58">
        <v>-267.3229</v>
      </c>
      <c r="BW52" s="61"/>
      <c r="BY52" s="58"/>
      <c r="BZ52" s="58"/>
      <c r="CA52" s="58"/>
      <c r="CC52" s="58"/>
    </row>
    <row r="53" spans="1:81" x14ac:dyDescent="0.25">
      <c r="A53">
        <f t="shared" si="54"/>
        <v>9500</v>
      </c>
      <c r="B53">
        <f t="shared" si="33"/>
        <v>9.5</v>
      </c>
      <c r="C53">
        <f t="shared" si="0"/>
        <v>1.0030992195787842</v>
      </c>
      <c r="D53">
        <f t="shared" si="1"/>
        <v>7.8628701997152467E-2</v>
      </c>
      <c r="F53">
        <f t="shared" si="2"/>
        <v>0.26033138390477173</v>
      </c>
      <c r="G53">
        <f t="shared" si="3"/>
        <v>0.21537147487422711</v>
      </c>
      <c r="H53">
        <f t="shared" si="4"/>
        <v>-2.926221175125773</v>
      </c>
      <c r="J53">
        <f t="shared" si="5"/>
        <v>15</v>
      </c>
      <c r="M53">
        <f t="shared" si="6"/>
        <v>0.19190322936487175</v>
      </c>
      <c r="N53">
        <f t="shared" si="7"/>
        <v>-1.5707963250000001</v>
      </c>
      <c r="O53">
        <f t="shared" si="8"/>
        <v>1.8623079031538412</v>
      </c>
      <c r="P53">
        <f t="shared" si="9"/>
        <v>1.0039572960205458</v>
      </c>
      <c r="Q53">
        <f t="shared" si="10"/>
        <v>2.6393049446971548</v>
      </c>
      <c r="R53">
        <f t="shared" si="11"/>
        <v>1.1822023115202467</v>
      </c>
      <c r="S53">
        <f t="shared" si="12"/>
        <v>0.99691035590668131</v>
      </c>
      <c r="T53">
        <f t="shared" si="13"/>
        <v>-7.8628701997152453E-2</v>
      </c>
      <c r="U53">
        <f t="shared" si="14"/>
        <v>0.99882163564282322</v>
      </c>
      <c r="V53">
        <f t="shared" si="15"/>
        <v>-4.8550918707775073E-2</v>
      </c>
      <c r="X53">
        <f t="shared" si="34"/>
        <v>11.314581361539201</v>
      </c>
      <c r="Y53">
        <f t="shared" si="16"/>
        <v>-135.18416718752383</v>
      </c>
      <c r="Z53">
        <f t="shared" si="35"/>
        <v>44.815832812476174</v>
      </c>
      <c r="AC53">
        <v>1</v>
      </c>
      <c r="AD53">
        <f t="shared" si="17"/>
        <v>1.5710476524120001</v>
      </c>
      <c r="AE53">
        <f t="shared" si="18"/>
        <v>-1.4066436509209287E-5</v>
      </c>
      <c r="AF53">
        <f t="shared" si="19"/>
        <v>2.8949776269749999E-4</v>
      </c>
      <c r="AG53">
        <f t="shared" si="36"/>
        <v>5246.5781698113815</v>
      </c>
      <c r="AH53">
        <f t="shared" si="37"/>
        <v>-3709.1846538319664</v>
      </c>
      <c r="AJ53">
        <f t="shared" si="20"/>
        <v>18000</v>
      </c>
      <c r="AK53">
        <f t="shared" si="21"/>
        <v>1418.2405859160001</v>
      </c>
      <c r="AL53">
        <v>1</v>
      </c>
      <c r="AM53">
        <f t="shared" si="22"/>
        <v>2.4425254535219998</v>
      </c>
      <c r="AN53">
        <f t="shared" si="38"/>
        <v>3081.2952339393864</v>
      </c>
      <c r="AO53">
        <f t="shared" si="39"/>
        <v>-6107.9014527969757</v>
      </c>
      <c r="AQ53">
        <f t="shared" si="23"/>
        <v>27.624309392265193</v>
      </c>
      <c r="AR53">
        <f t="shared" si="24"/>
        <v>-524.86187845303868</v>
      </c>
      <c r="AT53">
        <f t="shared" si="52"/>
        <v>-1801876.5263258559</v>
      </c>
      <c r="AU53">
        <f t="shared" si="53"/>
        <v>-2856192.5381284035</v>
      </c>
      <c r="AV53">
        <f t="shared" si="42"/>
        <v>-2.1336032146660804</v>
      </c>
      <c r="AW53">
        <f t="shared" si="25"/>
        <v>-3114295.8144457005</v>
      </c>
      <c r="AX53">
        <f t="shared" si="26"/>
        <v>-1808780.0712627168</v>
      </c>
      <c r="AY53">
        <f t="shared" si="50"/>
        <v>-2.6154111500877808</v>
      </c>
      <c r="BA53">
        <f t="shared" si="27"/>
        <v>0.93769407856324316</v>
      </c>
      <c r="BB53">
        <f t="shared" si="43"/>
        <v>-0.55877653012063122</v>
      </c>
      <c r="BC53">
        <f t="shared" si="44"/>
        <v>0.48180793542170042</v>
      </c>
      <c r="BD53">
        <f t="shared" si="28"/>
        <v>-152.3944387328809</v>
      </c>
      <c r="BF53">
        <f t="shared" si="29"/>
        <v>11.300457042732655</v>
      </c>
      <c r="BG53">
        <f t="shared" si="30"/>
        <v>-135.54946940280291</v>
      </c>
      <c r="BH53">
        <f t="shared" si="45"/>
        <v>44.450530597197087</v>
      </c>
      <c r="BI53">
        <f t="shared" si="46"/>
        <v>44.450530597197087</v>
      </c>
      <c r="BJ53">
        <f t="shared" si="31"/>
        <v>0</v>
      </c>
      <c r="BK53">
        <f t="shared" si="47"/>
        <v>0</v>
      </c>
      <c r="BM53">
        <f t="shared" si="48"/>
        <v>11.859233572853284</v>
      </c>
      <c r="BN53">
        <f t="shared" si="32"/>
        <v>-163.15503066992201</v>
      </c>
      <c r="BQ53" s="56">
        <f t="shared" si="49"/>
        <v>16.343184270164507</v>
      </c>
      <c r="BR53" s="58"/>
      <c r="BS53" s="58"/>
      <c r="BT53" s="58">
        <v>269.15300000000002</v>
      </c>
      <c r="BU53" s="58">
        <v>26.235900000000001</v>
      </c>
      <c r="BV53" s="58">
        <v>-265.67700000000002</v>
      </c>
      <c r="BW53" s="61"/>
      <c r="BY53" s="58"/>
      <c r="BZ53" s="58"/>
      <c r="CA53" s="58"/>
      <c r="CC53" s="58"/>
    </row>
    <row r="54" spans="1:81" x14ac:dyDescent="0.25">
      <c r="A54">
        <f t="shared" si="54"/>
        <v>10000</v>
      </c>
      <c r="B54">
        <f t="shared" si="33"/>
        <v>10</v>
      </c>
      <c r="C54">
        <f t="shared" si="0"/>
        <v>1.0034334653915342</v>
      </c>
      <c r="D54">
        <f t="shared" si="1"/>
        <v>8.2748657812642845E-2</v>
      </c>
      <c r="F54">
        <f t="shared" si="2"/>
        <v>0.2297157624124905</v>
      </c>
      <c r="G54">
        <f t="shared" si="3"/>
        <v>0.19982987679733824</v>
      </c>
      <c r="H54">
        <f t="shared" si="4"/>
        <v>-2.9417627732026621</v>
      </c>
      <c r="J54">
        <f t="shared" si="5"/>
        <v>15</v>
      </c>
      <c r="M54">
        <f t="shared" si="6"/>
        <v>0.18230806789662815</v>
      </c>
      <c r="N54">
        <f t="shared" si="7"/>
        <v>-1.5707963250000001</v>
      </c>
      <c r="O54">
        <f t="shared" si="8"/>
        <v>1.9325727333517015</v>
      </c>
      <c r="P54">
        <f t="shared" si="9"/>
        <v>1.0269339421873265</v>
      </c>
      <c r="Q54">
        <f t="shared" si="10"/>
        <v>2.7587042988374471</v>
      </c>
      <c r="R54">
        <f t="shared" si="11"/>
        <v>1.1998591661195934</v>
      </c>
      <c r="S54">
        <f t="shared" si="12"/>
        <v>0.99657828295551765</v>
      </c>
      <c r="T54">
        <f t="shared" si="13"/>
        <v>-8.2748657812642817E-2</v>
      </c>
      <c r="U54">
        <f t="shared" si="14"/>
        <v>0.9986945822934975</v>
      </c>
      <c r="V54">
        <f t="shared" si="15"/>
        <v>-5.1101894772028235E-2</v>
      </c>
      <c r="X54">
        <f t="shared" si="34"/>
        <v>10.48723274104832</v>
      </c>
      <c r="Y54">
        <f t="shared" si="16"/>
        <v>-133.89266722412233</v>
      </c>
      <c r="Z54">
        <f t="shared" si="35"/>
        <v>46.107332775877666</v>
      </c>
      <c r="AC54">
        <v>1</v>
      </c>
      <c r="AD54">
        <f t="shared" si="17"/>
        <v>1.6537343709600001</v>
      </c>
      <c r="AE54">
        <f t="shared" si="18"/>
        <v>-1.5586079234580929E-5</v>
      </c>
      <c r="AF54">
        <f t="shared" si="19"/>
        <v>3.0473448704999997E-4</v>
      </c>
      <c r="AG54">
        <f t="shared" si="36"/>
        <v>5245.2434912088274</v>
      </c>
      <c r="AH54">
        <f t="shared" si="37"/>
        <v>-3549.8206689063054</v>
      </c>
      <c r="AJ54">
        <f t="shared" si="20"/>
        <v>18000</v>
      </c>
      <c r="AK54">
        <f t="shared" si="21"/>
        <v>1492.8848272800001</v>
      </c>
      <c r="AL54">
        <v>1</v>
      </c>
      <c r="AM54">
        <f t="shared" si="22"/>
        <v>2.5710794247599997</v>
      </c>
      <c r="AN54">
        <f t="shared" si="38"/>
        <v>2869.5185121108043</v>
      </c>
      <c r="AO54">
        <f t="shared" si="39"/>
        <v>-5884.8751781760166</v>
      </c>
      <c r="AQ54">
        <f t="shared" si="23"/>
        <v>24.937655860349128</v>
      </c>
      <c r="AR54">
        <f t="shared" si="24"/>
        <v>-498.75311720698255</v>
      </c>
      <c r="AT54">
        <f t="shared" si="52"/>
        <v>-1639680.0470552938</v>
      </c>
      <c r="AU54">
        <f t="shared" si="53"/>
        <v>-2704605.7479571784</v>
      </c>
      <c r="AV54">
        <f t="shared" si="42"/>
        <v>-2.1158022104525522</v>
      </c>
      <c r="AW54">
        <f t="shared" si="25"/>
        <v>-2857169.5811963463</v>
      </c>
      <c r="AX54">
        <f t="shared" si="26"/>
        <v>-1599630.1351477804</v>
      </c>
      <c r="AY54">
        <f t="shared" si="50"/>
        <v>-2.6312068720861568</v>
      </c>
      <c r="BA54">
        <f t="shared" si="27"/>
        <v>0.96589984554330977</v>
      </c>
      <c r="BB54">
        <f t="shared" si="43"/>
        <v>-0.3013580676090758</v>
      </c>
      <c r="BC54">
        <f t="shared" si="44"/>
        <v>0.51540466163360454</v>
      </c>
      <c r="BD54">
        <f t="shared" si="28"/>
        <v>-150.46948811328267</v>
      </c>
      <c r="BF54">
        <f t="shared" si="29"/>
        <v>10.474054658520323</v>
      </c>
      <c r="BG54">
        <f t="shared" si="30"/>
        <v>-134.27893068063889</v>
      </c>
      <c r="BH54">
        <f t="shared" si="45"/>
        <v>45.721069319361106</v>
      </c>
      <c r="BI54">
        <f t="shared" si="46"/>
        <v>45.721069319361106</v>
      </c>
      <c r="BJ54">
        <f t="shared" si="31"/>
        <v>0</v>
      </c>
      <c r="BK54">
        <f t="shared" si="47"/>
        <v>0</v>
      </c>
      <c r="BM54">
        <f t="shared" si="48"/>
        <v>10.775412726129401</v>
      </c>
      <c r="BN54">
        <f t="shared" si="32"/>
        <v>-163.80944256735623</v>
      </c>
      <c r="BQ54" s="56">
        <f t="shared" si="49"/>
        <v>16.600602732676062</v>
      </c>
      <c r="BR54" s="58"/>
      <c r="BS54" s="58"/>
      <c r="BT54" s="58">
        <v>275.423</v>
      </c>
      <c r="BU54" s="58">
        <v>25.845600000000001</v>
      </c>
      <c r="BV54" s="58">
        <v>-266.46569999999997</v>
      </c>
      <c r="BW54" s="61"/>
      <c r="BY54" s="58"/>
      <c r="BZ54" s="58"/>
      <c r="CA54" s="58"/>
      <c r="CC54" s="58"/>
    </row>
    <row r="55" spans="1:81" x14ac:dyDescent="0.25">
      <c r="A55">
        <f t="shared" si="54"/>
        <v>10500</v>
      </c>
      <c r="B55">
        <f t="shared" si="33"/>
        <v>10.5</v>
      </c>
      <c r="C55">
        <f t="shared" si="0"/>
        <v>1.0037847320083617</v>
      </c>
      <c r="D55">
        <f t="shared" si="1"/>
        <v>8.6865799980152383E-2</v>
      </c>
      <c r="F55">
        <f t="shared" si="2"/>
        <v>0.20442012448925578</v>
      </c>
      <c r="G55">
        <f t="shared" si="3"/>
        <v>0.1865565148979455</v>
      </c>
      <c r="H55">
        <f t="shared" si="4"/>
        <v>-2.9550361351020547</v>
      </c>
      <c r="J55">
        <f t="shared" si="5"/>
        <v>15</v>
      </c>
      <c r="M55">
        <f t="shared" si="6"/>
        <v>0.17362673133012205</v>
      </c>
      <c r="N55">
        <f t="shared" si="7"/>
        <v>-1.5707963250000001</v>
      </c>
      <c r="O55">
        <f t="shared" si="8"/>
        <v>2.0037859666361948</v>
      </c>
      <c r="P55">
        <f t="shared" si="9"/>
        <v>1.0482880575875204</v>
      </c>
      <c r="Q55">
        <f t="shared" si="10"/>
        <v>2.8788922301447295</v>
      </c>
      <c r="R55">
        <f t="shared" si="11"/>
        <v>1.216046447066258</v>
      </c>
      <c r="S55">
        <f t="shared" si="12"/>
        <v>0.99622953817917781</v>
      </c>
      <c r="T55">
        <f t="shared" si="13"/>
        <v>-8.6865799980152369E-2</v>
      </c>
      <c r="U55">
        <f t="shared" si="14"/>
        <v>0.99856106565207858</v>
      </c>
      <c r="V55">
        <f t="shared" si="15"/>
        <v>-5.3652205342836906E-2</v>
      </c>
      <c r="X55">
        <f t="shared" si="34"/>
        <v>9.7336572776624806</v>
      </c>
      <c r="Y55">
        <f t="shared" si="16"/>
        <v>-132.64833330393756</v>
      </c>
      <c r="Z55">
        <f t="shared" si="35"/>
        <v>47.351666696062438</v>
      </c>
      <c r="AC55">
        <v>1</v>
      </c>
      <c r="AD55">
        <f t="shared" si="17"/>
        <v>1.7364210895080001</v>
      </c>
      <c r="AE55">
        <f t="shared" si="18"/>
        <v>-1.7183652356125477E-5</v>
      </c>
      <c r="AF55">
        <f t="shared" si="19"/>
        <v>3.199712114025E-4</v>
      </c>
      <c r="AG55">
        <f t="shared" si="36"/>
        <v>5243.8410995407421</v>
      </c>
      <c r="AH55">
        <f t="shared" si="37"/>
        <v>-3406.8950693629604</v>
      </c>
      <c r="AJ55">
        <f t="shared" si="20"/>
        <v>18000</v>
      </c>
      <c r="AK55">
        <f t="shared" si="21"/>
        <v>1567.5290686440001</v>
      </c>
      <c r="AL55">
        <v>1</v>
      </c>
      <c r="AM55">
        <f t="shared" si="22"/>
        <v>2.6996333959979997</v>
      </c>
      <c r="AN55">
        <f t="shared" si="38"/>
        <v>2682.3961036176452</v>
      </c>
      <c r="AO55">
        <f t="shared" si="39"/>
        <v>-5673.9570339771062</v>
      </c>
      <c r="AQ55">
        <f t="shared" si="23"/>
        <v>22.624434389140273</v>
      </c>
      <c r="AR55">
        <f t="shared" si="24"/>
        <v>-475.11312217194569</v>
      </c>
      <c r="AT55">
        <f t="shared" si="52"/>
        <v>-1500021.6144136069</v>
      </c>
      <c r="AU55">
        <f t="shared" si="53"/>
        <v>-2568496.7909438587</v>
      </c>
      <c r="AV55">
        <f t="shared" si="42"/>
        <v>-2.0993736980681259</v>
      </c>
      <c r="AW55">
        <f t="shared" si="25"/>
        <v>-2628729.5529904286</v>
      </c>
      <c r="AX55">
        <f t="shared" si="26"/>
        <v>-1423506.0831557857</v>
      </c>
      <c r="AY55">
        <f t="shared" si="50"/>
        <v>-2.6452843457144701</v>
      </c>
      <c r="BA55">
        <f t="shared" si="27"/>
        <v>0.9949884416034479</v>
      </c>
      <c r="BB55">
        <f t="shared" si="43"/>
        <v>-4.3639285125658706E-2</v>
      </c>
      <c r="BC55">
        <f t="shared" si="44"/>
        <v>0.54591064764634423</v>
      </c>
      <c r="BD55">
        <f t="shared" si="28"/>
        <v>-148.72162386287033</v>
      </c>
      <c r="BF55">
        <f t="shared" si="29"/>
        <v>9.7214705764753759</v>
      </c>
      <c r="BG55">
        <f t="shared" si="30"/>
        <v>-133.0556791777573</v>
      </c>
      <c r="BH55">
        <f t="shared" si="45"/>
        <v>46.944320822242702</v>
      </c>
      <c r="BI55">
        <f t="shared" si="46"/>
        <v>46.944320822242702</v>
      </c>
      <c r="BJ55">
        <f t="shared" si="31"/>
        <v>0</v>
      </c>
      <c r="BK55">
        <f t="shared" si="47"/>
        <v>0</v>
      </c>
      <c r="BM55">
        <f t="shared" si="48"/>
        <v>9.7651098616010348</v>
      </c>
      <c r="BN55">
        <f t="shared" si="32"/>
        <v>-164.33405531488697</v>
      </c>
      <c r="BQ55" s="56">
        <f t="shared" si="49"/>
        <v>16.858321515159478</v>
      </c>
      <c r="BR55" s="59"/>
      <c r="BS55" s="59"/>
      <c r="BT55" s="59">
        <v>281.83800000000002</v>
      </c>
      <c r="BU55" s="59">
        <v>26.1068</v>
      </c>
      <c r="BV55" s="59">
        <v>-266.67570000000001</v>
      </c>
      <c r="BW55" s="61"/>
      <c r="BY55" s="59"/>
      <c r="BZ55" s="59"/>
      <c r="CA55" s="59"/>
      <c r="CC55" s="59"/>
    </row>
    <row r="56" spans="1:81" x14ac:dyDescent="0.25">
      <c r="A56">
        <f t="shared" si="54"/>
        <v>11000</v>
      </c>
      <c r="B56">
        <f t="shared" si="33"/>
        <v>11</v>
      </c>
      <c r="C56">
        <f t="shared" si="0"/>
        <v>1.0041530015669287</v>
      </c>
      <c r="D56">
        <f t="shared" si="1"/>
        <v>9.0979991950386363E-2</v>
      </c>
      <c r="F56">
        <f t="shared" si="2"/>
        <v>0.18324365404314508</v>
      </c>
      <c r="G56">
        <f t="shared" si="3"/>
        <v>0.17507246293126028</v>
      </c>
      <c r="H56">
        <f t="shared" si="4"/>
        <v>-2.9665201870687401</v>
      </c>
      <c r="J56">
        <f t="shared" si="5"/>
        <v>15</v>
      </c>
      <c r="M56">
        <f t="shared" si="6"/>
        <v>0.16573460717875288</v>
      </c>
      <c r="N56">
        <f t="shared" si="7"/>
        <v>-1.5707963250000001</v>
      </c>
      <c r="O56">
        <f t="shared" si="8"/>
        <v>2.0758499987548005</v>
      </c>
      <c r="P56">
        <f t="shared" si="9"/>
        <v>1.068168088955733</v>
      </c>
      <c r="Q56">
        <f t="shared" si="10"/>
        <v>2.9997739555161975</v>
      </c>
      <c r="R56">
        <f t="shared" si="11"/>
        <v>1.2309327756100117</v>
      </c>
      <c r="S56">
        <f t="shared" si="12"/>
        <v>0.99586417452275888</v>
      </c>
      <c r="T56">
        <f t="shared" si="13"/>
        <v>-9.0979991950386335E-2</v>
      </c>
      <c r="U56">
        <f t="shared" si="14"/>
        <v>0.99842109351974684</v>
      </c>
      <c r="V56">
        <f t="shared" si="15"/>
        <v>-5.6201817519126757E-2</v>
      </c>
      <c r="X56">
        <f t="shared" si="34"/>
        <v>9.0426330356666931</v>
      </c>
      <c r="Y56">
        <f t="shared" si="16"/>
        <v>-131.46043733708825</v>
      </c>
      <c r="Z56">
        <f t="shared" si="35"/>
        <v>48.539562662911749</v>
      </c>
      <c r="AC56">
        <v>1</v>
      </c>
      <c r="AD56">
        <f t="shared" si="17"/>
        <v>1.8191078080560001</v>
      </c>
      <c r="AE56">
        <f t="shared" si="18"/>
        <v>-1.8859155873842923E-5</v>
      </c>
      <c r="AF56">
        <f t="shared" si="19"/>
        <v>3.3520793575499998E-4</v>
      </c>
      <c r="AG56">
        <f t="shared" si="36"/>
        <v>5242.3711039594054</v>
      </c>
      <c r="AH56">
        <f t="shared" si="37"/>
        <v>-3278.1643170919756</v>
      </c>
      <c r="AJ56">
        <f t="shared" si="20"/>
        <v>18000</v>
      </c>
      <c r="AK56">
        <f t="shared" si="21"/>
        <v>1642.1733100080003</v>
      </c>
      <c r="AL56">
        <v>1</v>
      </c>
      <c r="AM56">
        <f t="shared" si="22"/>
        <v>2.8281873672360001</v>
      </c>
      <c r="AN56">
        <f t="shared" si="38"/>
        <v>2516.4207355282879</v>
      </c>
      <c r="AO56">
        <f t="shared" si="39"/>
        <v>-5474.736024863827</v>
      </c>
      <c r="AQ56">
        <f t="shared" si="23"/>
        <v>20.618556701030929</v>
      </c>
      <c r="AR56">
        <f t="shared" si="24"/>
        <v>-453.60824742268039</v>
      </c>
      <c r="AT56">
        <f t="shared" si="52"/>
        <v>-1378912.2447848259</v>
      </c>
      <c r="AU56">
        <f t="shared" si="53"/>
        <v>-2445573.7856535851</v>
      </c>
      <c r="AV56">
        <f t="shared" si="42"/>
        <v>-2.0842031027316099</v>
      </c>
      <c r="AW56">
        <f t="shared" si="25"/>
        <v>-2425161.575493563</v>
      </c>
      <c r="AX56">
        <f t="shared" si="26"/>
        <v>-1274136.887474753</v>
      </c>
      <c r="AY56">
        <f t="shared" si="50"/>
        <v>-2.6578460284570236</v>
      </c>
      <c r="BA56">
        <f t="shared" si="27"/>
        <v>1.0248351791353394</v>
      </c>
      <c r="BB56">
        <f t="shared" si="43"/>
        <v>0.21308049714731531</v>
      </c>
      <c r="BC56">
        <f t="shared" si="44"/>
        <v>0.57364292572541364</v>
      </c>
      <c r="BD56">
        <f t="shared" si="28"/>
        <v>-147.13268137084086</v>
      </c>
      <c r="BF56">
        <f t="shared" si="29"/>
        <v>9.031482361931424</v>
      </c>
      <c r="BG56">
        <f t="shared" si="30"/>
        <v>-131.88899855960932</v>
      </c>
      <c r="BH56">
        <f t="shared" si="45"/>
        <v>48.11100144039068</v>
      </c>
      <c r="BI56">
        <f t="shared" si="46"/>
        <v>48.11100144039068</v>
      </c>
      <c r="BJ56">
        <f t="shared" si="31"/>
        <v>0</v>
      </c>
      <c r="BK56">
        <f t="shared" si="47"/>
        <v>0</v>
      </c>
      <c r="BM56">
        <f t="shared" si="48"/>
        <v>8.8184018647841071</v>
      </c>
      <c r="BN56">
        <f t="shared" si="32"/>
        <v>-164.75631718876846</v>
      </c>
      <c r="BQ56" s="56">
        <f t="shared" si="49"/>
        <v>17.115041297432452</v>
      </c>
      <c r="BR56" s="59"/>
      <c r="BS56" s="59"/>
      <c r="BT56" s="59">
        <v>288.40300000000002</v>
      </c>
      <c r="BU56" s="59">
        <v>25.784400000000002</v>
      </c>
      <c r="BV56" s="59">
        <v>-268.05989999999997</v>
      </c>
      <c r="BW56" s="61"/>
      <c r="BY56" s="59"/>
      <c r="BZ56" s="59"/>
      <c r="CA56" s="59"/>
      <c r="CC56" s="59"/>
    </row>
    <row r="57" spans="1:81" x14ac:dyDescent="0.25">
      <c r="A57">
        <f t="shared" si="54"/>
        <v>11500</v>
      </c>
      <c r="B57">
        <f t="shared" si="33"/>
        <v>11.5</v>
      </c>
      <c r="C57">
        <f t="shared" si="0"/>
        <v>1.0045382553671036</v>
      </c>
      <c r="D57">
        <f t="shared" si="1"/>
        <v>9.5091097769139904E-2</v>
      </c>
      <c r="F57">
        <f t="shared" si="2"/>
        <v>0.16531300947027294</v>
      </c>
      <c r="G57">
        <f t="shared" si="3"/>
        <v>0.16502635223295514</v>
      </c>
      <c r="H57">
        <f t="shared" si="4"/>
        <v>-2.9765662977670448</v>
      </c>
      <c r="J57">
        <f t="shared" si="5"/>
        <v>15</v>
      </c>
      <c r="M57">
        <f t="shared" si="6"/>
        <v>0.15852875469272015</v>
      </c>
      <c r="N57">
        <f t="shared" si="7"/>
        <v>-1.5707963250000001</v>
      </c>
      <c r="O57">
        <f t="shared" si="8"/>
        <v>2.1486792272046875</v>
      </c>
      <c r="P57">
        <f t="shared" si="9"/>
        <v>1.0867073782882992</v>
      </c>
      <c r="Q57">
        <f t="shared" si="10"/>
        <v>3.1212688674064948</v>
      </c>
      <c r="R57">
        <f t="shared" si="11"/>
        <v>1.2446630568201236</v>
      </c>
      <c r="S57">
        <f t="shared" si="12"/>
        <v>0.99548224734811608</v>
      </c>
      <c r="T57">
        <f t="shared" si="13"/>
        <v>-9.509109776913989E-2</v>
      </c>
      <c r="U57">
        <f t="shared" si="14"/>
        <v>0.99827467406888948</v>
      </c>
      <c r="V57">
        <f t="shared" si="15"/>
        <v>-5.8750698454159249E-2</v>
      </c>
      <c r="X57">
        <f t="shared" si="34"/>
        <v>8.4051831683972651</v>
      </c>
      <c r="Y57">
        <f t="shared" si="16"/>
        <v>-130.33316700059783</v>
      </c>
      <c r="Z57">
        <f t="shared" si="35"/>
        <v>49.666832999402175</v>
      </c>
      <c r="AC57">
        <v>1</v>
      </c>
      <c r="AD57">
        <f t="shared" si="17"/>
        <v>1.9017945266040002</v>
      </c>
      <c r="AE57">
        <f t="shared" si="18"/>
        <v>-2.0612589787733282E-5</v>
      </c>
      <c r="AF57">
        <f t="shared" si="19"/>
        <v>3.5044466010749996E-4</v>
      </c>
      <c r="AG57">
        <f t="shared" si="36"/>
        <v>5240.8336187847581</v>
      </c>
      <c r="AH57">
        <f t="shared" si="37"/>
        <v>-3161.7749666662949</v>
      </c>
      <c r="AJ57">
        <f t="shared" si="20"/>
        <v>18000</v>
      </c>
      <c r="AK57">
        <f t="shared" si="21"/>
        <v>1716.8175513720003</v>
      </c>
      <c r="AL57">
        <v>1</v>
      </c>
      <c r="AM57">
        <f t="shared" si="22"/>
        <v>2.956741338474</v>
      </c>
      <c r="AN57">
        <f t="shared" si="38"/>
        <v>2368.6541790677575</v>
      </c>
      <c r="AO57">
        <f t="shared" si="39"/>
        <v>-5286.6801764268348</v>
      </c>
      <c r="AQ57">
        <f t="shared" si="23"/>
        <v>18.867924528301888</v>
      </c>
      <c r="AR57">
        <f t="shared" si="24"/>
        <v>-433.96226415094338</v>
      </c>
      <c r="AT57">
        <f t="shared" si="52"/>
        <v>-1273207.3700856608</v>
      </c>
      <c r="AU57">
        <f t="shared" si="53"/>
        <v>-2333980.1546927495</v>
      </c>
      <c r="AV57">
        <f t="shared" si="42"/>
        <v>-2.0701850783641222</v>
      </c>
      <c r="AW57">
        <f t="shared" si="25"/>
        <v>-2243203.1198940561</v>
      </c>
      <c r="AX57">
        <f t="shared" si="26"/>
        <v>-1146613.5140588225</v>
      </c>
      <c r="AY57">
        <f t="shared" si="50"/>
        <v>-2.6690647999845449</v>
      </c>
      <c r="BA57">
        <f t="shared" si="27"/>
        <v>1.0553362612159745</v>
      </c>
      <c r="BB57">
        <f t="shared" si="43"/>
        <v>0.46781721395113357</v>
      </c>
      <c r="BC57">
        <f t="shared" si="44"/>
        <v>0.59887972162042269</v>
      </c>
      <c r="BD57">
        <f t="shared" si="28"/>
        <v>-145.6867194759715</v>
      </c>
      <c r="BF57">
        <f t="shared" si="29"/>
        <v>8.3951126467535815</v>
      </c>
      <c r="BG57">
        <f t="shared" si="30"/>
        <v>-130.78308739611634</v>
      </c>
      <c r="BH57">
        <f t="shared" si="45"/>
        <v>49.216912603883657</v>
      </c>
      <c r="BI57">
        <f t="shared" si="46"/>
        <v>49.216912603883657</v>
      </c>
      <c r="BJ57">
        <f t="shared" si="31"/>
        <v>0</v>
      </c>
      <c r="BK57">
        <f t="shared" si="47"/>
        <v>0</v>
      </c>
      <c r="BM57">
        <f t="shared" si="48"/>
        <v>7.9272954328024481</v>
      </c>
      <c r="BN57">
        <f t="shared" si="32"/>
        <v>-165.09636792014484</v>
      </c>
      <c r="BQ57" s="56">
        <f t="shared" si="49"/>
        <v>17.369778014236271</v>
      </c>
      <c r="BR57" s="59"/>
      <c r="BS57" s="59"/>
      <c r="BT57" s="59">
        <v>295.12099999999998</v>
      </c>
      <c r="BU57" s="59">
        <v>25.581099999999999</v>
      </c>
      <c r="BV57" s="59">
        <v>-265.88</v>
      </c>
      <c r="BW57" s="61"/>
      <c r="BY57" s="59"/>
      <c r="BZ57" s="59"/>
      <c r="CA57" s="59"/>
      <c r="CC57" s="59"/>
    </row>
    <row r="58" spans="1:81" x14ac:dyDescent="0.25">
      <c r="A58">
        <f t="shared" si="54"/>
        <v>12000</v>
      </c>
      <c r="B58">
        <f t="shared" si="33"/>
        <v>12</v>
      </c>
      <c r="C58">
        <f t="shared" si="0"/>
        <v>1.0049404738756593</v>
      </c>
      <c r="D58">
        <f t="shared" si="1"/>
        <v>9.9198982103345948E-2</v>
      </c>
      <c r="F58">
        <f t="shared" si="2"/>
        <v>0.14997926338747214</v>
      </c>
      <c r="G58">
        <f t="shared" si="3"/>
        <v>0.1561544197392058</v>
      </c>
      <c r="H58">
        <f t="shared" si="4"/>
        <v>-2.9854382302607942</v>
      </c>
      <c r="J58">
        <f t="shared" si="5"/>
        <v>15</v>
      </c>
      <c r="M58">
        <f t="shared" si="6"/>
        <v>0.15192338991385679</v>
      </c>
      <c r="N58">
        <f t="shared" si="7"/>
        <v>-1.5707963250000001</v>
      </c>
      <c r="O58">
        <f t="shared" si="8"/>
        <v>2.2221984187646324</v>
      </c>
      <c r="P58">
        <f t="shared" si="9"/>
        <v>1.1040255900944986</v>
      </c>
      <c r="Q58">
        <f t="shared" si="10"/>
        <v>3.2433080563108505</v>
      </c>
      <c r="R58">
        <f t="shared" si="11"/>
        <v>1.257362298519946</v>
      </c>
      <c r="S58">
        <f t="shared" si="12"/>
        <v>0.99508381441081195</v>
      </c>
      <c r="T58">
        <f t="shared" si="13"/>
        <v>-9.919898210334592E-2</v>
      </c>
      <c r="U58">
        <f t="shared" si="14"/>
        <v>0.99812181584178095</v>
      </c>
      <c r="V58">
        <f t="shared" si="15"/>
        <v>-6.1298815358039112E-2</v>
      </c>
      <c r="X58">
        <f t="shared" si="34"/>
        <v>7.8140340160238555</v>
      </c>
      <c r="Y58">
        <f t="shared" si="16"/>
        <v>-129.26761423407007</v>
      </c>
      <c r="Z58">
        <f t="shared" si="35"/>
        <v>50.732385765929934</v>
      </c>
      <c r="AC58">
        <v>1</v>
      </c>
      <c r="AD58">
        <f t="shared" si="17"/>
        <v>1.9844812451520002</v>
      </c>
      <c r="AE58">
        <f t="shared" si="18"/>
        <v>-2.2443954097796542E-5</v>
      </c>
      <c r="AF58">
        <f t="shared" si="19"/>
        <v>3.6568138445999999E-4</v>
      </c>
      <c r="AG58">
        <f t="shared" si="36"/>
        <v>5239.2287634822724</v>
      </c>
      <c r="AH58">
        <f t="shared" si="37"/>
        <v>-3056.1823963934889</v>
      </c>
      <c r="AJ58">
        <f t="shared" si="20"/>
        <v>18000</v>
      </c>
      <c r="AK58">
        <f t="shared" si="21"/>
        <v>1791.4617927360002</v>
      </c>
      <c r="AL58">
        <v>1</v>
      </c>
      <c r="AM58">
        <f t="shared" si="22"/>
        <v>3.0852953097119995</v>
      </c>
      <c r="AN58">
        <f t="shared" si="38"/>
        <v>2236.6273613325511</v>
      </c>
      <c r="AO58">
        <f t="shared" si="39"/>
        <v>-5109.1941147568459</v>
      </c>
      <c r="AQ58">
        <f t="shared" si="23"/>
        <v>17.331022530329289</v>
      </c>
      <c r="AR58">
        <f t="shared" si="24"/>
        <v>-415.94454072790296</v>
      </c>
      <c r="AT58">
        <f t="shared" si="52"/>
        <v>-1180401.1915071311</v>
      </c>
      <c r="AU58">
        <f t="shared" si="53"/>
        <v>-2232195.3677637437</v>
      </c>
      <c r="AV58">
        <f t="shared" si="42"/>
        <v>-2.057223299754745</v>
      </c>
      <c r="AW58">
        <f t="shared" si="25"/>
        <v>-2080066.0205450368</v>
      </c>
      <c r="AX58">
        <f t="shared" si="26"/>
        <v>-1037060.3368809338</v>
      </c>
      <c r="AY58">
        <f t="shared" si="50"/>
        <v>-2.6790889976616024</v>
      </c>
      <c r="BA58">
        <f t="shared" si="27"/>
        <v>1.086404481174897</v>
      </c>
      <c r="BB58">
        <f t="shared" si="43"/>
        <v>0.71983096614967201</v>
      </c>
      <c r="BC58">
        <f t="shared" si="44"/>
        <v>0.62186569790685731</v>
      </c>
      <c r="BD58">
        <f t="shared" si="28"/>
        <v>-144.36972004526612</v>
      </c>
      <c r="BF58">
        <f t="shared" si="29"/>
        <v>7.8050872273890173</v>
      </c>
      <c r="BG58">
        <f t="shared" si="30"/>
        <v>-129.73904781866176</v>
      </c>
      <c r="BH58">
        <f t="shared" si="45"/>
        <v>50.26095218133824</v>
      </c>
      <c r="BI58">
        <f t="shared" si="46"/>
        <v>50.26095218133824</v>
      </c>
      <c r="BJ58">
        <f t="shared" si="31"/>
        <v>0</v>
      </c>
      <c r="BK58">
        <f t="shared" si="47"/>
        <v>0</v>
      </c>
      <c r="BM58">
        <f t="shared" si="48"/>
        <v>7.0852562612393468</v>
      </c>
      <c r="BN58">
        <f t="shared" si="32"/>
        <v>-165.36932777339564</v>
      </c>
      <c r="BQ58" s="56">
        <f t="shared" si="49"/>
        <v>17.621791766434811</v>
      </c>
      <c r="BR58" s="59"/>
      <c r="BS58" s="59"/>
      <c r="BT58" s="59">
        <v>301.995</v>
      </c>
      <c r="BU58" s="59">
        <v>24.917000000000002</v>
      </c>
      <c r="BV58" s="59">
        <v>-267.13580000000002</v>
      </c>
      <c r="BW58" s="61"/>
      <c r="BY58" s="59"/>
      <c r="BZ58" s="59"/>
      <c r="CA58" s="59"/>
      <c r="CC58" s="59"/>
    </row>
    <row r="59" spans="1:81" x14ac:dyDescent="0.25">
      <c r="A59">
        <f t="shared" si="54"/>
        <v>12500</v>
      </c>
      <c r="B59">
        <f t="shared" si="33"/>
        <v>12.5</v>
      </c>
      <c r="C59">
        <f t="shared" si="0"/>
        <v>1.0053596367311668</v>
      </c>
      <c r="D59">
        <f t="shared" si="1"/>
        <v>0.10330351026681402</v>
      </c>
      <c r="F59">
        <f t="shared" si="2"/>
        <v>0.13675112818712548</v>
      </c>
      <c r="G59">
        <f t="shared" si="3"/>
        <v>0.14825468217138449</v>
      </c>
      <c r="H59">
        <f t="shared" si="4"/>
        <v>-2.9933379678286158</v>
      </c>
      <c r="J59">
        <f t="shared" si="5"/>
        <v>15</v>
      </c>
      <c r="M59">
        <f t="shared" si="6"/>
        <v>0.14584645431730253</v>
      </c>
      <c r="N59">
        <f t="shared" si="7"/>
        <v>-1.5707963250000001</v>
      </c>
      <c r="O59">
        <f t="shared" si="8"/>
        <v>2.2963413052391854</v>
      </c>
      <c r="P59">
        <f t="shared" si="9"/>
        <v>1.1202300847511724</v>
      </c>
      <c r="Q59">
        <f t="shared" si="10"/>
        <v>3.3658323191541837</v>
      </c>
      <c r="R59">
        <f t="shared" si="11"/>
        <v>1.2691387611568539</v>
      </c>
      <c r="S59">
        <f t="shared" si="12"/>
        <v>0.99466893583614202</v>
      </c>
      <c r="T59">
        <f t="shared" si="13"/>
        <v>-0.10330351026681399</v>
      </c>
      <c r="U59">
        <f t="shared" si="14"/>
        <v>0.99796252774920369</v>
      </c>
      <c r="V59">
        <f t="shared" si="15"/>
        <v>-6.3846135500211024E-2</v>
      </c>
      <c r="X59">
        <f t="shared" si="34"/>
        <v>7.2632240151207581</v>
      </c>
      <c r="Y59">
        <f t="shared" si="16"/>
        <v>-128.26299578837632</v>
      </c>
      <c r="Z59">
        <f t="shared" si="35"/>
        <v>51.737004211623685</v>
      </c>
      <c r="AC59">
        <v>1</v>
      </c>
      <c r="AD59">
        <f t="shared" si="17"/>
        <v>2.0671679636999998</v>
      </c>
      <c r="AE59">
        <f t="shared" si="18"/>
        <v>-2.43532488040327E-5</v>
      </c>
      <c r="AF59">
        <f t="shared" si="19"/>
        <v>3.8091810881250003E-4</v>
      </c>
      <c r="AG59">
        <f t="shared" si="36"/>
        <v>5237.5566626398386</v>
      </c>
      <c r="AH59">
        <f t="shared" si="37"/>
        <v>-2960.0890439301843</v>
      </c>
      <c r="AJ59">
        <f t="shared" si="20"/>
        <v>18000</v>
      </c>
      <c r="AK59">
        <f t="shared" si="21"/>
        <v>1866.1060341000002</v>
      </c>
      <c r="AL59">
        <v>1</v>
      </c>
      <c r="AM59">
        <f t="shared" si="22"/>
        <v>3.2138492809499999</v>
      </c>
      <c r="AN59">
        <f t="shared" si="38"/>
        <v>2118.2584137627855</v>
      </c>
      <c r="AO59">
        <f t="shared" si="39"/>
        <v>-4941.6572458378132</v>
      </c>
      <c r="AQ59">
        <f t="shared" si="23"/>
        <v>15.974440894568691</v>
      </c>
      <c r="AR59">
        <f t="shared" si="24"/>
        <v>-399.36102236421726</v>
      </c>
      <c r="AT59">
        <f t="shared" si="52"/>
        <v>-1098477.1475337821</v>
      </c>
      <c r="AU59">
        <f t="shared" si="53"/>
        <v>-2138961.7509572869</v>
      </c>
      <c r="AV59">
        <f t="shared" si="42"/>
        <v>-2.045230017215542</v>
      </c>
      <c r="AW59">
        <f t="shared" si="25"/>
        <v>-1933366.5477785666</v>
      </c>
      <c r="AX59">
        <f t="shared" si="26"/>
        <v>-942392.88047176949</v>
      </c>
      <c r="AY59">
        <f t="shared" si="50"/>
        <v>-2.688046492270677</v>
      </c>
      <c r="BA59">
        <f t="shared" si="27"/>
        <v>1.117965950543645</v>
      </c>
      <c r="BB59">
        <f t="shared" si="43"/>
        <v>0.96857153225687442</v>
      </c>
      <c r="BC59">
        <f t="shared" si="44"/>
        <v>0.64281647505513506</v>
      </c>
      <c r="BD59">
        <f t="shared" si="28"/>
        <v>-143.16932893577902</v>
      </c>
      <c r="BF59">
        <f t="shared" si="29"/>
        <v>7.255443974715261</v>
      </c>
      <c r="BG59">
        <f t="shared" si="30"/>
        <v>-128.75610619066094</v>
      </c>
      <c r="BH59">
        <f t="shared" si="45"/>
        <v>51.243893809339056</v>
      </c>
      <c r="BI59">
        <f t="shared" si="46"/>
        <v>51.243893809339056</v>
      </c>
      <c r="BJ59">
        <f t="shared" si="31"/>
        <v>0</v>
      </c>
      <c r="BK59">
        <f t="shared" si="47"/>
        <v>0</v>
      </c>
      <c r="BM59">
        <f t="shared" si="48"/>
        <v>6.2868724424583871</v>
      </c>
      <c r="BN59">
        <f t="shared" si="32"/>
        <v>-165.58677725488192</v>
      </c>
      <c r="BQ59" s="56">
        <f t="shared" si="49"/>
        <v>17.870532332542012</v>
      </c>
      <c r="BR59" s="59"/>
      <c r="BS59" s="59"/>
      <c r="BT59" s="59">
        <v>309.02999999999997</v>
      </c>
      <c r="BU59" s="59">
        <v>24.825199999999999</v>
      </c>
      <c r="BV59" s="59">
        <v>-265.03610000000003</v>
      </c>
      <c r="BW59" s="61"/>
      <c r="BY59" s="59"/>
      <c r="BZ59" s="59"/>
      <c r="CA59" s="59"/>
      <c r="CC59" s="59"/>
    </row>
    <row r="60" spans="1:81" x14ac:dyDescent="0.25">
      <c r="A60">
        <f t="shared" si="54"/>
        <v>13000</v>
      </c>
      <c r="B60">
        <f t="shared" si="33"/>
        <v>13</v>
      </c>
      <c r="C60">
        <f t="shared" si="0"/>
        <v>1.0057957227490832</v>
      </c>
      <c r="D60">
        <f t="shared" si="1"/>
        <v>0.10740454824564846</v>
      </c>
      <c r="F60">
        <f t="shared" si="2"/>
        <v>0.12525048542674927</v>
      </c>
      <c r="G60">
        <f t="shared" si="3"/>
        <v>0.14116974342461119</v>
      </c>
      <c r="H60">
        <f t="shared" si="4"/>
        <v>-3.0004229065753889</v>
      </c>
      <c r="J60">
        <f t="shared" si="5"/>
        <v>15</v>
      </c>
      <c r="M60">
        <f t="shared" si="6"/>
        <v>0.14023697530509857</v>
      </c>
      <c r="N60">
        <f t="shared" si="7"/>
        <v>-1.5707963250000001</v>
      </c>
      <c r="O60">
        <f t="shared" si="8"/>
        <v>2.3710493783942268</v>
      </c>
      <c r="P60">
        <f t="shared" si="9"/>
        <v>1.1354172044522897</v>
      </c>
      <c r="Q60">
        <f t="shared" si="10"/>
        <v>3.4887905497803846</v>
      </c>
      <c r="R60">
        <f t="shared" si="11"/>
        <v>1.2800865597497055</v>
      </c>
      <c r="S60">
        <f t="shared" si="12"/>
        <v>0.99423767409425634</v>
      </c>
      <c r="T60">
        <f t="shared" si="13"/>
        <v>-0.10740454824564843</v>
      </c>
      <c r="U60">
        <f t="shared" si="14"/>
        <v>0.99779681906901341</v>
      </c>
      <c r="V60">
        <f t="shared" si="15"/>
        <v>-6.6392626211944639E-2</v>
      </c>
      <c r="X60">
        <f t="shared" si="34"/>
        <v>6.7478164751800884</v>
      </c>
      <c r="Y60">
        <f t="shared" si="16"/>
        <v>-127.31741552978258</v>
      </c>
      <c r="Z60">
        <f t="shared" si="35"/>
        <v>52.682584470217421</v>
      </c>
      <c r="AC60">
        <v>1</v>
      </c>
      <c r="AD60">
        <f t="shared" si="17"/>
        <v>2.1498546822479998</v>
      </c>
      <c r="AE60">
        <f t="shared" si="18"/>
        <v>-2.6340473906441771E-5</v>
      </c>
      <c r="AF60">
        <f t="shared" si="19"/>
        <v>3.9615483316500001E-4</v>
      </c>
      <c r="AG60">
        <f t="shared" si="36"/>
        <v>5235.8174459437223</v>
      </c>
      <c r="AH60">
        <f t="shared" si="37"/>
        <v>-2872.3968952306777</v>
      </c>
      <c r="AJ60">
        <f t="shared" si="20"/>
        <v>18000</v>
      </c>
      <c r="AK60">
        <f t="shared" si="21"/>
        <v>1940.7502754640002</v>
      </c>
      <c r="AL60">
        <v>1</v>
      </c>
      <c r="AM60">
        <f t="shared" si="22"/>
        <v>3.3424032521879994</v>
      </c>
      <c r="AN60">
        <f t="shared" si="38"/>
        <v>2011.7856592947746</v>
      </c>
      <c r="AO60">
        <f t="shared" si="39"/>
        <v>-4783.4486548680334</v>
      </c>
      <c r="AQ60">
        <f t="shared" si="23"/>
        <v>14.771048744460856</v>
      </c>
      <c r="AR60">
        <f t="shared" si="24"/>
        <v>-384.04726735598229</v>
      </c>
      <c r="AT60">
        <f t="shared" si="52"/>
        <v>-1025797.6636640164</v>
      </c>
      <c r="AU60">
        <f t="shared" si="53"/>
        <v>-2053229.6970423553</v>
      </c>
      <c r="AV60">
        <f t="shared" si="42"/>
        <v>-2.0341254853282602</v>
      </c>
      <c r="AW60">
        <f t="shared" si="25"/>
        <v>-1801064.1298415803</v>
      </c>
      <c r="AX60">
        <f t="shared" si="26"/>
        <v>-860137.54600883706</v>
      </c>
      <c r="AY60">
        <f t="shared" si="50"/>
        <v>-2.6960480030034226</v>
      </c>
      <c r="BA60">
        <f t="shared" si="27"/>
        <v>1.1499575776394568</v>
      </c>
      <c r="BB60">
        <f t="shared" si="43"/>
        <v>1.2136363872997227</v>
      </c>
      <c r="BC60">
        <f t="shared" si="44"/>
        <v>0.66192251767516241</v>
      </c>
      <c r="BD60">
        <f t="shared" si="28"/>
        <v>-142.07463332920349</v>
      </c>
      <c r="BF60">
        <f t="shared" si="29"/>
        <v>6.741245610839659</v>
      </c>
      <c r="BG60">
        <f t="shared" si="30"/>
        <v>-127.83237550476954</v>
      </c>
      <c r="BH60">
        <f t="shared" si="45"/>
        <v>52.167624495230456</v>
      </c>
      <c r="BI60">
        <f t="shared" si="46"/>
        <v>52.167624495230456</v>
      </c>
      <c r="BJ60">
        <f t="shared" si="31"/>
        <v>0</v>
      </c>
      <c r="BK60">
        <f t="shared" si="47"/>
        <v>0</v>
      </c>
      <c r="BM60">
        <f t="shared" si="48"/>
        <v>5.5276092235399341</v>
      </c>
      <c r="BN60">
        <f t="shared" si="32"/>
        <v>-165.75774217556605</v>
      </c>
      <c r="BQ60" s="56">
        <f t="shared" si="49"/>
        <v>18.115597187584861</v>
      </c>
      <c r="BR60" s="59"/>
      <c r="BS60" s="59"/>
      <c r="BT60" s="59">
        <v>316.22800000000001</v>
      </c>
      <c r="BU60" s="59">
        <v>24.722000000000001</v>
      </c>
      <c r="BV60" s="59">
        <v>-265.21839999999997</v>
      </c>
      <c r="BW60" s="61"/>
      <c r="BY60" s="59"/>
      <c r="BZ60" s="59"/>
      <c r="CA60" s="59"/>
      <c r="CC60" s="59"/>
    </row>
    <row r="61" spans="1:81" x14ac:dyDescent="0.25">
      <c r="A61">
        <f t="shared" si="54"/>
        <v>13500</v>
      </c>
      <c r="B61">
        <f t="shared" si="33"/>
        <v>13.5</v>
      </c>
      <c r="C61">
        <f t="shared" si="0"/>
        <v>1.0062487099270319</v>
      </c>
      <c r="D61">
        <f t="shared" si="1"/>
        <v>0.11150196272333443</v>
      </c>
      <c r="F61">
        <f t="shared" si="2"/>
        <v>0.11518203916782069</v>
      </c>
      <c r="G61">
        <f t="shared" si="3"/>
        <v>0.13477504937195398</v>
      </c>
      <c r="H61">
        <f t="shared" si="4"/>
        <v>-3.0068176006280463</v>
      </c>
      <c r="J61">
        <f t="shared" si="5"/>
        <v>15</v>
      </c>
      <c r="M61">
        <f t="shared" si="6"/>
        <v>0.1350430132567616</v>
      </c>
      <c r="N61">
        <f t="shared" si="7"/>
        <v>-1.5707963250000001</v>
      </c>
      <c r="O61">
        <f t="shared" si="8"/>
        <v>2.446270857094154</v>
      </c>
      <c r="P61">
        <f t="shared" si="9"/>
        <v>1.1496734552948986</v>
      </c>
      <c r="Q61">
        <f t="shared" si="10"/>
        <v>3.6121384312970517</v>
      </c>
      <c r="R61">
        <f t="shared" si="11"/>
        <v>1.29028781810768</v>
      </c>
      <c r="S61">
        <f t="shared" si="12"/>
        <v>0.99379009397439622</v>
      </c>
      <c r="T61">
        <f t="shared" si="13"/>
        <v>-0.1115019627233344</v>
      </c>
      <c r="U61">
        <f t="shared" si="14"/>
        <v>0.99762469944464471</v>
      </c>
      <c r="V61">
        <f t="shared" si="15"/>
        <v>-6.8938254888807823E-2</v>
      </c>
      <c r="X61">
        <f t="shared" si="34"/>
        <v>6.2636852452200396</v>
      </c>
      <c r="Y61">
        <f t="shared" si="16"/>
        <v>-126.42834623405732</v>
      </c>
      <c r="Z61">
        <f t="shared" si="35"/>
        <v>53.571653765942685</v>
      </c>
      <c r="AC61">
        <v>1</v>
      </c>
      <c r="AD61">
        <f t="shared" si="17"/>
        <v>2.2325414007959998</v>
      </c>
      <c r="AE61">
        <f t="shared" si="18"/>
        <v>-2.8405629405023739E-5</v>
      </c>
      <c r="AF61">
        <f t="shared" si="19"/>
        <v>4.1139155751749999E-4</v>
      </c>
      <c r="AG61">
        <f t="shared" si="36"/>
        <v>5234.0112481535289</v>
      </c>
      <c r="AH61">
        <f t="shared" si="37"/>
        <v>-2792.17053152072</v>
      </c>
      <c r="AJ61">
        <f t="shared" si="20"/>
        <v>18000</v>
      </c>
      <c r="AK61">
        <f t="shared" si="21"/>
        <v>2015.3945168280002</v>
      </c>
      <c r="AL61">
        <v>1</v>
      </c>
      <c r="AM61">
        <f t="shared" si="22"/>
        <v>3.4709572234259998</v>
      </c>
      <c r="AN61">
        <f t="shared" si="38"/>
        <v>1915.7128779546681</v>
      </c>
      <c r="AO61">
        <f t="shared" si="39"/>
        <v>-4633.9629349189663</v>
      </c>
      <c r="AQ61">
        <f t="shared" si="23"/>
        <v>13.698630136986301</v>
      </c>
      <c r="AR61">
        <f t="shared" si="24"/>
        <v>-369.86301369863014</v>
      </c>
      <c r="AT61">
        <f t="shared" si="52"/>
        <v>-961021.82332747825</v>
      </c>
      <c r="AU61">
        <f t="shared" si="53"/>
        <v>-1974116.0853652877</v>
      </c>
      <c r="AV61">
        <f t="shared" si="42"/>
        <v>-2.0238373373097724</v>
      </c>
      <c r="AW61">
        <f t="shared" si="25"/>
        <v>-1681408.6714091077</v>
      </c>
      <c r="AX61">
        <f t="shared" si="26"/>
        <v>-788296.26398179051</v>
      </c>
      <c r="AY61">
        <f t="shared" si="50"/>
        <v>-2.7031898068508933</v>
      </c>
      <c r="BA61">
        <f t="shared" si="27"/>
        <v>1.1823251019887469</v>
      </c>
      <c r="BB61">
        <f t="shared" si="43"/>
        <v>1.454738204112821</v>
      </c>
      <c r="BC61">
        <f t="shared" si="44"/>
        <v>0.67935246954112083</v>
      </c>
      <c r="BD61">
        <f t="shared" si="28"/>
        <v>-141.07597064902677</v>
      </c>
      <c r="BF61">
        <f t="shared" si="29"/>
        <v>6.2583653760032405</v>
      </c>
      <c r="BG61">
        <f t="shared" si="30"/>
        <v>-126.96533724875067</v>
      </c>
      <c r="BH61">
        <f t="shared" si="45"/>
        <v>53.034662751249328</v>
      </c>
      <c r="BI61">
        <f t="shared" si="46"/>
        <v>53.034662751249328</v>
      </c>
      <c r="BJ61">
        <f t="shared" si="31"/>
        <v>0</v>
      </c>
      <c r="BK61">
        <f t="shared" si="47"/>
        <v>0</v>
      </c>
      <c r="BM61">
        <f t="shared" si="48"/>
        <v>4.8036271718904198</v>
      </c>
      <c r="BN61">
        <f t="shared" si="32"/>
        <v>-165.8893665997239</v>
      </c>
      <c r="BQ61" s="56">
        <f t="shared" si="49"/>
        <v>18.35669900439796</v>
      </c>
      <c r="BR61" s="59"/>
      <c r="BS61" s="59"/>
      <c r="BT61" s="59">
        <v>323.59399999999999</v>
      </c>
      <c r="BU61" s="59">
        <v>24.5962</v>
      </c>
      <c r="BV61" s="59">
        <v>-266.99490000000003</v>
      </c>
      <c r="BW61" s="61"/>
      <c r="BY61" s="59"/>
      <c r="BZ61" s="59"/>
      <c r="CA61" s="59"/>
      <c r="CC61" s="59"/>
    </row>
    <row r="62" spans="1:81" x14ac:dyDescent="0.25">
      <c r="A62">
        <f t="shared" si="54"/>
        <v>14000</v>
      </c>
      <c r="B62">
        <f t="shared" si="33"/>
        <v>14</v>
      </c>
      <c r="C62">
        <f t="shared" si="0"/>
        <v>1.0067185754502694</v>
      </c>
      <c r="D62">
        <f t="shared" si="1"/>
        <v>0.11559562110548081</v>
      </c>
      <c r="F62">
        <f t="shared" si="2"/>
        <v>0.10631215396112324</v>
      </c>
      <c r="G62">
        <f t="shared" si="3"/>
        <v>0.12897067825442221</v>
      </c>
      <c r="H62">
        <f t="shared" si="4"/>
        <v>-3.012621971745578</v>
      </c>
      <c r="J62">
        <f t="shared" si="5"/>
        <v>15</v>
      </c>
      <c r="M62">
        <f t="shared" si="6"/>
        <v>0.13022004849759156</v>
      </c>
      <c r="N62">
        <f t="shared" si="7"/>
        <v>-1.5707963250000001</v>
      </c>
      <c r="O62">
        <f t="shared" si="8"/>
        <v>2.5219598023364997</v>
      </c>
      <c r="P62">
        <f t="shared" si="9"/>
        <v>1.1630765800106442</v>
      </c>
      <c r="Q62">
        <f t="shared" si="10"/>
        <v>3.7358373680490233</v>
      </c>
      <c r="R62">
        <f t="shared" si="11"/>
        <v>1.2998144573333441</v>
      </c>
      <c r="S62">
        <f t="shared" si="12"/>
        <v>0.99332626255826817</v>
      </c>
      <c r="T62">
        <f t="shared" si="13"/>
        <v>-0.11559562110548079</v>
      </c>
      <c r="U62">
        <f t="shared" si="14"/>
        <v>0.99744617888356268</v>
      </c>
      <c r="V62">
        <f t="shared" si="15"/>
        <v>-7.1482988993127439E-2</v>
      </c>
      <c r="X62">
        <f t="shared" si="34"/>
        <v>5.8073524401114875</v>
      </c>
      <c r="Y62">
        <f t="shared" si="16"/>
        <v>-125.59293602595139</v>
      </c>
      <c r="Z62">
        <f t="shared" si="35"/>
        <v>54.407063974048611</v>
      </c>
      <c r="AC62">
        <v>1</v>
      </c>
      <c r="AD62">
        <f t="shared" si="17"/>
        <v>2.3152281193439999</v>
      </c>
      <c r="AE62">
        <f t="shared" si="18"/>
        <v>-3.0548715299778616E-5</v>
      </c>
      <c r="AF62">
        <f t="shared" si="19"/>
        <v>4.2662828187000002E-4</v>
      </c>
      <c r="AG62">
        <f t="shared" si="36"/>
        <v>5232.1382090762609</v>
      </c>
      <c r="AH62">
        <f t="shared" si="37"/>
        <v>-2718.6080947900759</v>
      </c>
      <c r="AJ62">
        <f t="shared" si="20"/>
        <v>18000</v>
      </c>
      <c r="AK62">
        <f t="shared" si="21"/>
        <v>2090.0387581919999</v>
      </c>
      <c r="AL62">
        <v>1</v>
      </c>
      <c r="AM62">
        <f t="shared" si="22"/>
        <v>3.5995111946639997</v>
      </c>
      <c r="AN62">
        <f t="shared" si="38"/>
        <v>1828.7645860773034</v>
      </c>
      <c r="AO62">
        <f t="shared" si="39"/>
        <v>-4492.6198417983296</v>
      </c>
      <c r="AQ62">
        <f t="shared" si="23"/>
        <v>12.738853503184714</v>
      </c>
      <c r="AR62">
        <f t="shared" si="24"/>
        <v>-356.68789808917199</v>
      </c>
      <c r="AT62">
        <f t="shared" si="52"/>
        <v>-903043.16490504285</v>
      </c>
      <c r="AU62">
        <f t="shared" si="53"/>
        <v>-1900872.3305595592</v>
      </c>
      <c r="AV62">
        <f t="shared" si="42"/>
        <v>-2.0142999498929521</v>
      </c>
      <c r="AW62">
        <f t="shared" si="25"/>
        <v>-1572895.7843559431</v>
      </c>
      <c r="AX62">
        <f t="shared" si="26"/>
        <v>-725244.00853259314</v>
      </c>
      <c r="AY62">
        <f t="shared" si="50"/>
        <v>-2.7095559637182443</v>
      </c>
      <c r="BA62">
        <f t="shared" si="27"/>
        <v>1.2150215457984033</v>
      </c>
      <c r="BB62">
        <f t="shared" si="43"/>
        <v>1.6916795856559883</v>
      </c>
      <c r="BC62">
        <f t="shared" si="44"/>
        <v>0.69525601382529212</v>
      </c>
      <c r="BD62">
        <f t="shared" si="28"/>
        <v>-140.16476468120317</v>
      </c>
      <c r="BF62">
        <f t="shared" si="29"/>
        <v>5.8033247552125165</v>
      </c>
      <c r="BG62">
        <f t="shared" si="30"/>
        <v>-126.15214790073591</v>
      </c>
      <c r="BH62">
        <f t="shared" si="45"/>
        <v>53.847852099264088</v>
      </c>
      <c r="BI62">
        <f t="shared" si="46"/>
        <v>53.847852099264088</v>
      </c>
      <c r="BJ62">
        <f t="shared" si="31"/>
        <v>0</v>
      </c>
      <c r="BK62">
        <f t="shared" si="47"/>
        <v>0</v>
      </c>
      <c r="BM62">
        <f t="shared" si="48"/>
        <v>4.111645169556529</v>
      </c>
      <c r="BN62">
        <f t="shared" si="32"/>
        <v>-165.98738321953277</v>
      </c>
      <c r="BQ62" s="56">
        <f t="shared" si="49"/>
        <v>18.593640385941125</v>
      </c>
      <c r="BR62" s="59"/>
      <c r="BS62" s="59"/>
      <c r="BT62" s="59">
        <v>331.13099999999997</v>
      </c>
      <c r="BU62" s="59">
        <v>24.386800000000001</v>
      </c>
      <c r="BV62" s="59">
        <v>-265.09339999999997</v>
      </c>
      <c r="BW62" s="61"/>
      <c r="BY62" s="59"/>
      <c r="BZ62" s="59"/>
      <c r="CA62" s="59"/>
      <c r="CC62" s="59"/>
    </row>
    <row r="63" spans="1:81" x14ac:dyDescent="0.25">
      <c r="A63">
        <f t="shared" si="54"/>
        <v>14500</v>
      </c>
      <c r="B63">
        <f t="shared" si="33"/>
        <v>14.5</v>
      </c>
      <c r="C63">
        <f t="shared" si="0"/>
        <v>1.0072052956973379</v>
      </c>
      <c r="D63">
        <f t="shared" si="1"/>
        <v>0.11968539154420886</v>
      </c>
      <c r="F63">
        <f t="shared" si="2"/>
        <v>9.845380905436775E-2</v>
      </c>
      <c r="G63">
        <f t="shared" si="3"/>
        <v>0.12367548408191827</v>
      </c>
      <c r="H63">
        <f t="shared" si="4"/>
        <v>-3.0179171659180821</v>
      </c>
      <c r="J63">
        <f t="shared" si="5"/>
        <v>15</v>
      </c>
      <c r="M63">
        <f t="shared" si="6"/>
        <v>0.12572970199767461</v>
      </c>
      <c r="N63">
        <f t="shared" si="7"/>
        <v>-1.5707963250000001</v>
      </c>
      <c r="O63">
        <f t="shared" si="8"/>
        <v>2.5980753587574434</v>
      </c>
      <c r="P63">
        <f t="shared" si="9"/>
        <v>1.1756965226544831</v>
      </c>
      <c r="Q63">
        <f t="shared" si="10"/>
        <v>3.8598536087799888</v>
      </c>
      <c r="R63">
        <f t="shared" si="11"/>
        <v>1.3087296853412886</v>
      </c>
      <c r="S63">
        <f t="shared" si="12"/>
        <v>0.99284624919257469</v>
      </c>
      <c r="T63">
        <f t="shared" si="13"/>
        <v>-0.11968539154420883</v>
      </c>
      <c r="U63">
        <f t="shared" si="14"/>
        <v>0.99726126775565527</v>
      </c>
      <c r="V63">
        <f t="shared" si="15"/>
        <v>-7.4026796056437222E-2</v>
      </c>
      <c r="X63">
        <f t="shared" si="34"/>
        <v>5.3758639577889236</v>
      </c>
      <c r="Y63">
        <f t="shared" si="16"/>
        <v>-124.80820332202346</v>
      </c>
      <c r="Z63">
        <f t="shared" si="35"/>
        <v>55.191796677976541</v>
      </c>
      <c r="AC63">
        <v>1</v>
      </c>
      <c r="AD63">
        <f t="shared" si="17"/>
        <v>2.3979148378919999</v>
      </c>
      <c r="AE63">
        <f t="shared" si="18"/>
        <v>-3.2769731590706409E-5</v>
      </c>
      <c r="AF63">
        <f t="shared" si="19"/>
        <v>4.4186500622249994E-4</v>
      </c>
      <c r="AG63">
        <f t="shared" si="36"/>
        <v>5230.198473539439</v>
      </c>
      <c r="AH63">
        <f t="shared" si="37"/>
        <v>-2651.0182604371216</v>
      </c>
      <c r="AJ63">
        <f t="shared" si="20"/>
        <v>18000</v>
      </c>
      <c r="AK63">
        <f t="shared" si="21"/>
        <v>2164.6829995560001</v>
      </c>
      <c r="AL63">
        <v>1</v>
      </c>
      <c r="AM63">
        <f t="shared" si="22"/>
        <v>3.7280651659019992</v>
      </c>
      <c r="AN63">
        <f t="shared" si="38"/>
        <v>1749.8494472067446</v>
      </c>
      <c r="AO63">
        <f t="shared" si="39"/>
        <v>-4358.8697701483334</v>
      </c>
      <c r="AQ63">
        <f t="shared" si="23"/>
        <v>11.876484560570072</v>
      </c>
      <c r="AR63">
        <f t="shared" si="24"/>
        <v>-344.41805225653206</v>
      </c>
      <c r="AT63">
        <f t="shared" si="52"/>
        <v>-850942.17433654494</v>
      </c>
      <c r="AU63">
        <f t="shared" si="53"/>
        <v>-1832859.5486114116</v>
      </c>
      <c r="AV63">
        <f t="shared" si="42"/>
        <v>-2.0054538259922392</v>
      </c>
      <c r="AW63">
        <f t="shared" si="25"/>
        <v>-1474229.005412329</v>
      </c>
      <c r="AX63">
        <f t="shared" si="26"/>
        <v>-669650.56052305095</v>
      </c>
      <c r="AY63">
        <f t="shared" si="50"/>
        <v>-2.7152201525085746</v>
      </c>
      <c r="BA63">
        <f t="shared" si="27"/>
        <v>1.2480059821374074</v>
      </c>
      <c r="BB63">
        <f t="shared" si="43"/>
        <v>1.924333341592197</v>
      </c>
      <c r="BC63">
        <f t="shared" si="44"/>
        <v>0.70976632651633542</v>
      </c>
      <c r="BD63">
        <f t="shared" si="28"/>
        <v>-139.33338500364127</v>
      </c>
      <c r="BF63">
        <f t="shared" si="29"/>
        <v>5.3731689957651998</v>
      </c>
      <c r="BG63">
        <f t="shared" si="30"/>
        <v>-125.38983391572323</v>
      </c>
      <c r="BH63">
        <f t="shared" si="45"/>
        <v>54.61016608427677</v>
      </c>
      <c r="BI63">
        <f t="shared" si="46"/>
        <v>54.61016608427677</v>
      </c>
      <c r="BJ63">
        <f t="shared" si="31"/>
        <v>0</v>
      </c>
      <c r="BK63">
        <f t="shared" si="47"/>
        <v>0</v>
      </c>
      <c r="BM63">
        <f t="shared" si="48"/>
        <v>3.4488356541730019</v>
      </c>
      <c r="BN63">
        <f t="shared" si="32"/>
        <v>-166.05644891208195</v>
      </c>
      <c r="BQ63" s="56">
        <f t="shared" si="49"/>
        <v>18.826294141877334</v>
      </c>
      <c r="BR63" s="59"/>
      <c r="BS63" s="59"/>
      <c r="BT63" s="59">
        <v>338.84399999999999</v>
      </c>
      <c r="BU63" s="59">
        <v>24.136900000000001</v>
      </c>
      <c r="BV63" s="59">
        <v>-266.42009999999999</v>
      </c>
      <c r="BW63" s="61"/>
      <c r="BY63" s="59"/>
      <c r="BZ63" s="59"/>
      <c r="CA63" s="59"/>
      <c r="CC63" s="59"/>
    </row>
    <row r="64" spans="1:81" x14ac:dyDescent="0.25">
      <c r="A64">
        <f t="shared" si="54"/>
        <v>15000</v>
      </c>
      <c r="B64">
        <f t="shared" si="33"/>
        <v>15</v>
      </c>
      <c r="C64">
        <f t="shared" si="0"/>
        <v>1.0077088462458996</v>
      </c>
      <c r="D64">
        <f t="shared" si="1"/>
        <v>0.12377114296217653</v>
      </c>
      <c r="F64">
        <f t="shared" si="2"/>
        <v>9.1455713324879132E-2</v>
      </c>
      <c r="G64">
        <f t="shared" si="3"/>
        <v>0.11882284153151584</v>
      </c>
      <c r="H64">
        <f t="shared" si="4"/>
        <v>-3.0227698084684844</v>
      </c>
      <c r="J64">
        <f t="shared" si="5"/>
        <v>15</v>
      </c>
      <c r="M64">
        <f t="shared" si="6"/>
        <v>0.12153871193108542</v>
      </c>
      <c r="N64">
        <f t="shared" si="7"/>
        <v>-1.5707963250000001</v>
      </c>
      <c r="O64">
        <f t="shared" si="8"/>
        <v>2.674581103988539</v>
      </c>
      <c r="P64">
        <f t="shared" si="9"/>
        <v>1.187596290561292</v>
      </c>
      <c r="Q64">
        <f t="shared" si="10"/>
        <v>3.9841575231100586</v>
      </c>
      <c r="R64">
        <f t="shared" si="11"/>
        <v>1.3170892415232247</v>
      </c>
      <c r="S64">
        <f t="shared" si="12"/>
        <v>0.9923501254607241</v>
      </c>
      <c r="T64">
        <f t="shared" si="13"/>
        <v>-0.12377114296217651</v>
      </c>
      <c r="U64">
        <f t="shared" si="14"/>
        <v>0.9970699767915715</v>
      </c>
      <c r="V64">
        <f t="shared" si="15"/>
        <v>-7.6569643681912533E-2</v>
      </c>
      <c r="X64">
        <f t="shared" si="34"/>
        <v>4.9666928405922697</v>
      </c>
      <c r="Y64">
        <f t="shared" si="16"/>
        <v>-124.07115992961673</v>
      </c>
      <c r="Z64">
        <f t="shared" si="35"/>
        <v>55.928840070383274</v>
      </c>
      <c r="AC64">
        <v>1</v>
      </c>
      <c r="AD64">
        <f t="shared" si="17"/>
        <v>2.4806015564399999</v>
      </c>
      <c r="AE64">
        <f t="shared" si="18"/>
        <v>-3.5068678277807086E-5</v>
      </c>
      <c r="AF64">
        <f t="shared" si="19"/>
        <v>4.5710173057499998E-4</v>
      </c>
      <c r="AG64">
        <f t="shared" si="36"/>
        <v>5228.1921913632777</v>
      </c>
      <c r="AH64">
        <f t="shared" si="37"/>
        <v>-2588.801815396544</v>
      </c>
      <c r="AJ64">
        <f t="shared" si="20"/>
        <v>18000</v>
      </c>
      <c r="AK64">
        <f t="shared" si="21"/>
        <v>2239.3272409199999</v>
      </c>
      <c r="AL64">
        <v>1</v>
      </c>
      <c r="AM64">
        <f t="shared" si="22"/>
        <v>3.8566191371399996</v>
      </c>
      <c r="AN64">
        <f t="shared" si="38"/>
        <v>1678.0302737145084</v>
      </c>
      <c r="AO64">
        <f t="shared" si="39"/>
        <v>-4232.1964253876458</v>
      </c>
      <c r="AQ64">
        <f t="shared" si="23"/>
        <v>11.098779134295228</v>
      </c>
      <c r="AR64">
        <f t="shared" si="24"/>
        <v>-332.96337402885683</v>
      </c>
      <c r="AT64">
        <f t="shared" si="52"/>
        <v>-803949.6367428751</v>
      </c>
      <c r="AU64">
        <f t="shared" si="53"/>
        <v>-1769529.0516791884</v>
      </c>
      <c r="AV64">
        <f t="shared" si="42"/>
        <v>-1.9972450108321664</v>
      </c>
      <c r="AW64">
        <f t="shared" si="25"/>
        <v>-1384288.0351049628</v>
      </c>
      <c r="AX64">
        <f t="shared" si="26"/>
        <v>-620420.31548088382</v>
      </c>
      <c r="AY64">
        <f t="shared" si="50"/>
        <v>-2.7202471932462591</v>
      </c>
      <c r="BA64">
        <f t="shared" si="27"/>
        <v>1.2812425463134431</v>
      </c>
      <c r="BB64">
        <f t="shared" si="43"/>
        <v>2.1526270375871084</v>
      </c>
      <c r="BC64">
        <f t="shared" si="44"/>
        <v>0.72300218241409264</v>
      </c>
      <c r="BD64">
        <f t="shared" si="28"/>
        <v>-138.57502632158989</v>
      </c>
      <c r="BF64">
        <f t="shared" si="29"/>
        <v>4.9653704689163227</v>
      </c>
      <c r="BG64">
        <f t="shared" si="30"/>
        <v>-124.67541485895657</v>
      </c>
      <c r="BH64">
        <f t="shared" si="45"/>
        <v>55.324585141043428</v>
      </c>
      <c r="BI64">
        <f t="shared" si="46"/>
        <v>55.324585141043428</v>
      </c>
      <c r="BJ64">
        <f t="shared" si="31"/>
        <v>0</v>
      </c>
      <c r="BK64">
        <f t="shared" si="47"/>
        <v>0</v>
      </c>
      <c r="BM64">
        <f t="shared" si="48"/>
        <v>2.8127434313292139</v>
      </c>
      <c r="BN64">
        <f t="shared" si="32"/>
        <v>-166.10038853736668</v>
      </c>
      <c r="BQ64" s="56">
        <f t="shared" si="49"/>
        <v>19.054587837872244</v>
      </c>
      <c r="BR64" s="59"/>
      <c r="BS64" s="59"/>
      <c r="BT64" s="59">
        <v>346.73700000000002</v>
      </c>
      <c r="BU64" s="59">
        <v>24.040400000000002</v>
      </c>
      <c r="BV64" s="59">
        <v>-265.87940000000003</v>
      </c>
      <c r="BW64" s="61"/>
      <c r="BY64" s="59"/>
      <c r="BZ64" s="59"/>
      <c r="CA64" s="59"/>
      <c r="CC64" s="59"/>
    </row>
    <row r="65" spans="1:81" x14ac:dyDescent="0.25">
      <c r="A65">
        <f t="shared" si="54"/>
        <v>15500</v>
      </c>
      <c r="B65">
        <f t="shared" si="33"/>
        <v>15.5</v>
      </c>
      <c r="C65">
        <f t="shared" si="0"/>
        <v>1.0082292018787498</v>
      </c>
      <c r="D65">
        <f t="shared" si="1"/>
        <v>0.12785274507622804</v>
      </c>
      <c r="F65">
        <f t="shared" si="2"/>
        <v>8.5194305651230706E-2</v>
      </c>
      <c r="G65">
        <f t="shared" si="3"/>
        <v>0.114357503053178</v>
      </c>
      <c r="H65">
        <f t="shared" si="4"/>
        <v>-3.0272351469468224</v>
      </c>
      <c r="J65">
        <f t="shared" si="5"/>
        <v>15</v>
      </c>
      <c r="M65">
        <f t="shared" si="6"/>
        <v>0.11761810832040526</v>
      </c>
      <c r="N65">
        <f t="shared" si="7"/>
        <v>-1.5707963250000001</v>
      </c>
      <c r="O65">
        <f t="shared" si="8"/>
        <v>2.7514444898436454</v>
      </c>
      <c r="P65">
        <f t="shared" si="9"/>
        <v>1.1988327210280312</v>
      </c>
      <c r="Q65">
        <f t="shared" si="10"/>
        <v>4.108723001583237</v>
      </c>
      <c r="R65">
        <f t="shared" si="11"/>
        <v>1.3249424404211483</v>
      </c>
      <c r="S65">
        <f t="shared" si="12"/>
        <v>0.99183796515374145</v>
      </c>
      <c r="T65">
        <f t="shared" si="13"/>
        <v>-0.12785274507622799</v>
      </c>
      <c r="U65">
        <f t="shared" si="14"/>
        <v>0.99687231708100443</v>
      </c>
      <c r="V65">
        <f t="shared" si="15"/>
        <v>-7.9111499546791142E-2</v>
      </c>
      <c r="X65">
        <f t="shared" si="34"/>
        <v>4.5776634329307093</v>
      </c>
      <c r="Y65">
        <f t="shared" si="16"/>
        <v>-123.37888739585576</v>
      </c>
      <c r="Z65">
        <f t="shared" si="35"/>
        <v>56.621112604144244</v>
      </c>
      <c r="AC65">
        <v>1</v>
      </c>
      <c r="AD65">
        <f t="shared" si="17"/>
        <v>2.5632882749879999</v>
      </c>
      <c r="AE65">
        <f t="shared" si="18"/>
        <v>-3.7445555361080689E-5</v>
      </c>
      <c r="AF65">
        <f t="shared" si="19"/>
        <v>4.7233845492750001E-4</v>
      </c>
      <c r="AG65">
        <f t="shared" si="36"/>
        <v>5226.1195173319757</v>
      </c>
      <c r="AH65">
        <f t="shared" si="37"/>
        <v>-2531.4368018022328</v>
      </c>
      <c r="AJ65">
        <f t="shared" si="20"/>
        <v>18000</v>
      </c>
      <c r="AK65">
        <f t="shared" si="21"/>
        <v>2313.9714822840001</v>
      </c>
      <c r="AL65">
        <v>1</v>
      </c>
      <c r="AM65">
        <f t="shared" si="22"/>
        <v>3.985173108378</v>
      </c>
      <c r="AN65">
        <f t="shared" si="38"/>
        <v>1612.4993685418049</v>
      </c>
      <c r="AO65">
        <f t="shared" si="39"/>
        <v>-4112.1176385053068</v>
      </c>
      <c r="AQ65">
        <f t="shared" si="23"/>
        <v>10.395010395010395</v>
      </c>
      <c r="AR65">
        <f t="shared" si="24"/>
        <v>-322.24532224532226</v>
      </c>
      <c r="AT65">
        <f t="shared" si="52"/>
        <v>-761418.10123219586</v>
      </c>
      <c r="AU65">
        <f t="shared" si="53"/>
        <v>-1710406.8798242568</v>
      </c>
      <c r="AV65">
        <f t="shared" si="42"/>
        <v>-1.9896245496732992</v>
      </c>
      <c r="AW65">
        <f t="shared" si="25"/>
        <v>-1302102.0889926881</v>
      </c>
      <c r="AX65">
        <f t="shared" si="26"/>
        <v>-576645.62905740552</v>
      </c>
      <c r="AY65">
        <f t="shared" si="50"/>
        <v>-2.7246943146567264</v>
      </c>
      <c r="BA65">
        <f t="shared" si="27"/>
        <v>1.3146996359113956</v>
      </c>
      <c r="BB65">
        <f t="shared" si="43"/>
        <v>2.3765308532243488</v>
      </c>
      <c r="BC65">
        <f t="shared" si="44"/>
        <v>0.73506976498342724</v>
      </c>
      <c r="BD65">
        <f t="shared" si="28"/>
        <v>-137.88360477065132</v>
      </c>
      <c r="BF65">
        <f t="shared" si="29"/>
        <v>4.5777528278758242</v>
      </c>
      <c r="BG65">
        <f t="shared" si="30"/>
        <v>-124.0059797821624</v>
      </c>
      <c r="BH65">
        <f t="shared" si="45"/>
        <v>55.994020217837601</v>
      </c>
      <c r="BI65">
        <f t="shared" si="46"/>
        <v>55.994020217837601</v>
      </c>
      <c r="BJ65">
        <f t="shared" si="31"/>
        <v>0</v>
      </c>
      <c r="BK65">
        <f t="shared" si="47"/>
        <v>0</v>
      </c>
      <c r="BM65">
        <f t="shared" si="48"/>
        <v>2.2012219746514745</v>
      </c>
      <c r="BN65">
        <f t="shared" si="32"/>
        <v>-166.12237501151111</v>
      </c>
      <c r="BQ65" s="56">
        <f t="shared" si="49"/>
        <v>19.278491653509487</v>
      </c>
      <c r="BR65" s="59"/>
      <c r="BS65" s="59"/>
      <c r="BT65" s="59">
        <v>354.81299999999999</v>
      </c>
      <c r="BU65" s="59">
        <v>23.629000000000001</v>
      </c>
      <c r="BV65" s="59">
        <v>-265.95490000000001</v>
      </c>
      <c r="BW65" s="61"/>
      <c r="BY65" s="59"/>
      <c r="BZ65" s="59"/>
      <c r="CA65" s="59"/>
      <c r="CC65" s="59"/>
    </row>
    <row r="66" spans="1:81" x14ac:dyDescent="0.25">
      <c r="A66">
        <f t="shared" si="54"/>
        <v>16000</v>
      </c>
      <c r="B66">
        <f t="shared" si="33"/>
        <v>16</v>
      </c>
      <c r="C66">
        <f t="shared" si="0"/>
        <v>1.0087663365900041</v>
      </c>
      <c r="D66">
        <f t="shared" si="1"/>
        <v>0.1319300684206588</v>
      </c>
      <c r="F66">
        <f t="shared" si="2"/>
        <v>7.9567791502621388E-2</v>
      </c>
      <c r="G66">
        <f t="shared" si="3"/>
        <v>0.11023324258472603</v>
      </c>
      <c r="H66">
        <f t="shared" si="4"/>
        <v>-3.0313594074152741</v>
      </c>
      <c r="J66">
        <f t="shared" si="5"/>
        <v>15</v>
      </c>
      <c r="M66">
        <f t="shared" si="6"/>
        <v>0.1139425424353926</v>
      </c>
      <c r="N66">
        <f t="shared" si="7"/>
        <v>-1.5707963250000001</v>
      </c>
      <c r="O66">
        <f t="shared" si="8"/>
        <v>2.8286363616445711</v>
      </c>
      <c r="P66">
        <f t="shared" si="9"/>
        <v>1.2094571611288683</v>
      </c>
      <c r="Q66">
        <f t="shared" si="10"/>
        <v>4.2335269558095394</v>
      </c>
      <c r="R66">
        <f t="shared" si="11"/>
        <v>1.332333049958728</v>
      </c>
      <c r="S66">
        <f t="shared" si="12"/>
        <v>0.99130984424040403</v>
      </c>
      <c r="T66">
        <f t="shared" si="13"/>
        <v>-0.13193006842065877</v>
      </c>
      <c r="U66">
        <f t="shared" si="14"/>
        <v>0.996668300070919</v>
      </c>
      <c r="V66">
        <f t="shared" si="15"/>
        <v>-8.1652331404780037E-2</v>
      </c>
      <c r="X66">
        <f t="shared" si="34"/>
        <v>4.2068912657155959</v>
      </c>
      <c r="Y66">
        <f t="shared" si="16"/>
        <v>-122.72858274348278</v>
      </c>
      <c r="Z66">
        <f t="shared" si="35"/>
        <v>57.271417256517225</v>
      </c>
      <c r="AC66">
        <v>1</v>
      </c>
      <c r="AD66">
        <f t="shared" si="17"/>
        <v>2.645974993536</v>
      </c>
      <c r="AE66">
        <f t="shared" si="18"/>
        <v>-3.9900362840527169E-5</v>
      </c>
      <c r="AF66">
        <f t="shared" si="19"/>
        <v>4.8757517927999994E-4</v>
      </c>
      <c r="AG66">
        <f t="shared" si="36"/>
        <v>5223.9806111640901</v>
      </c>
      <c r="AH66">
        <f t="shared" si="37"/>
        <v>-2478.4664462244</v>
      </c>
      <c r="AJ66">
        <f t="shared" si="20"/>
        <v>18000</v>
      </c>
      <c r="AK66">
        <f t="shared" si="21"/>
        <v>2388.6157236480003</v>
      </c>
      <c r="AL66">
        <v>1</v>
      </c>
      <c r="AM66">
        <f t="shared" si="22"/>
        <v>4.113727079615999</v>
      </c>
      <c r="AN66">
        <f t="shared" si="38"/>
        <v>1552.5581973356716</v>
      </c>
      <c r="AO66">
        <f t="shared" si="39"/>
        <v>-3998.1849754115519</v>
      </c>
      <c r="AQ66">
        <f t="shared" si="23"/>
        <v>9.7560975609756095</v>
      </c>
      <c r="AR66">
        <f t="shared" si="24"/>
        <v>-312.19512195121951</v>
      </c>
      <c r="AT66">
        <f t="shared" si="52"/>
        <v>-722799.46993187035</v>
      </c>
      <c r="AU66">
        <f t="shared" si="53"/>
        <v>-1655081.4244241491</v>
      </c>
      <c r="AV66">
        <f t="shared" si="42"/>
        <v>-1.9825479904354366</v>
      </c>
      <c r="AW66">
        <f t="shared" si="25"/>
        <v>-1226827.5495676715</v>
      </c>
      <c r="AX66">
        <f t="shared" si="26"/>
        <v>-537570.39777979301</v>
      </c>
      <c r="AY66">
        <f t="shared" si="50"/>
        <v>-2.7286122144325411</v>
      </c>
      <c r="BA66">
        <f t="shared" si="27"/>
        <v>1.3483492585765235</v>
      </c>
      <c r="BB66">
        <f t="shared" si="43"/>
        <v>2.5960480135129451</v>
      </c>
      <c r="BC66">
        <f t="shared" si="44"/>
        <v>0.74606422399710448</v>
      </c>
      <c r="BD66">
        <f t="shared" si="28"/>
        <v>-137.25366867041822</v>
      </c>
      <c r="BF66">
        <f t="shared" si="29"/>
        <v>4.2084308925845528</v>
      </c>
      <c r="BG66">
        <f t="shared" si="30"/>
        <v>-123.37873298104128</v>
      </c>
      <c r="BH66">
        <f t="shared" si="45"/>
        <v>56.621267018958719</v>
      </c>
      <c r="BI66">
        <f t="shared" si="46"/>
        <v>56.621267018958719</v>
      </c>
      <c r="BJ66">
        <f t="shared" si="31"/>
        <v>0</v>
      </c>
      <c r="BK66">
        <f t="shared" si="47"/>
        <v>0</v>
      </c>
      <c r="BM66">
        <f t="shared" si="48"/>
        <v>1.6123828790716068</v>
      </c>
      <c r="BN66">
        <f t="shared" si="32"/>
        <v>-166.12506431062306</v>
      </c>
      <c r="BQ66" s="56">
        <f t="shared" si="49"/>
        <v>19.498008813798084</v>
      </c>
      <c r="BR66" s="59"/>
      <c r="BS66" s="59"/>
      <c r="BT66" s="59">
        <v>363.07799999999997</v>
      </c>
      <c r="BU66" s="59">
        <v>23.6126</v>
      </c>
      <c r="BV66" s="59">
        <v>-265.39159999999998</v>
      </c>
      <c r="BW66" s="61"/>
      <c r="BY66" s="59"/>
      <c r="BZ66" s="59"/>
      <c r="CA66" s="59"/>
      <c r="CC66" s="59"/>
    </row>
    <row r="67" spans="1:81" x14ac:dyDescent="0.25">
      <c r="A67">
        <f t="shared" si="54"/>
        <v>16500</v>
      </c>
      <c r="B67">
        <f t="shared" si="33"/>
        <v>16.5</v>
      </c>
      <c r="C67">
        <f t="shared" si="0"/>
        <v>1.0093202235914589</v>
      </c>
      <c r="D67">
        <f t="shared" si="1"/>
        <v>0.13600298437008654</v>
      </c>
      <c r="F67">
        <f t="shared" si="2"/>
        <v>7.4491639417716943E-2</v>
      </c>
      <c r="G67">
        <f t="shared" si="3"/>
        <v>0.10641106487625912</v>
      </c>
      <c r="H67">
        <f t="shared" si="4"/>
        <v>-3.0351815851237411</v>
      </c>
      <c r="J67">
        <f t="shared" si="5"/>
        <v>15</v>
      </c>
      <c r="M67">
        <f t="shared" si="6"/>
        <v>0.11048973811916858</v>
      </c>
      <c r="N67">
        <f t="shared" si="7"/>
        <v>-1.5707963250000001</v>
      </c>
      <c r="O67">
        <f t="shared" si="8"/>
        <v>2.9061305440384451</v>
      </c>
      <c r="P67">
        <f t="shared" si="9"/>
        <v>1.2195160692682179</v>
      </c>
      <c r="Q67">
        <f t="shared" si="10"/>
        <v>4.3585489000853155</v>
      </c>
      <c r="R67">
        <f t="shared" si="11"/>
        <v>1.3393000330800662</v>
      </c>
      <c r="S67">
        <f t="shared" si="12"/>
        <v>0.99076584083662289</v>
      </c>
      <c r="T67">
        <f t="shared" si="13"/>
        <v>-0.13600298437008651</v>
      </c>
      <c r="U67">
        <f t="shared" si="14"/>
        <v>0.99645793756372536</v>
      </c>
      <c r="V67">
        <f t="shared" si="15"/>
        <v>-8.419210708844746E-2</v>
      </c>
      <c r="X67">
        <f t="shared" si="34"/>
        <v>3.8527349700360292</v>
      </c>
      <c r="Y67">
        <f t="shared" si="16"/>
        <v>-122.11758410992678</v>
      </c>
      <c r="Z67">
        <f t="shared" si="35"/>
        <v>57.882415890073219</v>
      </c>
      <c r="AC67">
        <v>1</v>
      </c>
      <c r="AD67">
        <f t="shared" si="17"/>
        <v>2.728661712084</v>
      </c>
      <c r="AE67">
        <f t="shared" si="18"/>
        <v>-4.2433100716146582E-5</v>
      </c>
      <c r="AF67">
        <f t="shared" si="19"/>
        <v>5.0281190363250002E-4</v>
      </c>
      <c r="AG67">
        <f t="shared" si="36"/>
        <v>5221.7756374820119</v>
      </c>
      <c r="AH67">
        <f t="shared" si="37"/>
        <v>-2429.4892836014319</v>
      </c>
      <c r="AJ67">
        <f t="shared" si="20"/>
        <v>18000</v>
      </c>
      <c r="AK67">
        <f t="shared" si="21"/>
        <v>2463.2599650120001</v>
      </c>
      <c r="AL67">
        <v>1</v>
      </c>
      <c r="AM67">
        <f t="shared" si="22"/>
        <v>4.2422810508539994</v>
      </c>
      <c r="AN67">
        <f t="shared" si="38"/>
        <v>1497.6005778654378</v>
      </c>
      <c r="AO67">
        <f t="shared" si="39"/>
        <v>-3889.982588214546</v>
      </c>
      <c r="AQ67">
        <f t="shared" si="23"/>
        <v>9.1743119266055047</v>
      </c>
      <c r="AR67">
        <f t="shared" si="24"/>
        <v>-302.75229357798167</v>
      </c>
      <c r="AT67">
        <f t="shared" si="52"/>
        <v>-687627.25432445179</v>
      </c>
      <c r="AU67">
        <f t="shared" si="53"/>
        <v>-1603193.4433074114</v>
      </c>
      <c r="AV67">
        <f t="shared" si="42"/>
        <v>-1.9759749314912476</v>
      </c>
      <c r="AW67">
        <f t="shared" si="25"/>
        <v>-1157729.2159075602</v>
      </c>
      <c r="AX67">
        <f t="shared" si="26"/>
        <v>-502561.43629019859</v>
      </c>
      <c r="AY67">
        <f t="shared" si="50"/>
        <v>-2.7320459498921674</v>
      </c>
      <c r="BA67">
        <f t="shared" si="27"/>
        <v>1.3821664965145659</v>
      </c>
      <c r="BB67">
        <f t="shared" si="43"/>
        <v>2.8112072306940679</v>
      </c>
      <c r="BC67">
        <f t="shared" si="44"/>
        <v>0.75607101840091984</v>
      </c>
      <c r="BD67">
        <f t="shared" si="28"/>
        <v>-136.68032158396935</v>
      </c>
      <c r="BF67">
        <f t="shared" si="29"/>
        <v>3.8557625637421289</v>
      </c>
      <c r="BG67">
        <f t="shared" si="30"/>
        <v>-122.79101965160639</v>
      </c>
      <c r="BH67">
        <f t="shared" si="45"/>
        <v>57.208980348393609</v>
      </c>
      <c r="BI67">
        <f t="shared" si="46"/>
        <v>57.208980348393609</v>
      </c>
      <c r="BJ67">
        <f t="shared" si="31"/>
        <v>0</v>
      </c>
      <c r="BK67">
        <f t="shared" si="47"/>
        <v>0</v>
      </c>
      <c r="BM67">
        <f t="shared" si="48"/>
        <v>1.0445553330480615</v>
      </c>
      <c r="BN67">
        <f t="shared" si="32"/>
        <v>-166.11069806763706</v>
      </c>
      <c r="BQ67" s="56">
        <f t="shared" si="49"/>
        <v>19.713168030979205</v>
      </c>
      <c r="BR67" s="59"/>
      <c r="BS67" s="59"/>
      <c r="BT67" s="59">
        <v>371.53500000000003</v>
      </c>
      <c r="BU67" s="59">
        <v>23.315999999999999</v>
      </c>
      <c r="BV67" s="59">
        <v>-265.2439</v>
      </c>
      <c r="BW67" s="61"/>
      <c r="BY67" s="59"/>
      <c r="BZ67" s="59"/>
      <c r="CA67" s="59"/>
      <c r="CC67" s="59"/>
    </row>
    <row r="68" spans="1:81" x14ac:dyDescent="0.25">
      <c r="A68">
        <f t="shared" si="54"/>
        <v>17000</v>
      </c>
      <c r="B68">
        <f t="shared" si="33"/>
        <v>17</v>
      </c>
      <c r="C68">
        <f t="shared" si="0"/>
        <v>1.0098908353191183</v>
      </c>
      <c r="D68">
        <f t="shared" si="1"/>
        <v>0.14007136516191915</v>
      </c>
      <c r="F68">
        <f t="shared" si="2"/>
        <v>6.9895139421383742E-2</v>
      </c>
      <c r="G68">
        <f t="shared" si="3"/>
        <v>0.10285782769486297</v>
      </c>
      <c r="H68">
        <f t="shared" si="4"/>
        <v>-3.0387348223051371</v>
      </c>
      <c r="J68">
        <f t="shared" si="5"/>
        <v>15</v>
      </c>
      <c r="M68">
        <f t="shared" si="6"/>
        <v>0.10724003993919304</v>
      </c>
      <c r="N68">
        <f t="shared" si="7"/>
        <v>-1.5707963250000001</v>
      </c>
      <c r="O68">
        <f t="shared" si="8"/>
        <v>2.9839034834285458</v>
      </c>
      <c r="P68">
        <f t="shared" si="9"/>
        <v>1.2290515468203829</v>
      </c>
      <c r="Q68">
        <f t="shared" si="10"/>
        <v>4.4837705996567188</v>
      </c>
      <c r="R68">
        <f t="shared" si="11"/>
        <v>1.3458781762517953</v>
      </c>
      <c r="S68">
        <f t="shared" si="12"/>
        <v>0.990206035174096</v>
      </c>
      <c r="T68">
        <f t="shared" si="13"/>
        <v>-0.14007136516191912</v>
      </c>
      <c r="U68">
        <f t="shared" si="14"/>
        <v>0.99624124171539907</v>
      </c>
      <c r="V68">
        <f t="shared" si="15"/>
        <v>-8.6730794511599901E-2</v>
      </c>
      <c r="X68">
        <f t="shared" si="34"/>
        <v>3.5137574885930922</v>
      </c>
      <c r="Y68">
        <f t="shared" si="16"/>
        <v>-121.54338321806954</v>
      </c>
      <c r="Z68">
        <f t="shared" si="35"/>
        <v>58.456616781930464</v>
      </c>
      <c r="AC68">
        <v>1</v>
      </c>
      <c r="AD68">
        <f t="shared" si="17"/>
        <v>2.811348430632</v>
      </c>
      <c r="AE68">
        <f t="shared" si="18"/>
        <v>-4.5043768987938887E-5</v>
      </c>
      <c r="AF68">
        <f t="shared" si="19"/>
        <v>5.1804862798500006E-4</v>
      </c>
      <c r="AG68">
        <f t="shared" si="36"/>
        <v>5219.5047657805835</v>
      </c>
      <c r="AH68">
        <f t="shared" si="37"/>
        <v>-2384.1510240174375</v>
      </c>
      <c r="AJ68">
        <f t="shared" si="20"/>
        <v>18000</v>
      </c>
      <c r="AK68">
        <f t="shared" si="21"/>
        <v>2537.9042063760003</v>
      </c>
      <c r="AL68">
        <v>1</v>
      </c>
      <c r="AM68">
        <f t="shared" si="22"/>
        <v>4.3708350220919998</v>
      </c>
      <c r="AN68">
        <f t="shared" si="38"/>
        <v>1447.0987325251258</v>
      </c>
      <c r="AO68">
        <f t="shared" si="39"/>
        <v>-3787.1256141697631</v>
      </c>
      <c r="AQ68">
        <f t="shared" si="23"/>
        <v>8.6430423509075194</v>
      </c>
      <c r="AR68">
        <f t="shared" si="24"/>
        <v>-293.86343993085563</v>
      </c>
      <c r="AT68">
        <f t="shared" si="52"/>
        <v>-655502.42049103102</v>
      </c>
      <c r="AU68">
        <f t="shared" si="53"/>
        <v>-1554427.9434793193</v>
      </c>
      <c r="AV68">
        <f t="shared" si="42"/>
        <v>-1.9698686130770049</v>
      </c>
      <c r="AW68">
        <f t="shared" si="25"/>
        <v>-1094164.5535871452</v>
      </c>
      <c r="AX68">
        <f t="shared" si="26"/>
        <v>-471085.83594005858</v>
      </c>
      <c r="AY68">
        <f t="shared" si="50"/>
        <v>-2.7350356892667529</v>
      </c>
      <c r="BA68">
        <f t="shared" si="27"/>
        <v>1.4161290639479382</v>
      </c>
      <c r="BB68">
        <f t="shared" si="43"/>
        <v>3.0220567225282045</v>
      </c>
      <c r="BC68">
        <f t="shared" si="44"/>
        <v>0.765167076189748</v>
      </c>
      <c r="BD68">
        <f t="shared" si="28"/>
        <v>-136.15915586186688</v>
      </c>
      <c r="BF68">
        <f t="shared" si="29"/>
        <v>3.5183100346024117</v>
      </c>
      <c r="BG68">
        <f t="shared" si="30"/>
        <v>-122.24033837474903</v>
      </c>
      <c r="BH68">
        <f t="shared" si="45"/>
        <v>57.75966162525097</v>
      </c>
      <c r="BI68">
        <f t="shared" si="46"/>
        <v>57.75966162525097</v>
      </c>
      <c r="BJ68">
        <f t="shared" si="31"/>
        <v>0</v>
      </c>
      <c r="BK68">
        <f t="shared" si="47"/>
        <v>0</v>
      </c>
      <c r="BM68">
        <f t="shared" si="48"/>
        <v>0.49625331207420686</v>
      </c>
      <c r="BN68">
        <f t="shared" si="32"/>
        <v>-166.08118251288218</v>
      </c>
      <c r="BQ68" s="56">
        <f t="shared" si="49"/>
        <v>19.924017522813344</v>
      </c>
      <c r="BR68" s="59"/>
      <c r="BS68" s="59"/>
      <c r="BT68" s="59">
        <v>380.18900000000002</v>
      </c>
      <c r="BU68" s="59">
        <v>23.2133</v>
      </c>
      <c r="BV68" s="59">
        <v>-265.49869999999999</v>
      </c>
      <c r="BW68" s="61"/>
      <c r="BY68" s="59"/>
      <c r="BZ68" s="59"/>
      <c r="CA68" s="59"/>
      <c r="CC68" s="59"/>
    </row>
    <row r="69" spans="1:81" x14ac:dyDescent="0.25">
      <c r="A69">
        <f t="shared" si="54"/>
        <v>17500</v>
      </c>
      <c r="B69">
        <f t="shared" si="33"/>
        <v>17.5</v>
      </c>
      <c r="C69">
        <f t="shared" si="0"/>
        <v>1.0104781434398857</v>
      </c>
      <c r="D69">
        <f t="shared" si="1"/>
        <v>0.14413508391841051</v>
      </c>
      <c r="F69">
        <f t="shared" si="2"/>
        <v>6.5718744212089827E-2</v>
      </c>
      <c r="G69">
        <f t="shared" si="3"/>
        <v>9.9545169610303727E-2</v>
      </c>
      <c r="H69">
        <f t="shared" si="4"/>
        <v>-3.0420474803896966</v>
      </c>
      <c r="J69">
        <f t="shared" si="5"/>
        <v>15</v>
      </c>
      <c r="M69">
        <f t="shared" si="6"/>
        <v>0.10417603879807323</v>
      </c>
      <c r="N69">
        <f t="shared" si="7"/>
        <v>-1.5707963250000001</v>
      </c>
      <c r="O69">
        <f t="shared" si="8"/>
        <v>3.0619339386553239</v>
      </c>
      <c r="P69">
        <f t="shared" si="9"/>
        <v>1.2381018076916686</v>
      </c>
      <c r="Q69">
        <f t="shared" si="10"/>
        <v>4.6091757737473138</v>
      </c>
      <c r="R69">
        <f t="shared" si="11"/>
        <v>1.3520986239450488</v>
      </c>
      <c r="S69">
        <f t="shared" si="12"/>
        <v>0.9896305095682566</v>
      </c>
      <c r="T69">
        <f t="shared" si="13"/>
        <v>-0.14413508391841046</v>
      </c>
      <c r="U69">
        <f t="shared" si="14"/>
        <v>0.99601822503354809</v>
      </c>
      <c r="V69">
        <f t="shared" si="15"/>
        <v>-8.9268361671643731E-2</v>
      </c>
      <c r="X69">
        <f t="shared" si="34"/>
        <v>3.1886945431852616</v>
      </c>
      <c r="Y69">
        <f t="shared" si="16"/>
        <v>-121.00362928224708</v>
      </c>
      <c r="Z69">
        <f t="shared" si="35"/>
        <v>58.996370717752924</v>
      </c>
      <c r="AC69">
        <v>1</v>
      </c>
      <c r="AD69">
        <f t="shared" si="17"/>
        <v>2.89403514918</v>
      </c>
      <c r="AE69">
        <f t="shared" si="18"/>
        <v>-4.773236765590409E-5</v>
      </c>
      <c r="AF69">
        <f t="shared" si="19"/>
        <v>5.3328535233749998E-4</v>
      </c>
      <c r="AG69">
        <f t="shared" si="36"/>
        <v>5217.1681703948225</v>
      </c>
      <c r="AH69">
        <f t="shared" si="37"/>
        <v>-2342.1378137562174</v>
      </c>
      <c r="AJ69">
        <f t="shared" si="20"/>
        <v>18000</v>
      </c>
      <c r="AK69">
        <f t="shared" si="21"/>
        <v>2612.54844774</v>
      </c>
      <c r="AL69">
        <v>1</v>
      </c>
      <c r="AM69">
        <f t="shared" si="22"/>
        <v>4.4993889933299993</v>
      </c>
      <c r="AN69">
        <f t="shared" si="38"/>
        <v>1400.5916774180082</v>
      </c>
      <c r="AO69">
        <f t="shared" si="39"/>
        <v>-3689.2583297841875</v>
      </c>
      <c r="AQ69">
        <f t="shared" si="23"/>
        <v>8.1566068515497552</v>
      </c>
      <c r="AR69">
        <f t="shared" si="24"/>
        <v>-285.48123980424145</v>
      </c>
      <c r="AT69">
        <f t="shared" si="52"/>
        <v>-626082.01721919084</v>
      </c>
      <c r="AU69">
        <f t="shared" si="53"/>
        <v>-1508507.5348904978</v>
      </c>
      <c r="AV69">
        <f t="shared" si="42"/>
        <v>-1.9641955497310082</v>
      </c>
      <c r="AW69">
        <f t="shared" si="25"/>
        <v>-1035570.4428981118</v>
      </c>
      <c r="AX69">
        <f t="shared" si="26"/>
        <v>-442692.94370588864</v>
      </c>
      <c r="AY69">
        <f t="shared" si="50"/>
        <v>-2.7376173479656094</v>
      </c>
      <c r="BA69">
        <f t="shared" si="27"/>
        <v>1.4502169391650637</v>
      </c>
      <c r="BB69">
        <f t="shared" si="43"/>
        <v>3.2286594713899537</v>
      </c>
      <c r="BC69">
        <f t="shared" si="44"/>
        <v>0.77342179823460122</v>
      </c>
      <c r="BD69">
        <f t="shared" si="28"/>
        <v>-135.68619512710274</v>
      </c>
      <c r="BF69">
        <f t="shared" si="29"/>
        <v>3.1948082588290134</v>
      </c>
      <c r="BG69">
        <f t="shared" si="30"/>
        <v>-121.7243450332758</v>
      </c>
      <c r="BH69">
        <f t="shared" si="45"/>
        <v>58.275654966724204</v>
      </c>
      <c r="BI69">
        <f t="shared" si="46"/>
        <v>58.275654966724204</v>
      </c>
      <c r="BJ69">
        <f t="shared" si="31"/>
        <v>0</v>
      </c>
      <c r="BK69">
        <f t="shared" si="47"/>
        <v>0</v>
      </c>
      <c r="BM69">
        <f t="shared" si="48"/>
        <v>-3.3851212560940772E-2</v>
      </c>
      <c r="BN69">
        <f t="shared" si="32"/>
        <v>-166.03814990617306</v>
      </c>
      <c r="BQ69" s="56">
        <f t="shared" si="49"/>
        <v>20.130620271675092</v>
      </c>
      <c r="BR69" s="59"/>
      <c r="BS69" s="59"/>
      <c r="BT69" s="59">
        <v>389.04500000000002</v>
      </c>
      <c r="BU69" s="59">
        <v>22.955200000000001</v>
      </c>
      <c r="BV69" s="59">
        <v>-266.06720000000001</v>
      </c>
      <c r="BW69" s="61"/>
      <c r="BY69" s="59"/>
      <c r="BZ69" s="59"/>
      <c r="CA69" s="59"/>
      <c r="CC69" s="59"/>
    </row>
    <row r="70" spans="1:81" x14ac:dyDescent="0.25">
      <c r="A70">
        <f t="shared" si="54"/>
        <v>18000</v>
      </c>
      <c r="B70">
        <f t="shared" si="33"/>
        <v>18</v>
      </c>
      <c r="C70">
        <f t="shared" si="0"/>
        <v>1.0110821188584183</v>
      </c>
      <c r="D70">
        <f t="shared" si="1"/>
        <v>0.1481940146682961</v>
      </c>
      <c r="F70">
        <f t="shared" si="2"/>
        <v>6.1911994414366907E-2</v>
      </c>
      <c r="G70">
        <f t="shared" si="3"/>
        <v>9.6448666833040694E-2</v>
      </c>
      <c r="H70">
        <f t="shared" si="4"/>
        <v>-3.0451439831669593</v>
      </c>
      <c r="J70">
        <f t="shared" si="5"/>
        <v>15</v>
      </c>
      <c r="M70">
        <f t="shared" si="6"/>
        <v>0.1012822599425712</v>
      </c>
      <c r="N70">
        <f t="shared" si="7"/>
        <v>-1.5707963250000001</v>
      </c>
      <c r="O70">
        <f t="shared" si="8"/>
        <v>3.1402027128531165</v>
      </c>
      <c r="P70">
        <f t="shared" si="9"/>
        <v>1.2467015929995375</v>
      </c>
      <c r="Q70">
        <f t="shared" si="10"/>
        <v>4.7347498437926419</v>
      </c>
      <c r="R70">
        <f t="shared" si="11"/>
        <v>1.3579893347196492</v>
      </c>
      <c r="S70">
        <f t="shared" si="12"/>
        <v>0.98903934838553886</v>
      </c>
      <c r="T70">
        <f t="shared" si="13"/>
        <v>-0.14819401466829607</v>
      </c>
      <c r="U70">
        <f t="shared" si="14"/>
        <v>0.99578890037542711</v>
      </c>
      <c r="V70">
        <f t="shared" si="15"/>
        <v>-9.1804776651930833E-2</v>
      </c>
      <c r="X70">
        <f t="shared" si="34"/>
        <v>2.8764288154799376</v>
      </c>
      <c r="Y70">
        <f t="shared" si="16"/>
        <v>-120.49612742694273</v>
      </c>
      <c r="Z70">
        <f t="shared" si="35"/>
        <v>59.503872573057265</v>
      </c>
      <c r="AC70">
        <v>1</v>
      </c>
      <c r="AD70">
        <f t="shared" si="17"/>
        <v>2.9767218677280001</v>
      </c>
      <c r="AE70">
        <f t="shared" si="18"/>
        <v>-5.0498896720042211E-5</v>
      </c>
      <c r="AF70">
        <f t="shared" si="19"/>
        <v>5.4852207669000002E-4</v>
      </c>
      <c r="AG70">
        <f t="shared" si="36"/>
        <v>5214.7660304667907</v>
      </c>
      <c r="AH70">
        <f t="shared" si="37"/>
        <v>-2303.1706195222291</v>
      </c>
      <c r="AJ70">
        <f t="shared" si="20"/>
        <v>18000</v>
      </c>
      <c r="AK70">
        <f t="shared" si="21"/>
        <v>2687.1926891040002</v>
      </c>
      <c r="AL70">
        <v>1</v>
      </c>
      <c r="AM70">
        <f t="shared" si="22"/>
        <v>4.6279429645679997</v>
      </c>
      <c r="AN70">
        <f t="shared" si="38"/>
        <v>1357.6755237829429</v>
      </c>
      <c r="AO70">
        <f t="shared" si="39"/>
        <v>-3596.0521993534448</v>
      </c>
      <c r="AQ70">
        <f t="shared" si="23"/>
        <v>7.7101002313030067</v>
      </c>
      <c r="AR70">
        <f t="shared" si="24"/>
        <v>-277.56360832690825</v>
      </c>
      <c r="AT70">
        <f t="shared" si="52"/>
        <v>-599069.97896941763</v>
      </c>
      <c r="AU70">
        <f t="shared" si="53"/>
        <v>-1465186.9523232591</v>
      </c>
      <c r="AV70">
        <f t="shared" si="42"/>
        <v>-1.9589252006487654</v>
      </c>
      <c r="AW70">
        <f t="shared" si="25"/>
        <v>-981452.00678462838</v>
      </c>
      <c r="AX70">
        <f t="shared" si="26"/>
        <v>-416999.93356522371</v>
      </c>
      <c r="AY70">
        <f t="shared" si="50"/>
        <v>-2.7398231295167745</v>
      </c>
      <c r="BA70">
        <f t="shared" si="27"/>
        <v>1.4844120568501395</v>
      </c>
      <c r="BB70">
        <f t="shared" si="43"/>
        <v>3.4310894632818725</v>
      </c>
      <c r="BC70">
        <f t="shared" si="44"/>
        <v>0.78089792886800913</v>
      </c>
      <c r="BD70">
        <f t="shared" si="28"/>
        <v>-135.25784439423055</v>
      </c>
      <c r="BF70">
        <f t="shared" si="29"/>
        <v>2.8841391316454956</v>
      </c>
      <c r="BG70">
        <f t="shared" si="30"/>
        <v>-121.24085123942396</v>
      </c>
      <c r="BH70">
        <f t="shared" si="45"/>
        <v>58.759148760576039</v>
      </c>
      <c r="BI70">
        <f t="shared" si="46"/>
        <v>58.759148760576039</v>
      </c>
      <c r="BJ70">
        <f t="shared" si="31"/>
        <v>0</v>
      </c>
      <c r="BK70">
        <f t="shared" si="47"/>
        <v>0</v>
      </c>
      <c r="BM70">
        <f t="shared" si="48"/>
        <v>-0.54695033163637785</v>
      </c>
      <c r="BN70">
        <f t="shared" si="32"/>
        <v>-165.98300684519342</v>
      </c>
      <c r="BQ70" s="56">
        <f t="shared" si="49"/>
        <v>20.333050263567007</v>
      </c>
      <c r="BR70" s="59"/>
      <c r="BS70" s="59"/>
      <c r="BT70" s="59">
        <v>398.10700000000003</v>
      </c>
      <c r="BU70" s="59">
        <v>22.738499999999998</v>
      </c>
      <c r="BV70" s="59">
        <v>-265.2319</v>
      </c>
      <c r="BW70" s="61"/>
      <c r="BY70" s="59"/>
      <c r="BZ70" s="59"/>
      <c r="CA70" s="59"/>
      <c r="CC70" s="59"/>
    </row>
    <row r="71" spans="1:81" x14ac:dyDescent="0.25">
      <c r="A71">
        <f t="shared" si="54"/>
        <v>18500</v>
      </c>
      <c r="B71">
        <f t="shared" si="33"/>
        <v>18.5</v>
      </c>
      <c r="C71">
        <f t="shared" si="0"/>
        <v>1.0117027317241349</v>
      </c>
      <c r="D71">
        <f t="shared" si="1"/>
        <v>0.15224803236800008</v>
      </c>
      <c r="F71">
        <f t="shared" si="2"/>
        <v>5.8431884555782285E-2</v>
      </c>
      <c r="G71">
        <f t="shared" si="3"/>
        <v>9.3547163759211502E-2</v>
      </c>
      <c r="H71">
        <f t="shared" si="4"/>
        <v>-3.0480454862407886</v>
      </c>
      <c r="J71">
        <f t="shared" si="5"/>
        <v>15</v>
      </c>
      <c r="M71">
        <f t="shared" si="6"/>
        <v>9.8544901565744941E-2</v>
      </c>
      <c r="N71">
        <f t="shared" si="7"/>
        <v>-1.5707963250000001</v>
      </c>
      <c r="O71">
        <f t="shared" si="8"/>
        <v>3.2186924204992491</v>
      </c>
      <c r="P71">
        <f t="shared" si="9"/>
        <v>1.2548825373749493</v>
      </c>
      <c r="Q71">
        <f t="shared" si="10"/>
        <v>4.8604797191565225</v>
      </c>
      <c r="R71">
        <f t="shared" si="11"/>
        <v>1.3635754717149913</v>
      </c>
      <c r="S71">
        <f t="shared" si="12"/>
        <v>0.98843263800999015</v>
      </c>
      <c r="T71">
        <f t="shared" si="13"/>
        <v>-0.15224803236800005</v>
      </c>
      <c r="U71">
        <f t="shared" si="14"/>
        <v>0.99555328094590012</v>
      </c>
      <c r="V71">
        <f t="shared" si="15"/>
        <v>-9.4340007624087924E-2</v>
      </c>
      <c r="X71">
        <f t="shared" si="34"/>
        <v>2.5759686635681387</v>
      </c>
      <c r="Y71">
        <f t="shared" si="16"/>
        <v>-120.01883368281007</v>
      </c>
      <c r="Z71">
        <f t="shared" si="35"/>
        <v>59.981166317189931</v>
      </c>
      <c r="AC71">
        <v>1</v>
      </c>
      <c r="AD71">
        <f t="shared" si="17"/>
        <v>3.0594085862760001</v>
      </c>
      <c r="AE71">
        <f t="shared" si="18"/>
        <v>-5.3343356180353224E-5</v>
      </c>
      <c r="AF71">
        <f t="shared" si="19"/>
        <v>5.6375880104250005E-4</v>
      </c>
      <c r="AG71">
        <f t="shared" si="36"/>
        <v>5212.2985299116299</v>
      </c>
      <c r="AH71">
        <f t="shared" si="37"/>
        <v>-2267.0005233373909</v>
      </c>
      <c r="AJ71">
        <f t="shared" si="20"/>
        <v>18000</v>
      </c>
      <c r="AK71">
        <f t="shared" si="21"/>
        <v>2761.836930468</v>
      </c>
      <c r="AL71">
        <v>1</v>
      </c>
      <c r="AM71">
        <f t="shared" si="22"/>
        <v>4.7564969358060001</v>
      </c>
      <c r="AN71">
        <f t="shared" si="38"/>
        <v>1317.9953493038051</v>
      </c>
      <c r="AO71">
        <f t="shared" si="39"/>
        <v>-3507.2039099021076</v>
      </c>
      <c r="AQ71">
        <f t="shared" si="23"/>
        <v>7.2992700729927007</v>
      </c>
      <c r="AR71">
        <f t="shared" si="24"/>
        <v>-270.07299270072991</v>
      </c>
      <c r="AT71">
        <f t="shared" si="52"/>
        <v>-574209.64112096222</v>
      </c>
      <c r="AU71">
        <f t="shared" si="53"/>
        <v>-1424248.5118983041</v>
      </c>
      <c r="AV71">
        <f t="shared" si="42"/>
        <v>-1.954029674651667</v>
      </c>
      <c r="AW71">
        <f t="shared" si="25"/>
        <v>-931373.17097812332</v>
      </c>
      <c r="AX71">
        <f t="shared" si="26"/>
        <v>-393680.18873453914</v>
      </c>
      <c r="AY71">
        <f t="shared" si="50"/>
        <v>-2.7416819871824933</v>
      </c>
      <c r="BA71">
        <f t="shared" si="27"/>
        <v>1.5186980494484852</v>
      </c>
      <c r="BB71">
        <f t="shared" si="43"/>
        <v>3.6294287031441756</v>
      </c>
      <c r="BC71">
        <f t="shared" si="44"/>
        <v>0.78765231253082635</v>
      </c>
      <c r="BD71">
        <f t="shared" si="28"/>
        <v>-134.8708467166968</v>
      </c>
      <c r="BF71">
        <f t="shared" si="29"/>
        <v>2.5853102067771561</v>
      </c>
      <c r="BG71">
        <f t="shared" si="30"/>
        <v>-120.78781933792506</v>
      </c>
      <c r="BH71">
        <f t="shared" si="45"/>
        <v>59.212180662074942</v>
      </c>
      <c r="BI71">
        <f t="shared" si="46"/>
        <v>59.212180662074942</v>
      </c>
      <c r="BJ71">
        <f t="shared" si="31"/>
        <v>0</v>
      </c>
      <c r="BK71">
        <f t="shared" si="47"/>
        <v>0</v>
      </c>
      <c r="BM71">
        <f t="shared" si="48"/>
        <v>-1.0441184963670203</v>
      </c>
      <c r="BN71">
        <f t="shared" si="32"/>
        <v>-165.91697262122824</v>
      </c>
      <c r="BQ71" s="56">
        <f t="shared" si="49"/>
        <v>20.53138950342931</v>
      </c>
      <c r="BR71" s="59"/>
      <c r="BS71" s="59"/>
      <c r="BT71" s="59">
        <v>407.38</v>
      </c>
      <c r="BU71" s="59">
        <v>22.7593</v>
      </c>
      <c r="BV71" s="59">
        <v>-265.7319</v>
      </c>
      <c r="BW71" s="61"/>
      <c r="BY71" s="59"/>
      <c r="BZ71" s="59"/>
      <c r="CA71" s="59"/>
      <c r="CC71" s="59"/>
    </row>
    <row r="72" spans="1:81" x14ac:dyDescent="0.25">
      <c r="A72">
        <f t="shared" si="54"/>
        <v>19000</v>
      </c>
      <c r="B72">
        <f t="shared" si="33"/>
        <v>19</v>
      </c>
      <c r="C72">
        <f t="shared" si="0"/>
        <v>1.0123399514383811</v>
      </c>
      <c r="D72">
        <f t="shared" si="1"/>
        <v>0.15629701292240622</v>
      </c>
      <c r="F72">
        <f t="shared" si="2"/>
        <v>5.5241565080086458E-2</v>
      </c>
      <c r="G72">
        <f t="shared" si="3"/>
        <v>9.0822236680639726E-2</v>
      </c>
      <c r="H72">
        <f t="shared" si="4"/>
        <v>-3.0507704133193605</v>
      </c>
      <c r="J72">
        <f t="shared" si="5"/>
        <v>15</v>
      </c>
      <c r="M72">
        <f t="shared" si="6"/>
        <v>9.5951614682435876E-2</v>
      </c>
      <c r="N72">
        <f t="shared" si="7"/>
        <v>-1.5707963250000001</v>
      </c>
      <c r="O72">
        <f t="shared" si="8"/>
        <v>3.2973872845932166</v>
      </c>
      <c r="P72">
        <f t="shared" si="9"/>
        <v>1.2626734927084515</v>
      </c>
      <c r="Q72">
        <f t="shared" si="10"/>
        <v>4.986353614056207</v>
      </c>
      <c r="R72">
        <f t="shared" si="11"/>
        <v>1.3688797380750539</v>
      </c>
      <c r="S72">
        <f t="shared" si="12"/>
        <v>0.98781046680924933</v>
      </c>
      <c r="T72">
        <f t="shared" si="13"/>
        <v>-0.15629701292240619</v>
      </c>
      <c r="U72">
        <f t="shared" si="14"/>
        <v>0.9953113802953526</v>
      </c>
      <c r="V72">
        <f t="shared" si="15"/>
        <v>-9.6874022850329131E-2</v>
      </c>
      <c r="X72">
        <f t="shared" si="34"/>
        <v>2.2864304671898745</v>
      </c>
      <c r="Y72">
        <f t="shared" si="16"/>
        <v>-119.56984794623617</v>
      </c>
      <c r="Z72">
        <f t="shared" si="35"/>
        <v>60.430152053763834</v>
      </c>
      <c r="AC72">
        <v>1</v>
      </c>
      <c r="AD72">
        <f t="shared" si="17"/>
        <v>3.1420953048240001</v>
      </c>
      <c r="AE72">
        <f t="shared" si="18"/>
        <v>-5.6265746036837149E-5</v>
      </c>
      <c r="AF72">
        <f t="shared" si="19"/>
        <v>5.7899552539499998E-4</v>
      </c>
      <c r="AG72">
        <f t="shared" si="36"/>
        <v>5209.7658573827575</v>
      </c>
      <c r="AH72">
        <f t="shared" si="37"/>
        <v>-2233.4047603574977</v>
      </c>
      <c r="AJ72">
        <f t="shared" si="20"/>
        <v>18000</v>
      </c>
      <c r="AK72">
        <f t="shared" si="21"/>
        <v>2836.4811718320002</v>
      </c>
      <c r="AL72">
        <v>1</v>
      </c>
      <c r="AM72">
        <f t="shared" si="22"/>
        <v>4.8850509070439996</v>
      </c>
      <c r="AN72">
        <f t="shared" si="38"/>
        <v>1281.238362236083</v>
      </c>
      <c r="AO72">
        <f t="shared" si="39"/>
        <v>-3422.4334517489469</v>
      </c>
      <c r="AQ72">
        <f t="shared" si="23"/>
        <v>6.9204152249134951</v>
      </c>
      <c r="AR72">
        <f t="shared" si="24"/>
        <v>-262.97577854671277</v>
      </c>
      <c r="AT72">
        <f t="shared" si="52"/>
        <v>-551277.61270728125</v>
      </c>
      <c r="AU72">
        <f t="shared" si="53"/>
        <v>-1385498.3206982855</v>
      </c>
      <c r="AV72">
        <f t="shared" si="42"/>
        <v>-1.9494834664787484</v>
      </c>
      <c r="AW72">
        <f t="shared" si="25"/>
        <v>-884948.66854156391</v>
      </c>
      <c r="AX72">
        <f t="shared" si="26"/>
        <v>-372453.8964973801</v>
      </c>
      <c r="AY72">
        <f t="shared" si="50"/>
        <v>-2.7432200193012681</v>
      </c>
      <c r="BA72">
        <f t="shared" si="27"/>
        <v>1.5530600286669458</v>
      </c>
      <c r="BB72">
        <f t="shared" si="43"/>
        <v>3.8237648468953784</v>
      </c>
      <c r="BC72">
        <f t="shared" si="44"/>
        <v>0.79373655282251976</v>
      </c>
      <c r="BD72">
        <f t="shared" si="28"/>
        <v>-134.52224542604097</v>
      </c>
      <c r="BF72">
        <f t="shared" si="29"/>
        <v>2.297437042071691</v>
      </c>
      <c r="BG72">
        <f t="shared" si="30"/>
        <v>-120.3633553711676</v>
      </c>
      <c r="BH72">
        <f t="shared" si="45"/>
        <v>59.6366446288324</v>
      </c>
      <c r="BI72">
        <f t="shared" si="46"/>
        <v>59.6366446288324</v>
      </c>
      <c r="BJ72">
        <f t="shared" si="31"/>
        <v>0</v>
      </c>
      <c r="BK72">
        <f t="shared" si="47"/>
        <v>0</v>
      </c>
      <c r="BM72">
        <f t="shared" si="48"/>
        <v>-1.526327804823687</v>
      </c>
      <c r="BN72">
        <f t="shared" si="32"/>
        <v>-165.84110994512662</v>
      </c>
      <c r="BQ72" s="56">
        <f t="shared" si="49"/>
        <v>20.725725647180514</v>
      </c>
      <c r="BR72" s="59"/>
      <c r="BS72" s="59"/>
      <c r="BT72" s="59">
        <v>416.86900000000003</v>
      </c>
      <c r="BU72" s="59">
        <v>22.4206</v>
      </c>
      <c r="BV72" s="59">
        <v>-265.24939999999998</v>
      </c>
      <c r="BW72" s="61"/>
      <c r="BY72" s="59"/>
      <c r="BZ72" s="59"/>
      <c r="CA72" s="59"/>
      <c r="CC72" s="59"/>
    </row>
    <row r="73" spans="1:81" x14ac:dyDescent="0.25">
      <c r="A73">
        <f t="shared" si="54"/>
        <v>19500</v>
      </c>
      <c r="B73">
        <f t="shared" si="33"/>
        <v>19.5</v>
      </c>
      <c r="C73">
        <f t="shared" ref="C73:C136" si="55">SQRT((A73/Fesr)^2+1)</f>
        <v>1.0129937466617396</v>
      </c>
      <c r="D73">
        <f t="shared" ref="D73:D136" si="56">ATAN(A73/Fesr)</f>
        <v>0.16034083320518536</v>
      </c>
      <c r="F73">
        <f t="shared" ref="F73:F136" si="57">(Ro/(Ro+Rdcr))/SQRT((A73/(Q*Fo))^2+(1-(A73^2/Fo^2))^2)</f>
        <v>5.2309303056844107E-2</v>
      </c>
      <c r="G73">
        <f t="shared" ref="G73:G136" si="58">-ATAN(A73*Fo/(Q*(Fo^2-A73^2)))</f>
        <v>8.8257760607240429E-2</v>
      </c>
      <c r="H73">
        <f t="shared" ref="H73:H136" si="59">IF(G73&gt;0,G73-Pi,G73)</f>
        <v>-3.0533348893927599</v>
      </c>
      <c r="J73">
        <f t="shared" ref="J73:J136" si="60">Vin/Vramp</f>
        <v>15</v>
      </c>
      <c r="M73">
        <f t="shared" ref="M73:M136" si="61">1/(2*Pi*_Rfb1*(Cc1ea_u+Cc2ea_u)*A73)</f>
        <v>9.3491316870065733E-2</v>
      </c>
      <c r="N73">
        <f t="shared" ref="N73:N136" si="62">-Pi/2</f>
        <v>-1.5707963250000001</v>
      </c>
      <c r="O73">
        <f t="shared" ref="O73:O136" si="63">SQRT(1+(A73/Fz1_u)^2)</f>
        <v>3.3762729596795356</v>
      </c>
      <c r="P73">
        <f t="shared" ref="P73:P136" si="64">ATAN2(Fz1_u,A73)</f>
        <v>1.2701008145071446</v>
      </c>
      <c r="Q73">
        <f t="shared" ref="Q73:Q136" si="65">SQRT(1+(A73/Fz2_u)^2)</f>
        <v>5.1123608905801117</v>
      </c>
      <c r="R73">
        <f t="shared" ref="R73:R136" si="66">ATAN2(Fz2_u,A73)</f>
        <v>1.3739226659904709</v>
      </c>
      <c r="S73">
        <f t="shared" ref="S73:S136" si="67">1/SQRT(1+(A73/Fp1_u)^2)</f>
        <v>0.98717292509992316</v>
      </c>
      <c r="T73">
        <f t="shared" ref="T73:T136" si="68">-ATAN2(Fp1_u,A73)</f>
        <v>-0.1603408332051853</v>
      </c>
      <c r="U73">
        <f t="shared" ref="U73:U136" si="69">1/SQRT(1+(A73/Fp2_u)^2)</f>
        <v>0.9950632123175509</v>
      </c>
      <c r="V73">
        <f t="shared" ref="V73:V136" si="70">-ATAN2(Fp2_u,A73)</f>
        <v>-9.9406790685751589E-2</v>
      </c>
      <c r="X73">
        <f t="shared" si="34"/>
        <v>2.0070238967557827</v>
      </c>
      <c r="Y73">
        <f t="shared" ref="Y73:Y136" si="71">(180/Pi)*(D73+H73+N73+P73+R73+T73+V73)</f>
        <v>-119.14740583078496</v>
      </c>
      <c r="Z73">
        <f t="shared" si="35"/>
        <v>60.852594169215038</v>
      </c>
      <c r="AC73">
        <v>1</v>
      </c>
      <c r="AD73">
        <f t="shared" ref="AD73:AD136" si="72">Rcea1_u*Cc1ea_u*A73*2*Pi</f>
        <v>3.2247820233720006</v>
      </c>
      <c r="AE73">
        <f t="shared" ref="AE73:AE136" si="73">-Rcea1_u*Cc1ea_u*Cc2ea_u*(A73*2*Pi)^2</f>
        <v>-5.9266066289493986E-5</v>
      </c>
      <c r="AF73">
        <f t="shared" ref="AF73:AF136" si="74">(Cc2ea_u+Cc1ea_u)*A73*2*Pi</f>
        <v>5.9423224974750001E-4</v>
      </c>
      <c r="AG73">
        <f t="shared" si="36"/>
        <v>5207.168206236217</v>
      </c>
      <c r="AH73">
        <f t="shared" si="37"/>
        <v>-2202.1833662635991</v>
      </c>
      <c r="AJ73">
        <f t="shared" ref="AJ73:AJ136" si="75">_Rfb1</f>
        <v>18000</v>
      </c>
      <c r="AK73">
        <f t="shared" ref="AK73:AK136" si="76">_Rfb1*Rcea2_u*Cc3ea_u*A73*2*Pi</f>
        <v>2911.125413196</v>
      </c>
      <c r="AL73">
        <v>1</v>
      </c>
      <c r="AM73">
        <f t="shared" ref="AM73:AM136" si="77">(_Rfb1+Rcea2_u)*Cc3ea_u*A73*2*Pi</f>
        <v>5.013604878282</v>
      </c>
      <c r="AN73">
        <f t="shared" si="38"/>
        <v>1247.1281336139086</v>
      </c>
      <c r="AO73">
        <f t="shared" si="39"/>
        <v>-3341.4822813334176</v>
      </c>
      <c r="AQ73">
        <f t="shared" ref="AQ73:AQ136" si="78">Eadcg/(1+(Eadcg*A73/GBP)^2)</f>
        <v>6.5703022339027592</v>
      </c>
      <c r="AR73">
        <f t="shared" ref="AR73:AR136" si="79">-(A73*Eadcg*Eadcg/GBP)/(1+(Eadcg*A73/GBP)^2)</f>
        <v>-256.2417871222076</v>
      </c>
      <c r="AT73">
        <f t="shared" si="52"/>
        <v>-530078.73244444246</v>
      </c>
      <c r="AU73">
        <f t="shared" si="53"/>
        <v>-1348763.0973027335</v>
      </c>
      <c r="AV73">
        <f t="shared" si="42"/>
        <v>-1.9452632212467225</v>
      </c>
      <c r="AW73">
        <f t="shared" si="25"/>
        <v>-841837.25075871183</v>
      </c>
      <c r="AX73">
        <f t="shared" si="26"/>
        <v>-353080.39476533938</v>
      </c>
      <c r="AY73">
        <f t="shared" si="50"/>
        <v>-2.7444608090469971</v>
      </c>
      <c r="BA73">
        <f t="shared" ref="BA73:BA136" si="80">SQRT(AT73^2+AU73^2)/SQRT(AW73^2+AX73^2)</f>
        <v>1.587484400015073</v>
      </c>
      <c r="BB73">
        <f t="shared" si="43"/>
        <v>4.0141893246892746</v>
      </c>
      <c r="BC73">
        <f t="shared" si="44"/>
        <v>0.79919758780027461</v>
      </c>
      <c r="BD73">
        <f t="shared" ref="BD73:BD136" si="81">BC73*180/Pi-180</f>
        <v>-134.20935116968477</v>
      </c>
      <c r="BF73">
        <f t="shared" ref="BF73:BF136" si="82">20*LOG(BA73*J73*F73*C73)</f>
        <v>2.019728468923975</v>
      </c>
      <c r="BG73">
        <f t="shared" ref="BG73:BG136" si="83">(180/Pi)*(D73+H73+BC73)</f>
        <v>-119.96570093506996</v>
      </c>
      <c r="BH73">
        <f t="shared" si="45"/>
        <v>60.034299064930039</v>
      </c>
      <c r="BI73">
        <f t="shared" si="46"/>
        <v>60.034299064930039</v>
      </c>
      <c r="BJ73">
        <f t="shared" ref="BJ73:BJ136" si="84">SUM((BF74&lt;0)*(BF73&gt;0))*A73</f>
        <v>0</v>
      </c>
      <c r="BK73">
        <f t="shared" si="47"/>
        <v>0</v>
      </c>
      <c r="BM73">
        <f t="shared" si="48"/>
        <v>-1.9944608557653001</v>
      </c>
      <c r="BN73">
        <f t="shared" ref="BN73:BN136" si="85">(H73+D73)*180/Pi</f>
        <v>-165.75634976538521</v>
      </c>
      <c r="BQ73" s="56">
        <f t="shared" si="49"/>
        <v>20.916150124974415</v>
      </c>
      <c r="BR73" s="59"/>
      <c r="BS73" s="59"/>
      <c r="BT73" s="59">
        <v>426.58</v>
      </c>
      <c r="BU73" s="59">
        <v>22.373699999999999</v>
      </c>
      <c r="BV73" s="59">
        <v>-265.14060000000001</v>
      </c>
      <c r="BW73" s="61"/>
      <c r="BY73" s="59"/>
      <c r="BZ73" s="59"/>
      <c r="CA73" s="59"/>
      <c r="CC73" s="59"/>
    </row>
    <row r="74" spans="1:81" x14ac:dyDescent="0.25">
      <c r="A74">
        <f t="shared" si="54"/>
        <v>20000</v>
      </c>
      <c r="B74">
        <f t="shared" ref="B74:B137" si="86">A74/1000</f>
        <v>20</v>
      </c>
      <c r="C74">
        <f t="shared" si="55"/>
        <v>1.0136640853214895</v>
      </c>
      <c r="D74">
        <f t="shared" si="56"/>
        <v>0.16437937107867232</v>
      </c>
      <c r="F74">
        <f t="shared" si="57"/>
        <v>4.9607643840803843E-2</v>
      </c>
      <c r="G74">
        <f t="shared" si="58"/>
        <v>8.5839556677813136E-2</v>
      </c>
      <c r="H74">
        <f t="shared" si="59"/>
        <v>-3.055753093322187</v>
      </c>
      <c r="J74">
        <f t="shared" si="60"/>
        <v>15</v>
      </c>
      <c r="M74">
        <f t="shared" si="61"/>
        <v>9.1154033948314075E-2</v>
      </c>
      <c r="N74">
        <f t="shared" si="62"/>
        <v>-1.5707963250000001</v>
      </c>
      <c r="O74">
        <f t="shared" si="63"/>
        <v>3.4553363770807999</v>
      </c>
      <c r="P74">
        <f t="shared" si="64"/>
        <v>1.2771886154240506</v>
      </c>
      <c r="Q74">
        <f t="shared" si="65"/>
        <v>5.2384919236071026</v>
      </c>
      <c r="R74">
        <f t="shared" si="66"/>
        <v>1.3787228665424807</v>
      </c>
      <c r="S74">
        <f t="shared" si="67"/>
        <v>0.98652010511237964</v>
      </c>
      <c r="T74">
        <f t="shared" si="68"/>
        <v>-0.16437937107867226</v>
      </c>
      <c r="U74">
        <f t="shared" si="69"/>
        <v>0.99480879124745447</v>
      </c>
      <c r="V74">
        <f t="shared" si="70"/>
        <v>-0.1019382795806133</v>
      </c>
      <c r="X74">
        <f t="shared" ref="X74:X137" si="87">20*LOG(C74*J74*O74*Q74*F74*M74*S74*U74)</f>
        <v>1.737039554014022</v>
      </c>
      <c r="Y74">
        <f t="shared" si="71"/>
        <v>-118.74987002803445</v>
      </c>
      <c r="Z74">
        <f t="shared" ref="Z74:Z137" si="88">Y74+180</f>
        <v>61.250129971965549</v>
      </c>
      <c r="AC74">
        <v>1</v>
      </c>
      <c r="AD74">
        <f t="shared" si="72"/>
        <v>3.3074687419200002</v>
      </c>
      <c r="AE74">
        <f t="shared" si="73"/>
        <v>-6.2344316938323715E-5</v>
      </c>
      <c r="AF74">
        <f t="shared" si="74"/>
        <v>6.0946897409999993E-4</v>
      </c>
      <c r="AG74">
        <f t="shared" ref="AG74:AG137" si="89">AC74*AE74/(AE74^2+AF74^2)+AD74*AF74/(AE74^2+AF74^2)</f>
        <v>5204.5057744942515</v>
      </c>
      <c r="AH74">
        <f t="shared" ref="AH74:AH137" si="90">AD74*AE74/(AE74^2+AF74^2)-AC74*AF74/(AE74^2+AF74^2)</f>
        <v>-2173.1563275525982</v>
      </c>
      <c r="AJ74">
        <f t="shared" si="75"/>
        <v>18000</v>
      </c>
      <c r="AK74">
        <f t="shared" si="76"/>
        <v>2985.7696545600002</v>
      </c>
      <c r="AL74">
        <v>1</v>
      </c>
      <c r="AM74">
        <f t="shared" si="77"/>
        <v>5.1421588495199995</v>
      </c>
      <c r="AN74">
        <f t="shared" ref="AN74:AN137" si="91">AJ74*AL74/(AL74^2+AM74^2)+AK74*AM74/(AL74^2+AM74^2)</f>
        <v>1215.419714737207</v>
      </c>
      <c r="AO74">
        <f t="shared" ref="AO74:AO137" si="92">AK74*AL74/(AL74^2+AM74^2)-AJ74*AM74/(AL74^2+AM74^2)</f>
        <v>-3264.1115874570014</v>
      </c>
      <c r="AQ74">
        <f t="shared" si="78"/>
        <v>6.2460961898813245</v>
      </c>
      <c r="AR74">
        <f t="shared" si="79"/>
        <v>-249.84384759525295</v>
      </c>
      <c r="AT74">
        <f t="shared" si="52"/>
        <v>-510441.89461342705</v>
      </c>
      <c r="AU74">
        <f t="shared" si="53"/>
        <v>-1313887.4909888983</v>
      </c>
      <c r="AV74">
        <f t="shared" ref="AV74:AV137" si="93">ATAN2(AT74,AU74)</f>
        <v>-1.9413475241274356</v>
      </c>
      <c r="AW74">
        <f t="shared" ref="AW74:AW137" si="94">AG74-AH74*AO74/_Rfb2+AG74*AN74/_Rfb2+AN74-AO74*AR74+AQ74*AN74</f>
        <v>-801735.90745842329</v>
      </c>
      <c r="AX74">
        <f t="shared" ref="AX74:AX137" si="95">AH74+AH74*AN74/_Rfb2+AG74*AO74/_Rfb2+AO74+AO74*AQ74+AN74*AR74</f>
        <v>-335351.91319837386</v>
      </c>
      <c r="AY74">
        <f t="shared" si="50"/>
        <v>-2.7454257173969157</v>
      </c>
      <c r="BA74">
        <f t="shared" si="80"/>
        <v>1.6219587046954174</v>
      </c>
      <c r="BB74">
        <f t="shared" ref="BB74:BB137" si="96">20*LOG(BA74)</f>
        <v>4.200795856304075</v>
      </c>
      <c r="BC74">
        <f t="shared" ref="BC74:BC137" si="97">AV74-AY74</f>
        <v>0.80407819326948005</v>
      </c>
      <c r="BD74">
        <f t="shared" si="81"/>
        <v>-133.92971307451131</v>
      </c>
      <c r="BF74">
        <f t="shared" si="82"/>
        <v>1.7514742333538944</v>
      </c>
      <c r="BG74">
        <f t="shared" si="83"/>
        <v>-119.59322454339399</v>
      </c>
      <c r="BH74">
        <f t="shared" ref="BH74:BH137" si="98">IF(BG74&gt;180,BG74-180,BG74+180)</f>
        <v>60.406775456606013</v>
      </c>
      <c r="BI74">
        <f t="shared" ref="BI74:BI137" si="99">IF(BH74&gt;180,BH74-360,BH74)</f>
        <v>60.406775456606013</v>
      </c>
      <c r="BJ74">
        <f t="shared" si="84"/>
        <v>0</v>
      </c>
      <c r="BK74">
        <f t="shared" ref="BK74:BK137" si="100">IF(BJ74&gt;0,BI74,0)</f>
        <v>0</v>
      </c>
      <c r="BM74">
        <f t="shared" ref="BM74:BM137" si="101">20*LOG(J74*F74*C74)</f>
        <v>-2.4493216229501797</v>
      </c>
      <c r="BN74">
        <f t="shared" si="85"/>
        <v>-165.66351146888269</v>
      </c>
      <c r="BQ74" s="56">
        <f t="shared" ref="BQ74:BQ137" si="102">20*LOG(BA74*7)</f>
        <v>21.102756656589211</v>
      </c>
      <c r="BR74" s="59"/>
      <c r="BS74" s="59"/>
      <c r="BT74" s="59">
        <v>436.51600000000002</v>
      </c>
      <c r="BU74" s="59">
        <v>22.074100000000001</v>
      </c>
      <c r="BV74" s="59">
        <v>-264.9151</v>
      </c>
      <c r="BW74" s="61"/>
      <c r="BY74" s="59"/>
      <c r="BZ74" s="59"/>
      <c r="CA74" s="59"/>
      <c r="CC74" s="59"/>
    </row>
    <row r="75" spans="1:81" x14ac:dyDescent="0.25">
      <c r="A75">
        <f t="shared" si="54"/>
        <v>20500</v>
      </c>
      <c r="B75">
        <f t="shared" si="86"/>
        <v>20.5</v>
      </c>
      <c r="C75">
        <f t="shared" si="55"/>
        <v>1.0143509346192046</v>
      </c>
      <c r="D75">
        <f t="shared" si="56"/>
        <v>0.16841250541328598</v>
      </c>
      <c r="F75">
        <f t="shared" si="57"/>
        <v>4.7112730134298744E-2</v>
      </c>
      <c r="G75">
        <f t="shared" si="58"/>
        <v>8.3555103103752082E-2</v>
      </c>
      <c r="H75">
        <f t="shared" si="59"/>
        <v>-3.058037546896248</v>
      </c>
      <c r="J75">
        <f t="shared" si="60"/>
        <v>15</v>
      </c>
      <c r="M75">
        <f t="shared" si="61"/>
        <v>8.8930764827623493E-2</v>
      </c>
      <c r="N75">
        <f t="shared" si="62"/>
        <v>-1.5707963250000001</v>
      </c>
      <c r="O75">
        <f t="shared" si="63"/>
        <v>3.534565609256815</v>
      </c>
      <c r="P75">
        <f t="shared" si="64"/>
        <v>1.2839589899707506</v>
      </c>
      <c r="Q75">
        <f t="shared" si="65"/>
        <v>5.3647379841799125</v>
      </c>
      <c r="R75">
        <f t="shared" si="66"/>
        <v>1.38329724631328</v>
      </c>
      <c r="S75">
        <f t="shared" si="67"/>
        <v>0.98585210095498954</v>
      </c>
      <c r="T75">
        <f t="shared" si="68"/>
        <v>-0.16841250541328595</v>
      </c>
      <c r="U75">
        <f t="shared" si="69"/>
        <v>0.99454813165897649</v>
      </c>
      <c r="V75">
        <f t="shared" si="70"/>
        <v>-0.10446845808259322</v>
      </c>
      <c r="X75">
        <f t="shared" si="87"/>
        <v>1.475838548580408</v>
      </c>
      <c r="Y75">
        <f t="shared" si="71"/>
        <v>-118.37572158346687</v>
      </c>
      <c r="Z75">
        <f t="shared" si="88"/>
        <v>61.62427841653313</v>
      </c>
      <c r="AC75">
        <v>1</v>
      </c>
      <c r="AD75">
        <f t="shared" si="72"/>
        <v>3.3901554604679998</v>
      </c>
      <c r="AE75">
        <f t="shared" si="73"/>
        <v>-6.5500497983326348E-5</v>
      </c>
      <c r="AF75">
        <f t="shared" si="74"/>
        <v>6.2470569845249997E-4</v>
      </c>
      <c r="AG75">
        <f t="shared" si="89"/>
        <v>5201.7787648080612</v>
      </c>
      <c r="AH75">
        <f t="shared" si="90"/>
        <v>-2146.1611488661056</v>
      </c>
      <c r="AJ75">
        <f t="shared" si="75"/>
        <v>18000</v>
      </c>
      <c r="AK75">
        <f t="shared" si="76"/>
        <v>3060.4138959239999</v>
      </c>
      <c r="AL75">
        <v>1</v>
      </c>
      <c r="AM75">
        <f t="shared" si="77"/>
        <v>5.2707128207579999</v>
      </c>
      <c r="AN75">
        <f t="shared" si="91"/>
        <v>1185.895490811778</v>
      </c>
      <c r="AO75">
        <f t="shared" si="92"/>
        <v>-3190.1006715767389</v>
      </c>
      <c r="AQ75">
        <f t="shared" si="78"/>
        <v>5.9453032104637336</v>
      </c>
      <c r="AR75">
        <f t="shared" si="79"/>
        <v>-243.75743162901307</v>
      </c>
      <c r="AT75">
        <f t="shared" si="52"/>
        <v>-492216.57751903846</v>
      </c>
      <c r="AU75">
        <f t="shared" si="53"/>
        <v>-1280731.8103804793</v>
      </c>
      <c r="AV75">
        <f t="shared" si="93"/>
        <v>-1.937716712528917</v>
      </c>
      <c r="AW75">
        <f t="shared" si="94"/>
        <v>-764374.93380364368</v>
      </c>
      <c r="AX75">
        <f t="shared" si="95"/>
        <v>-319088.43044363405</v>
      </c>
      <c r="AY75">
        <f t="shared" ref="AY75:AY138" si="103">ATAN2(AW75,AX75)</f>
        <v>-2.7461341365668521</v>
      </c>
      <c r="BA75">
        <f t="shared" si="80"/>
        <v>1.6564714842482779</v>
      </c>
      <c r="BB75">
        <f t="shared" si="96"/>
        <v>4.3836792801794928</v>
      </c>
      <c r="BC75">
        <f t="shared" si="97"/>
        <v>0.80841742403793515</v>
      </c>
      <c r="BD75">
        <f t="shared" si="81"/>
        <v>-133.68109346486142</v>
      </c>
      <c r="BF75">
        <f t="shared" si="82"/>
        <v>1.4920345729548665</v>
      </c>
      <c r="BG75">
        <f t="shared" si="83"/>
        <v>-119.24441290633423</v>
      </c>
      <c r="BH75">
        <f t="shared" si="98"/>
        <v>60.755587093665767</v>
      </c>
      <c r="BI75">
        <f t="shared" si="99"/>
        <v>60.755587093665767</v>
      </c>
      <c r="BJ75">
        <f t="shared" si="84"/>
        <v>0</v>
      </c>
      <c r="BK75">
        <f t="shared" si="100"/>
        <v>0</v>
      </c>
      <c r="BM75">
        <f t="shared" si="101"/>
        <v>-2.8916447072246254</v>
      </c>
      <c r="BN75">
        <f t="shared" si="85"/>
        <v>-165.56331944147283</v>
      </c>
      <c r="BQ75" s="56">
        <f t="shared" si="102"/>
        <v>21.285640080464631</v>
      </c>
      <c r="BR75" s="59"/>
      <c r="BS75" s="59"/>
      <c r="BT75" s="59">
        <v>446.68400000000003</v>
      </c>
      <c r="BU75" s="59">
        <v>21.761099999999999</v>
      </c>
      <c r="BV75" s="59">
        <v>-265.3082</v>
      </c>
      <c r="BW75" s="61"/>
      <c r="BY75" s="59"/>
      <c r="BZ75" s="59"/>
      <c r="CA75" s="59"/>
      <c r="CC75" s="59"/>
    </row>
    <row r="76" spans="1:81" x14ac:dyDescent="0.25">
      <c r="A76">
        <f t="shared" si="54"/>
        <v>21000</v>
      </c>
      <c r="B76">
        <f t="shared" si="86"/>
        <v>21</v>
      </c>
      <c r="C76">
        <f t="shared" si="55"/>
        <v>1.0150542610384896</v>
      </c>
      <c r="D76">
        <f t="shared" si="56"/>
        <v>0.17244011610648602</v>
      </c>
      <c r="F76">
        <f t="shared" si="57"/>
        <v>4.4803745309120228E-2</v>
      </c>
      <c r="G76">
        <f t="shared" si="58"/>
        <v>8.1393296606857971E-2</v>
      </c>
      <c r="H76">
        <f t="shared" si="59"/>
        <v>-3.0601993533931422</v>
      </c>
      <c r="J76">
        <f t="shared" si="60"/>
        <v>15</v>
      </c>
      <c r="M76">
        <f t="shared" si="61"/>
        <v>8.6813365665061024E-2</v>
      </c>
      <c r="N76">
        <f t="shared" si="62"/>
        <v>-1.5707963250000001</v>
      </c>
      <c r="O76">
        <f t="shared" si="63"/>
        <v>3.6139497506679032</v>
      </c>
      <c r="P76">
        <f t="shared" si="64"/>
        <v>1.2904322139300657</v>
      </c>
      <c r="Q76">
        <f t="shared" si="65"/>
        <v>5.4910911384852072</v>
      </c>
      <c r="R76">
        <f t="shared" si="66"/>
        <v>1.3876611957303548</v>
      </c>
      <c r="S76">
        <f t="shared" si="67"/>
        <v>0.98516900857783918</v>
      </c>
      <c r="T76">
        <f t="shared" si="68"/>
        <v>-0.17244011610648599</v>
      </c>
      <c r="U76">
        <f t="shared" si="69"/>
        <v>0.99428124846269861</v>
      </c>
      <c r="V76">
        <f t="shared" si="70"/>
        <v>-0.10699729483903303</v>
      </c>
      <c r="X76">
        <f t="shared" si="87"/>
        <v>1.2228436639623048</v>
      </c>
      <c r="Y76">
        <f t="shared" si="71"/>
        <v>-118.0235513483633</v>
      </c>
      <c r="Z76">
        <f t="shared" si="88"/>
        <v>61.976448651636701</v>
      </c>
      <c r="AC76">
        <v>1</v>
      </c>
      <c r="AD76">
        <f t="shared" si="72"/>
        <v>3.4728421790160002</v>
      </c>
      <c r="AE76">
        <f t="shared" si="73"/>
        <v>-6.8734609424501907E-5</v>
      </c>
      <c r="AF76">
        <f t="shared" si="74"/>
        <v>6.39942422805E-4</v>
      </c>
      <c r="AG76">
        <f t="shared" si="89"/>
        <v>5198.9873844197718</v>
      </c>
      <c r="AH76">
        <f t="shared" si="90"/>
        <v>-2121.0507678510489</v>
      </c>
      <c r="AJ76">
        <f t="shared" si="75"/>
        <v>18000</v>
      </c>
      <c r="AK76">
        <f t="shared" si="76"/>
        <v>3135.0581372880001</v>
      </c>
      <c r="AL76">
        <v>1</v>
      </c>
      <c r="AM76">
        <f t="shared" si="77"/>
        <v>5.3992667919959993</v>
      </c>
      <c r="AN76">
        <f t="shared" si="91"/>
        <v>1158.3616487154254</v>
      </c>
      <c r="AO76">
        <f t="shared" si="92"/>
        <v>-3119.2454457429326</v>
      </c>
      <c r="AQ76">
        <f t="shared" si="78"/>
        <v>5.6657223796033991</v>
      </c>
      <c r="AR76">
        <f t="shared" si="79"/>
        <v>-237.96033994334277</v>
      </c>
      <c r="AT76">
        <f t="shared" si="52"/>
        <v>-475269.94257974095</v>
      </c>
      <c r="AU76">
        <f t="shared" si="53"/>
        <v>-1249170.0901613683</v>
      </c>
      <c r="AV76">
        <f t="shared" si="93"/>
        <v>-1.9343527083136904</v>
      </c>
      <c r="AW76">
        <f t="shared" si="94"/>
        <v>-729513.70850959688</v>
      </c>
      <c r="AX76">
        <f t="shared" si="95"/>
        <v>-304133.42920553521</v>
      </c>
      <c r="AY76">
        <f t="shared" si="103"/>
        <v>-2.7466037099293548</v>
      </c>
      <c r="BA76">
        <f t="shared" si="80"/>
        <v>1.6910121642202331</v>
      </c>
      <c r="BB76">
        <f t="shared" si="96"/>
        <v>4.5629346337374823</v>
      </c>
      <c r="BC76">
        <f t="shared" si="97"/>
        <v>0.81225100161566433</v>
      </c>
      <c r="BD76">
        <f t="shared" si="81"/>
        <v>-133.46144564897057</v>
      </c>
      <c r="BF76">
        <f t="shared" si="82"/>
        <v>1.2408313833432651</v>
      </c>
      <c r="BG76">
        <f t="shared" si="83"/>
        <v>-118.9178623844751</v>
      </c>
      <c r="BH76">
        <f t="shared" si="98"/>
        <v>61.0821376155249</v>
      </c>
      <c r="BI76">
        <f t="shared" si="99"/>
        <v>61.0821376155249</v>
      </c>
      <c r="BJ76">
        <f t="shared" si="84"/>
        <v>0</v>
      </c>
      <c r="BK76">
        <f t="shared" si="100"/>
        <v>0</v>
      </c>
      <c r="BM76">
        <f t="shared" si="101"/>
        <v>-3.3221032503942185</v>
      </c>
      <c r="BN76">
        <f t="shared" si="85"/>
        <v>-165.45641673550452</v>
      </c>
      <c r="BQ76" s="56">
        <f t="shared" si="102"/>
        <v>21.464895434022623</v>
      </c>
      <c r="BR76" s="59"/>
      <c r="BS76" s="59"/>
      <c r="BT76" s="59">
        <v>457.08800000000002</v>
      </c>
      <c r="BU76" s="59">
        <v>21.6126</v>
      </c>
      <c r="BV76" s="59">
        <v>-265.65139999999997</v>
      </c>
      <c r="BW76" s="61"/>
      <c r="BY76" s="59"/>
      <c r="BZ76" s="59"/>
      <c r="CA76" s="59"/>
      <c r="CC76" s="59"/>
    </row>
    <row r="77" spans="1:81" x14ac:dyDescent="0.25">
      <c r="A77">
        <f t="shared" si="54"/>
        <v>21500</v>
      </c>
      <c r="B77">
        <f t="shared" si="86"/>
        <v>21.5</v>
      </c>
      <c r="C77">
        <f t="shared" si="55"/>
        <v>1.01577403035285</v>
      </c>
      <c r="D77">
        <f t="shared" si="56"/>
        <v>0.17646208410126055</v>
      </c>
      <c r="F77">
        <f t="shared" si="57"/>
        <v>4.2662455543038227E-2</v>
      </c>
      <c r="G77">
        <f t="shared" si="58"/>
        <v>7.9344254293531855E-2</v>
      </c>
      <c r="H77">
        <f t="shared" si="59"/>
        <v>-3.0622483957064683</v>
      </c>
      <c r="J77">
        <f t="shared" si="60"/>
        <v>15</v>
      </c>
      <c r="M77">
        <f t="shared" si="61"/>
        <v>8.4794450184478218E-2</v>
      </c>
      <c r="N77">
        <f t="shared" si="62"/>
        <v>-1.5707963250000001</v>
      </c>
      <c r="O77">
        <f t="shared" si="63"/>
        <v>3.6934788129096767</v>
      </c>
      <c r="P77">
        <f t="shared" si="64"/>
        <v>1.2966269215464425</v>
      </c>
      <c r="Q77">
        <f t="shared" si="65"/>
        <v>5.6175441600792881</v>
      </c>
      <c r="R77">
        <f t="shared" si="66"/>
        <v>1.3918287532953613</v>
      </c>
      <c r="S77">
        <f t="shared" si="67"/>
        <v>0.98447092573594297</v>
      </c>
      <c r="T77">
        <f t="shared" si="68"/>
        <v>-0.17646208410126049</v>
      </c>
      <c r="U77">
        <f t="shared" si="69"/>
        <v>0.99400815690353317</v>
      </c>
      <c r="V77">
        <f t="shared" si="70"/>
        <v>-0.10952475859916012</v>
      </c>
      <c r="X77">
        <f t="shared" si="87"/>
        <v>0.97753183594755444</v>
      </c>
      <c r="Y77">
        <f t="shared" si="71"/>
        <v>-117.69205176982075</v>
      </c>
      <c r="Z77">
        <f t="shared" si="88"/>
        <v>62.30794823017925</v>
      </c>
      <c r="AC77">
        <v>1</v>
      </c>
      <c r="AD77">
        <f t="shared" si="72"/>
        <v>3.5555288975639998</v>
      </c>
      <c r="AE77">
        <f t="shared" si="73"/>
        <v>-7.2046651261850351E-5</v>
      </c>
      <c r="AF77">
        <f t="shared" si="74"/>
        <v>6.5517914715749993E-4</v>
      </c>
      <c r="AG77">
        <f t="shared" si="89"/>
        <v>5196.1318451236421</v>
      </c>
      <c r="AH77">
        <f t="shared" si="90"/>
        <v>-2097.6917609769889</v>
      </c>
      <c r="AJ77">
        <f t="shared" si="75"/>
        <v>18000</v>
      </c>
      <c r="AK77">
        <f t="shared" si="76"/>
        <v>3209.7023786519999</v>
      </c>
      <c r="AL77">
        <v>1</v>
      </c>
      <c r="AM77">
        <f t="shared" si="77"/>
        <v>5.5278207632339997</v>
      </c>
      <c r="AN77">
        <f t="shared" si="91"/>
        <v>1132.6451587294259</v>
      </c>
      <c r="AO77">
        <f t="shared" si="92"/>
        <v>-3051.3570471489902</v>
      </c>
      <c r="AQ77">
        <f t="shared" si="78"/>
        <v>5.4054054054054053</v>
      </c>
      <c r="AR77">
        <f t="shared" si="79"/>
        <v>-232.43243243243242</v>
      </c>
      <c r="AT77">
        <f t="shared" si="52"/>
        <v>-459484.39933452365</v>
      </c>
      <c r="AU77">
        <f t="shared" si="53"/>
        <v>-1219088.4383853707</v>
      </c>
      <c r="AV77">
        <f t="shared" si="93"/>
        <v>-1.9312388678320478</v>
      </c>
      <c r="AW77">
        <f t="shared" si="94"/>
        <v>-696937.07143005019</v>
      </c>
      <c r="AX77">
        <f t="shared" si="95"/>
        <v>-290350.37709054316</v>
      </c>
      <c r="AY77">
        <f t="shared" si="103"/>
        <v>-2.7468505234186029</v>
      </c>
      <c r="BA77">
        <f t="shared" si="80"/>
        <v>1.7255709538106829</v>
      </c>
      <c r="BB77">
        <f t="shared" si="96"/>
        <v>4.7386564352844225</v>
      </c>
      <c r="BC77">
        <f t="shared" si="97"/>
        <v>0.81561165558655513</v>
      </c>
      <c r="BD77">
        <f t="shared" si="81"/>
        <v>-133.26889435981462</v>
      </c>
      <c r="BF77">
        <f t="shared" si="82"/>
        <v>0.99734069697990879</v>
      </c>
      <c r="BG77">
        <f t="shared" si="83"/>
        <v>-118.61227078035003</v>
      </c>
      <c r="BH77">
        <f t="shared" si="98"/>
        <v>61.38772921964997</v>
      </c>
      <c r="BI77">
        <f t="shared" si="99"/>
        <v>61.38772921964997</v>
      </c>
      <c r="BJ77">
        <f t="shared" si="84"/>
        <v>0</v>
      </c>
      <c r="BK77">
        <f t="shared" si="100"/>
        <v>0</v>
      </c>
      <c r="BM77">
        <f t="shared" si="101"/>
        <v>-3.7413157383045146</v>
      </c>
      <c r="BN77">
        <f t="shared" si="85"/>
        <v>-165.34337642053541</v>
      </c>
      <c r="BQ77" s="56">
        <f t="shared" si="102"/>
        <v>21.640617235569557</v>
      </c>
      <c r="BR77" s="58"/>
      <c r="BS77" s="58"/>
      <c r="BT77" s="58">
        <v>467.73500000000001</v>
      </c>
      <c r="BU77" s="58">
        <v>21.3672</v>
      </c>
      <c r="BV77" s="58">
        <v>-265.05009999999999</v>
      </c>
      <c r="BW77" s="61"/>
      <c r="BY77" s="58"/>
      <c r="BZ77" s="58"/>
      <c r="CA77" s="58"/>
      <c r="CC77" s="58"/>
    </row>
    <row r="78" spans="1:81" x14ac:dyDescent="0.25">
      <c r="A78">
        <f t="shared" si="54"/>
        <v>22000</v>
      </c>
      <c r="B78">
        <f t="shared" si="86"/>
        <v>22</v>
      </c>
      <c r="C78">
        <f t="shared" si="55"/>
        <v>1.0165102076336907</v>
      </c>
      <c r="D78">
        <f t="shared" si="56"/>
        <v>0.18047829140413918</v>
      </c>
      <c r="F78">
        <f t="shared" si="57"/>
        <v>4.0672831077544207E-2</v>
      </c>
      <c r="G78">
        <f t="shared" si="58"/>
        <v>7.7399148141812063E-2</v>
      </c>
      <c r="H78">
        <f t="shared" si="59"/>
        <v>-3.0641935018581883</v>
      </c>
      <c r="J78">
        <f t="shared" si="60"/>
        <v>15</v>
      </c>
      <c r="M78">
        <f t="shared" si="61"/>
        <v>8.286730358937644E-2</v>
      </c>
      <c r="N78">
        <f t="shared" si="62"/>
        <v>-1.5707963250000001</v>
      </c>
      <c r="O78">
        <f t="shared" si="63"/>
        <v>3.773143632214552</v>
      </c>
      <c r="P78">
        <f t="shared" si="64"/>
        <v>1.3025602631841777</v>
      </c>
      <c r="Q78">
        <f t="shared" si="65"/>
        <v>5.7440904533940946</v>
      </c>
      <c r="R78">
        <f t="shared" si="66"/>
        <v>1.3958127491765124</v>
      </c>
      <c r="S78">
        <f t="shared" si="67"/>
        <v>0.98375795195197846</v>
      </c>
      <c r="T78">
        <f t="shared" si="68"/>
        <v>-0.18047829140413912</v>
      </c>
      <c r="U78">
        <f t="shared" si="69"/>
        <v>0.99372887255834419</v>
      </c>
      <c r="V78">
        <f t="shared" si="70"/>
        <v>-0.11205081821629173</v>
      </c>
      <c r="X78">
        <f t="shared" si="87"/>
        <v>0.73942772024467351</v>
      </c>
      <c r="Y78">
        <f t="shared" si="71"/>
        <v>-117.38000911368383</v>
      </c>
      <c r="Z78">
        <f t="shared" si="88"/>
        <v>62.619990886316174</v>
      </c>
      <c r="AC78">
        <v>1</v>
      </c>
      <c r="AD78">
        <f t="shared" si="72"/>
        <v>3.6382156161120003</v>
      </c>
      <c r="AE78">
        <f t="shared" si="73"/>
        <v>-7.5436623495371693E-5</v>
      </c>
      <c r="AF78">
        <f t="shared" si="74"/>
        <v>6.7041587150999996E-4</v>
      </c>
      <c r="AG78">
        <f t="shared" si="89"/>
        <v>5193.2123632265047</v>
      </c>
      <c r="AH78">
        <f t="shared" si="90"/>
        <v>-2075.9627940214536</v>
      </c>
      <c r="AJ78">
        <f t="shared" si="75"/>
        <v>18000</v>
      </c>
      <c r="AK78">
        <f t="shared" si="76"/>
        <v>3284.3466200160005</v>
      </c>
      <c r="AL78">
        <v>1</v>
      </c>
      <c r="AM78">
        <f t="shared" si="77"/>
        <v>5.6563747344720001</v>
      </c>
      <c r="AN78">
        <f t="shared" si="91"/>
        <v>1108.5911877659119</v>
      </c>
      <c r="AO78">
        <f t="shared" si="92"/>
        <v>-2986.2605653214082</v>
      </c>
      <c r="AQ78">
        <f t="shared" si="78"/>
        <v>5.1626226122870422</v>
      </c>
      <c r="AR78">
        <f t="shared" si="79"/>
        <v>-227.15539494062983</v>
      </c>
      <c r="AT78">
        <f t="shared" si="52"/>
        <v>-444755.55278119486</v>
      </c>
      <c r="AU78">
        <f t="shared" si="53"/>
        <v>-1190383.6178419599</v>
      </c>
      <c r="AV78">
        <f t="shared" si="93"/>
        <v>-1.9283598477802659</v>
      </c>
      <c r="AW78">
        <f t="shared" si="94"/>
        <v>-666452.20734651992</v>
      </c>
      <c r="AX78">
        <f t="shared" si="95"/>
        <v>-277619.79690312734</v>
      </c>
      <c r="AY78">
        <f t="shared" si="103"/>
        <v>-2.7468892725995322</v>
      </c>
      <c r="BA78">
        <f t="shared" si="80"/>
        <v>1.7601387589967916</v>
      </c>
      <c r="BB78">
        <f t="shared" si="96"/>
        <v>4.9109381277738731</v>
      </c>
      <c r="BC78">
        <f t="shared" si="97"/>
        <v>0.81852942481926627</v>
      </c>
      <c r="BD78">
        <f t="shared" si="81"/>
        <v>-133.10171849699611</v>
      </c>
      <c r="BF78">
        <f t="shared" si="82"/>
        <v>0.76108625124950302</v>
      </c>
      <c r="BG78">
        <f t="shared" si="83"/>
        <v>-118.32642956248988</v>
      </c>
      <c r="BH78">
        <f t="shared" si="98"/>
        <v>61.673570437510122</v>
      </c>
      <c r="BI78">
        <f t="shared" si="99"/>
        <v>61.673570437510122</v>
      </c>
      <c r="BJ78">
        <f t="shared" si="84"/>
        <v>0</v>
      </c>
      <c r="BK78">
        <f t="shared" si="100"/>
        <v>0</v>
      </c>
      <c r="BM78">
        <f t="shared" si="101"/>
        <v>-4.1498518765243695</v>
      </c>
      <c r="BN78">
        <f t="shared" si="85"/>
        <v>-165.22471106549375</v>
      </c>
      <c r="BQ78" s="56">
        <f t="shared" si="102"/>
        <v>21.812898928059006</v>
      </c>
      <c r="BR78" s="58"/>
      <c r="BS78" s="58"/>
      <c r="BT78" s="58">
        <v>478.63</v>
      </c>
      <c r="BU78" s="58">
        <v>21.195799999999998</v>
      </c>
      <c r="BV78" s="58">
        <v>-264.35129999999998</v>
      </c>
      <c r="BW78" s="61"/>
      <c r="BY78" s="58"/>
      <c r="BZ78" s="58"/>
      <c r="CA78" s="58"/>
      <c r="CC78" s="58"/>
    </row>
    <row r="79" spans="1:81" x14ac:dyDescent="0.25">
      <c r="A79">
        <f t="shared" si="54"/>
        <v>22500</v>
      </c>
      <c r="B79">
        <f t="shared" si="86"/>
        <v>22.5</v>
      </c>
      <c r="C79">
        <f t="shared" si="55"/>
        <v>1.0172627572584403</v>
      </c>
      <c r="D79">
        <f t="shared" si="56"/>
        <v>0.18448862110272696</v>
      </c>
      <c r="F79">
        <f t="shared" si="57"/>
        <v>3.8820731238263378E-2</v>
      </c>
      <c r="G79">
        <f t="shared" si="58"/>
        <v>7.5550065967491406E-2</v>
      </c>
      <c r="H79">
        <f t="shared" si="59"/>
        <v>-3.066042584032509</v>
      </c>
      <c r="J79">
        <f t="shared" si="60"/>
        <v>15</v>
      </c>
      <c r="M79">
        <f t="shared" si="61"/>
        <v>8.1025807954056964E-2</v>
      </c>
      <c r="N79">
        <f t="shared" si="62"/>
        <v>-1.5707963250000001</v>
      </c>
      <c r="O79">
        <f t="shared" si="63"/>
        <v>3.8529357876920609</v>
      </c>
      <c r="P79">
        <f t="shared" si="64"/>
        <v>1.3082480458032999</v>
      </c>
      <c r="Q79">
        <f t="shared" si="65"/>
        <v>5.8707239868816492</v>
      </c>
      <c r="R79">
        <f t="shared" si="66"/>
        <v>1.3996249310896085</v>
      </c>
      <c r="S79">
        <f t="shared" si="67"/>
        <v>0.9830301884785756</v>
      </c>
      <c r="T79">
        <f t="shared" si="68"/>
        <v>-0.1844886211027269</v>
      </c>
      <c r="U79">
        <f t="shared" si="69"/>
        <v>0.99344341133351699</v>
      </c>
      <c r="V79">
        <f t="shared" si="70"/>
        <v>-0.11457544265001945</v>
      </c>
      <c r="X79">
        <f t="shared" si="87"/>
        <v>0.50809816868976465</v>
      </c>
      <c r="Y79">
        <f t="shared" si="71"/>
        <v>-117.08629616959782</v>
      </c>
      <c r="Z79">
        <f t="shared" si="88"/>
        <v>62.913703830402184</v>
      </c>
      <c r="AC79">
        <v>1</v>
      </c>
      <c r="AD79">
        <f t="shared" si="72"/>
        <v>3.7209023346599999</v>
      </c>
      <c r="AE79">
        <f t="shared" si="73"/>
        <v>-7.8904526125065947E-5</v>
      </c>
      <c r="AF79">
        <f t="shared" si="74"/>
        <v>6.8565259586249999E-4</v>
      </c>
      <c r="AG79">
        <f t="shared" si="89"/>
        <v>5190.2291595074685</v>
      </c>
      <c r="AH79">
        <f t="shared" si="90"/>
        <v>-2055.7532791636977</v>
      </c>
      <c r="AJ79">
        <f t="shared" si="75"/>
        <v>18000</v>
      </c>
      <c r="AK79">
        <f t="shared" si="76"/>
        <v>3358.9908613800003</v>
      </c>
      <c r="AL79">
        <v>1</v>
      </c>
      <c r="AM79">
        <f t="shared" si="77"/>
        <v>5.7849287057099996</v>
      </c>
      <c r="AN79">
        <f t="shared" si="91"/>
        <v>1086.0608759760958</v>
      </c>
      <c r="AO79">
        <f t="shared" si="92"/>
        <v>-2923.7938762026647</v>
      </c>
      <c r="AQ79">
        <f t="shared" si="78"/>
        <v>4.9358341559723593</v>
      </c>
      <c r="AR79">
        <f t="shared" si="79"/>
        <v>-222.11253701875617</v>
      </c>
      <c r="AT79">
        <f t="shared" si="52"/>
        <v>-430990.46595685551</v>
      </c>
      <c r="AU79">
        <f t="shared" si="53"/>
        <v>-1162961.8235784788</v>
      </c>
      <c r="AV79">
        <f t="shared" si="93"/>
        <v>-1.9257014851097936</v>
      </c>
      <c r="AW79">
        <f t="shared" si="94"/>
        <v>-637885.95834754489</v>
      </c>
      <c r="AX79">
        <f t="shared" si="95"/>
        <v>-265836.81783991412</v>
      </c>
      <c r="AY79">
        <f t="shared" si="103"/>
        <v>-2.7467334089007984</v>
      </c>
      <c r="BA79">
        <f t="shared" si="80"/>
        <v>1.7947071070753666</v>
      </c>
      <c r="BB79">
        <f t="shared" si="96"/>
        <v>5.0798716526049601</v>
      </c>
      <c r="BC79">
        <f t="shared" si="97"/>
        <v>0.82103192379100487</v>
      </c>
      <c r="BD79">
        <f t="shared" si="81"/>
        <v>-132.95833586751584</v>
      </c>
      <c r="BF79">
        <f t="shared" si="82"/>
        <v>0.53163396511317151</v>
      </c>
      <c r="BG79">
        <f t="shared" si="83"/>
        <v>-118.05921657124448</v>
      </c>
      <c r="BH79">
        <f t="shared" si="98"/>
        <v>61.940783428755523</v>
      </c>
      <c r="BI79">
        <f t="shared" si="99"/>
        <v>61.940783428755523</v>
      </c>
      <c r="BJ79">
        <f t="shared" si="84"/>
        <v>0</v>
      </c>
      <c r="BK79">
        <f t="shared" si="100"/>
        <v>0</v>
      </c>
      <c r="BM79">
        <f t="shared" si="101"/>
        <v>-4.5482376874917891</v>
      </c>
      <c r="BN79">
        <f t="shared" si="85"/>
        <v>-165.10088070372865</v>
      </c>
      <c r="BQ79" s="56">
        <f t="shared" si="102"/>
        <v>21.981832452890096</v>
      </c>
      <c r="BR79" s="59"/>
      <c r="BS79" s="59"/>
      <c r="BT79" s="59">
        <v>489.779</v>
      </c>
      <c r="BU79" s="59">
        <v>20.944800000000001</v>
      </c>
      <c r="BV79" s="59">
        <v>-263.91079999999999</v>
      </c>
      <c r="BW79" s="61"/>
      <c r="BY79" s="59"/>
      <c r="BZ79" s="59"/>
      <c r="CA79" s="59"/>
      <c r="CC79" s="59"/>
    </row>
    <row r="80" spans="1:81" x14ac:dyDescent="0.25">
      <c r="A80">
        <f t="shared" si="54"/>
        <v>23000</v>
      </c>
      <c r="B80">
        <f t="shared" si="86"/>
        <v>23</v>
      </c>
      <c r="C80">
        <f t="shared" si="55"/>
        <v>1.0180316429187934</v>
      </c>
      <c r="D80">
        <f t="shared" si="56"/>
        <v>0.18849295738275343</v>
      </c>
      <c r="F80">
        <f t="shared" si="57"/>
        <v>3.7093641154028301E-2</v>
      </c>
      <c r="G80">
        <f t="shared" si="58"/>
        <v>7.3789894024606492E-2</v>
      </c>
      <c r="H80">
        <f t="shared" si="59"/>
        <v>-3.0678027559753938</v>
      </c>
      <c r="J80">
        <f t="shared" si="60"/>
        <v>15</v>
      </c>
      <c r="M80">
        <f t="shared" si="61"/>
        <v>7.9264377346360076E-2</v>
      </c>
      <c r="N80">
        <f t="shared" si="62"/>
        <v>-1.5707963250000001</v>
      </c>
      <c r="O80">
        <f t="shared" si="63"/>
        <v>3.9328475289138445</v>
      </c>
      <c r="P80">
        <f t="shared" si="64"/>
        <v>1.3137048583051907</v>
      </c>
      <c r="Q80">
        <f t="shared" si="65"/>
        <v>5.9974392344203107</v>
      </c>
      <c r="R80">
        <f t="shared" si="66"/>
        <v>1.4032760749347308</v>
      </c>
      <c r="S80">
        <f t="shared" si="67"/>
        <v>0.98228773826018312</v>
      </c>
      <c r="T80">
        <f t="shared" si="68"/>
        <v>-0.1884929573827534</v>
      </c>
      <c r="U80">
        <f t="shared" si="69"/>
        <v>0.99315178946248461</v>
      </c>
      <c r="V80">
        <f t="shared" si="70"/>
        <v>-0.1170986009683741</v>
      </c>
      <c r="X80">
        <f t="shared" si="87"/>
        <v>0.28314746688198028</v>
      </c>
      <c r="Y80">
        <f t="shared" si="71"/>
        <v>-116.80986545683832</v>
      </c>
      <c r="Z80">
        <f t="shared" si="88"/>
        <v>63.190134543161676</v>
      </c>
      <c r="AC80">
        <v>1</v>
      </c>
      <c r="AD80">
        <f t="shared" si="72"/>
        <v>3.8035890532080003</v>
      </c>
      <c r="AE80">
        <f t="shared" si="73"/>
        <v>-8.2450359150933127E-5</v>
      </c>
      <c r="AF80">
        <f t="shared" si="74"/>
        <v>7.0088932021499992E-4</v>
      </c>
      <c r="AG80">
        <f t="shared" si="89"/>
        <v>5187.1824591768873</v>
      </c>
      <c r="AH80">
        <f t="shared" si="90"/>
        <v>-2036.9622072463712</v>
      </c>
      <c r="AJ80">
        <f t="shared" si="75"/>
        <v>18000</v>
      </c>
      <c r="AK80">
        <f t="shared" si="76"/>
        <v>3433.6351027440005</v>
      </c>
      <c r="AL80">
        <v>1</v>
      </c>
      <c r="AM80">
        <f t="shared" si="77"/>
        <v>5.913482676948</v>
      </c>
      <c r="AN80">
        <f t="shared" si="91"/>
        <v>1064.9294203053516</v>
      </c>
      <c r="AO80">
        <f t="shared" si="92"/>
        <v>-2863.806576403972</v>
      </c>
      <c r="AQ80">
        <f t="shared" si="78"/>
        <v>4.7236655644780345</v>
      </c>
      <c r="AR80">
        <f t="shared" si="79"/>
        <v>-217.28861596598961</v>
      </c>
      <c r="AT80">
        <f t="shared" si="52"/>
        <v>-418106.18362851295</v>
      </c>
      <c r="AU80">
        <f t="shared" si="53"/>
        <v>-1136737.6255521171</v>
      </c>
      <c r="AV80">
        <f t="shared" si="93"/>
        <v>-1.9232506894111838</v>
      </c>
      <c r="AW80">
        <f t="shared" si="94"/>
        <v>-611082.50000017579</v>
      </c>
      <c r="AX80">
        <f t="shared" si="95"/>
        <v>-254909.12072566172</v>
      </c>
      <c r="AY80">
        <f t="shared" si="103"/>
        <v>-2.7463952679533339</v>
      </c>
      <c r="BA80">
        <f t="shared" si="80"/>
        <v>1.8292680809136228</v>
      </c>
      <c r="BB80">
        <f t="shared" si="96"/>
        <v>5.2455471278979404</v>
      </c>
      <c r="BC80">
        <f t="shared" si="97"/>
        <v>0.82314457854215006</v>
      </c>
      <c r="BD80">
        <f t="shared" si="81"/>
        <v>-132.83728966656864</v>
      </c>
      <c r="BF80">
        <f t="shared" si="82"/>
        <v>0.30858717719576534</v>
      </c>
      <c r="BG80">
        <f t="shared" si="83"/>
        <v>-117.80958922509834</v>
      </c>
      <c r="BH80">
        <f t="shared" si="98"/>
        <v>62.190410774901665</v>
      </c>
      <c r="BI80">
        <f t="shared" si="99"/>
        <v>62.190410774901665</v>
      </c>
      <c r="BJ80">
        <f t="shared" si="84"/>
        <v>0</v>
      </c>
      <c r="BK80">
        <f t="shared" si="100"/>
        <v>0</v>
      </c>
      <c r="BM80">
        <f t="shared" si="101"/>
        <v>-4.9369599507021746</v>
      </c>
      <c r="BN80">
        <f t="shared" si="85"/>
        <v>-164.97229955852973</v>
      </c>
      <c r="BQ80" s="56">
        <f t="shared" si="102"/>
        <v>22.147507928183074</v>
      </c>
      <c r="BR80" s="59"/>
      <c r="BS80" s="59"/>
      <c r="BT80" s="59">
        <v>501.18700000000001</v>
      </c>
      <c r="BU80" s="59">
        <v>20.7819</v>
      </c>
      <c r="BV80" s="59">
        <v>-264.7826</v>
      </c>
      <c r="BW80" s="61"/>
      <c r="BY80" s="59"/>
      <c r="BZ80" s="59"/>
      <c r="CA80" s="59"/>
      <c r="CC80" s="59"/>
    </row>
    <row r="81" spans="1:81" x14ac:dyDescent="0.25">
      <c r="A81">
        <f t="shared" si="54"/>
        <v>23500</v>
      </c>
      <c r="B81">
        <f t="shared" si="86"/>
        <v>23.5</v>
      </c>
      <c r="C81">
        <f t="shared" si="55"/>
        <v>1.0188168276290734</v>
      </c>
      <c r="D81">
        <f t="shared" si="56"/>
        <v>0.19249118554463379</v>
      </c>
      <c r="F81">
        <f t="shared" si="57"/>
        <v>3.5480450634211541E-2</v>
      </c>
      <c r="G81">
        <f t="shared" si="58"/>
        <v>7.2112217386940861E-2</v>
      </c>
      <c r="H81">
        <f t="shared" si="59"/>
        <v>-3.0694804326130591</v>
      </c>
      <c r="J81">
        <f t="shared" si="60"/>
        <v>15</v>
      </c>
      <c r="M81">
        <f t="shared" si="61"/>
        <v>7.7577901232607729E-2</v>
      </c>
      <c r="N81">
        <f t="shared" si="62"/>
        <v>-1.5707963250000001</v>
      </c>
      <c r="O81">
        <f t="shared" si="63"/>
        <v>4.0128717116471213</v>
      </c>
      <c r="P81">
        <f t="shared" si="64"/>
        <v>1.3189441835402014</v>
      </c>
      <c r="Q81">
        <f t="shared" si="65"/>
        <v>6.1242311238246643</v>
      </c>
      <c r="R81">
        <f t="shared" si="66"/>
        <v>1.4067760822755044</v>
      </c>
      <c r="S81">
        <f t="shared" si="67"/>
        <v>0.98153070589453972</v>
      </c>
      <c r="T81">
        <f t="shared" si="68"/>
        <v>-0.19249118554463374</v>
      </c>
      <c r="U81">
        <f t="shared" si="69"/>
        <v>0.99285402350320884</v>
      </c>
      <c r="V81">
        <f t="shared" si="70"/>
        <v>-0.11962026234997034</v>
      </c>
      <c r="X81">
        <f t="shared" si="87"/>
        <v>6.4213212796170649E-2</v>
      </c>
      <c r="Y81">
        <f t="shared" si="71"/>
        <v>-116.54974292944001</v>
      </c>
      <c r="Z81">
        <f t="shared" si="88"/>
        <v>63.450257070559985</v>
      </c>
      <c r="AC81">
        <v>1</v>
      </c>
      <c r="AD81">
        <f t="shared" si="72"/>
        <v>3.8862757717559999</v>
      </c>
      <c r="AE81">
        <f t="shared" si="73"/>
        <v>-8.6074122572973177E-5</v>
      </c>
      <c r="AF81">
        <f t="shared" si="74"/>
        <v>7.1612604456749995E-4</v>
      </c>
      <c r="AG81">
        <f t="shared" si="89"/>
        <v>5184.072491834595</v>
      </c>
      <c r="AH81">
        <f t="shared" si="90"/>
        <v>-2019.497129116121</v>
      </c>
      <c r="AJ81">
        <f t="shared" si="75"/>
        <v>18000</v>
      </c>
      <c r="AK81">
        <f t="shared" si="76"/>
        <v>3508.2793441080003</v>
      </c>
      <c r="AL81">
        <v>1</v>
      </c>
      <c r="AM81">
        <f t="shared" si="77"/>
        <v>6.0420366481859995</v>
      </c>
      <c r="AN81">
        <f t="shared" si="91"/>
        <v>1045.0844180951897</v>
      </c>
      <c r="AO81">
        <f t="shared" si="92"/>
        <v>-2806.1590104712764</v>
      </c>
      <c r="AQ81">
        <f t="shared" si="78"/>
        <v>4.5248868778280542</v>
      </c>
      <c r="AR81">
        <f t="shared" si="79"/>
        <v>-212.66968325791856</v>
      </c>
      <c r="AT81">
        <f t="shared" si="52"/>
        <v>-406028.47319738957</v>
      </c>
      <c r="AU81">
        <f t="shared" si="53"/>
        <v>-1111633.0508839011</v>
      </c>
      <c r="AV81">
        <f t="shared" si="93"/>
        <v>-1.9209953463755007</v>
      </c>
      <c r="AW81">
        <f t="shared" si="94"/>
        <v>-585901.32709123031</v>
      </c>
      <c r="AX81">
        <f t="shared" si="95"/>
        <v>-244755.20747215228</v>
      </c>
      <c r="AY81">
        <f t="shared" si="103"/>
        <v>-2.7458861825154548</v>
      </c>
      <c r="BA81">
        <f t="shared" si="80"/>
        <v>1.8638142614872628</v>
      </c>
      <c r="BB81">
        <f t="shared" si="96"/>
        <v>5.4080526106771352</v>
      </c>
      <c r="BC81">
        <f t="shared" si="97"/>
        <v>0.82489083613995406</v>
      </c>
      <c r="BD81">
        <f t="shared" si="81"/>
        <v>-132.73723647615751</v>
      </c>
      <c r="BF81">
        <f t="shared" si="82"/>
        <v>9.1582524856176045E-2</v>
      </c>
      <c r="BG81">
        <f t="shared" si="83"/>
        <v>-117.5765782260551</v>
      </c>
      <c r="BH81">
        <f t="shared" si="98"/>
        <v>62.423421773944895</v>
      </c>
      <c r="BI81">
        <f t="shared" si="99"/>
        <v>62.423421773944895</v>
      </c>
      <c r="BJ81">
        <f t="shared" si="84"/>
        <v>23500</v>
      </c>
      <c r="BK81">
        <f t="shared" si="100"/>
        <v>62.423421773944895</v>
      </c>
      <c r="BM81">
        <f t="shared" si="101"/>
        <v>-5.3164700858209599</v>
      </c>
      <c r="BN81">
        <f t="shared" si="85"/>
        <v>-164.83934174989761</v>
      </c>
      <c r="BQ81" s="56">
        <f t="shared" si="102"/>
        <v>22.310013410962274</v>
      </c>
      <c r="BR81" s="59"/>
      <c r="BS81" s="59"/>
      <c r="BT81" s="59">
        <v>512.86099999999999</v>
      </c>
      <c r="BU81" s="59">
        <v>20.634799999999998</v>
      </c>
      <c r="BV81" s="59">
        <v>-265.04300000000001</v>
      </c>
      <c r="BW81" s="61"/>
      <c r="BY81" s="59"/>
      <c r="BZ81" s="59"/>
      <c r="CA81" s="59"/>
      <c r="CC81" s="59"/>
    </row>
    <row r="82" spans="1:81" x14ac:dyDescent="0.25">
      <c r="A82">
        <f t="shared" si="54"/>
        <v>24000</v>
      </c>
      <c r="B82">
        <f t="shared" si="86"/>
        <v>24</v>
      </c>
      <c r="C82">
        <f t="shared" si="55"/>
        <v>1.0196182737347048</v>
      </c>
      <c r="D82">
        <f t="shared" si="56"/>
        <v>0.19648319201953715</v>
      </c>
      <c r="F82">
        <f t="shared" si="57"/>
        <v>3.3971267611341865E-2</v>
      </c>
      <c r="G82">
        <f t="shared" si="58"/>
        <v>7.0511235025419963E-2</v>
      </c>
      <c r="H82">
        <f t="shared" si="59"/>
        <v>-3.0710814149745804</v>
      </c>
      <c r="J82">
        <f t="shared" si="60"/>
        <v>15</v>
      </c>
      <c r="M82">
        <f t="shared" si="61"/>
        <v>7.5961694956928394E-2</v>
      </c>
      <c r="N82">
        <f t="shared" si="62"/>
        <v>-1.5707963250000001</v>
      </c>
      <c r="O82">
        <f t="shared" si="63"/>
        <v>4.0930017407081731</v>
      </c>
      <c r="P82">
        <f t="shared" si="64"/>
        <v>1.3239784985431804</v>
      </c>
      <c r="Q82">
        <f t="shared" si="65"/>
        <v>6.25109499148137</v>
      </c>
      <c r="R82">
        <f t="shared" si="66"/>
        <v>1.4101340664314621</v>
      </c>
      <c r="S82">
        <f t="shared" si="67"/>
        <v>0.98075919759377583</v>
      </c>
      <c r="T82">
        <f t="shared" si="68"/>
        <v>-0.1964831920195371</v>
      </c>
      <c r="U82">
        <f t="shared" si="69"/>
        <v>0.99255013033561557</v>
      </c>
      <c r="V82">
        <f t="shared" si="70"/>
        <v>-0.122140396086131</v>
      </c>
      <c r="X82">
        <f t="shared" si="87"/>
        <v>-0.14903726272532214</v>
      </c>
      <c r="Y82">
        <f t="shared" si="71"/>
        <v>-116.30502216622271</v>
      </c>
      <c r="Z82">
        <f t="shared" si="88"/>
        <v>63.694977833777287</v>
      </c>
      <c r="AC82">
        <v>1</v>
      </c>
      <c r="AD82">
        <f t="shared" si="72"/>
        <v>3.9689624903040004</v>
      </c>
      <c r="AE82">
        <f t="shared" si="73"/>
        <v>-8.9775816391186167E-5</v>
      </c>
      <c r="AF82">
        <f t="shared" si="74"/>
        <v>7.3136276891999999E-4</v>
      </c>
      <c r="AG82">
        <f t="shared" si="89"/>
        <v>5180.8994914274772</v>
      </c>
      <c r="AH82">
        <f t="shared" si="90"/>
        <v>-2003.2732643023628</v>
      </c>
      <c r="AJ82">
        <f t="shared" si="75"/>
        <v>18000</v>
      </c>
      <c r="AK82">
        <f t="shared" si="76"/>
        <v>3582.9235854720005</v>
      </c>
      <c r="AL82">
        <v>1</v>
      </c>
      <c r="AM82">
        <f t="shared" si="77"/>
        <v>6.170590619423999</v>
      </c>
      <c r="AN82">
        <f t="shared" si="91"/>
        <v>1026.4244316371387</v>
      </c>
      <c r="AO82">
        <f t="shared" si="92"/>
        <v>-2750.7213839357373</v>
      </c>
      <c r="AQ82">
        <f t="shared" si="78"/>
        <v>4.3383947939262475</v>
      </c>
      <c r="AR82">
        <f t="shared" si="79"/>
        <v>-208.24295010845987</v>
      </c>
      <c r="AT82">
        <f t="shared" si="52"/>
        <v>-394690.74705026438</v>
      </c>
      <c r="AU82">
        <f t="shared" si="53"/>
        <v>-1087576.7846109383</v>
      </c>
      <c r="AV82">
        <f t="shared" si="93"/>
        <v>-1.9189242310965267</v>
      </c>
      <c r="AW82">
        <f t="shared" si="94"/>
        <v>-562215.50345839467</v>
      </c>
      <c r="AX82">
        <f t="shared" si="95"/>
        <v>-235302.93838566291</v>
      </c>
      <c r="AY82">
        <f t="shared" si="103"/>
        <v>-2.7452165820835153</v>
      </c>
      <c r="BA82">
        <f t="shared" si="80"/>
        <v>1.8983386775178062</v>
      </c>
      <c r="BB82">
        <f t="shared" si="96"/>
        <v>5.5674739263750865</v>
      </c>
      <c r="BC82">
        <f t="shared" si="97"/>
        <v>0.82629235098698861</v>
      </c>
      <c r="BD82">
        <f t="shared" si="81"/>
        <v>-132.65693559040574</v>
      </c>
      <c r="BF82">
        <f t="shared" si="82"/>
        <v>-0.11971363485750548</v>
      </c>
      <c r="BG82">
        <f t="shared" si="83"/>
        <v>-117.35928174973598</v>
      </c>
      <c r="BH82">
        <f t="shared" si="98"/>
        <v>62.640718250264015</v>
      </c>
      <c r="BI82">
        <f t="shared" si="99"/>
        <v>62.640718250264015</v>
      </c>
      <c r="BJ82">
        <f t="shared" si="84"/>
        <v>0</v>
      </c>
      <c r="BK82">
        <f t="shared" si="100"/>
        <v>0</v>
      </c>
      <c r="BM82">
        <f t="shared" si="101"/>
        <v>-5.6871875612325908</v>
      </c>
      <c r="BN82">
        <f t="shared" si="85"/>
        <v>-164.70234615933029</v>
      </c>
      <c r="BQ82" s="56">
        <f t="shared" si="102"/>
        <v>22.469434726660221</v>
      </c>
      <c r="BR82" s="59"/>
      <c r="BS82" s="59"/>
      <c r="BT82" s="59">
        <v>524.80700000000002</v>
      </c>
      <c r="BU82" s="59">
        <v>20.243600000000001</v>
      </c>
      <c r="BV82" s="59">
        <v>-263.95569999999998</v>
      </c>
      <c r="BW82" s="61"/>
      <c r="BY82" s="59"/>
      <c r="BZ82" s="59"/>
      <c r="CA82" s="59"/>
      <c r="CC82" s="59"/>
    </row>
    <row r="83" spans="1:81" x14ac:dyDescent="0.25">
      <c r="A83">
        <f t="shared" si="54"/>
        <v>24500</v>
      </c>
      <c r="B83">
        <f t="shared" si="86"/>
        <v>24.5</v>
      </c>
      <c r="C83">
        <f t="shared" si="55"/>
        <v>1.0204359429207928</v>
      </c>
      <c r="D83">
        <f t="shared" si="56"/>
        <v>0.20046886438495914</v>
      </c>
      <c r="F83">
        <f t="shared" si="57"/>
        <v>3.2557260069372526E-2</v>
      </c>
      <c r="G83">
        <f t="shared" si="58"/>
        <v>6.8981687095924574E-2</v>
      </c>
      <c r="H83">
        <f t="shared" si="59"/>
        <v>-3.0726109629040756</v>
      </c>
      <c r="J83">
        <f t="shared" si="60"/>
        <v>15</v>
      </c>
      <c r="M83">
        <f t="shared" si="61"/>
        <v>7.4411456284338012E-2</v>
      </c>
      <c r="N83">
        <f t="shared" si="62"/>
        <v>-1.5707963250000001</v>
      </c>
      <c r="O83">
        <f t="shared" si="63"/>
        <v>4.1732315190498399</v>
      </c>
      <c r="P83">
        <f t="shared" si="64"/>
        <v>1.3288193643658872</v>
      </c>
      <c r="Q83">
        <f t="shared" si="65"/>
        <v>6.3780265422829912</v>
      </c>
      <c r="R83">
        <f t="shared" si="66"/>
        <v>1.4133584286899501</v>
      </c>
      <c r="S83">
        <f t="shared" si="67"/>
        <v>0.97997332114517743</v>
      </c>
      <c r="T83">
        <f t="shared" si="68"/>
        <v>-0.20046886438495912</v>
      </c>
      <c r="U83">
        <f t="shared" si="69"/>
        <v>0.99224012715898946</v>
      </c>
      <c r="V83">
        <f t="shared" si="70"/>
        <v>-0.12465897158299045</v>
      </c>
      <c r="X83">
        <f t="shared" si="87"/>
        <v>-0.35691001551891727</v>
      </c>
      <c r="Y83">
        <f t="shared" si="71"/>
        <v>-116.07485902337503</v>
      </c>
      <c r="Z83">
        <f t="shared" si="88"/>
        <v>63.925140976624974</v>
      </c>
      <c r="AC83">
        <v>1</v>
      </c>
      <c r="AD83">
        <f t="shared" si="72"/>
        <v>4.051649208852</v>
      </c>
      <c r="AE83">
        <f t="shared" si="73"/>
        <v>-9.3555440605572014E-5</v>
      </c>
      <c r="AF83">
        <f t="shared" si="74"/>
        <v>7.4659949327250002E-4</v>
      </c>
      <c r="AG83">
        <f t="shared" si="89"/>
        <v>5177.6636962063094</v>
      </c>
      <c r="AH83">
        <f t="shared" si="90"/>
        <v>-1988.2127188429099</v>
      </c>
      <c r="AJ83">
        <f t="shared" si="75"/>
        <v>18000</v>
      </c>
      <c r="AK83">
        <f t="shared" si="76"/>
        <v>3657.5678268360002</v>
      </c>
      <c r="AL83">
        <v>1</v>
      </c>
      <c r="AM83">
        <f t="shared" si="77"/>
        <v>6.2991445906619985</v>
      </c>
      <c r="AN83">
        <f t="shared" si="91"/>
        <v>1008.8577409922468</v>
      </c>
      <c r="AO83">
        <f t="shared" si="92"/>
        <v>-2697.3729550827943</v>
      </c>
      <c r="AQ83">
        <f t="shared" si="78"/>
        <v>4.1631973355537051</v>
      </c>
      <c r="AR83">
        <f t="shared" si="79"/>
        <v>-203.99666944213155</v>
      </c>
      <c r="AT83">
        <f t="shared" si="52"/>
        <v>-384033.13708199945</v>
      </c>
      <c r="AU83">
        <f t="shared" si="53"/>
        <v>-1064503.4714111243</v>
      </c>
      <c r="AV83">
        <f t="shared" si="93"/>
        <v>-1.9170269301203582</v>
      </c>
      <c r="AW83">
        <f t="shared" si="94"/>
        <v>-539910.1376727008</v>
      </c>
      <c r="AX83">
        <f t="shared" si="95"/>
        <v>-226488.29160825897</v>
      </c>
      <c r="AY83">
        <f t="shared" si="103"/>
        <v>-2.7443960809694601</v>
      </c>
      <c r="BA83">
        <f t="shared" si="80"/>
        <v>1.932834761212147</v>
      </c>
      <c r="BB83">
        <f t="shared" si="96"/>
        <v>5.7238945522610072</v>
      </c>
      <c r="BC83">
        <f t="shared" si="97"/>
        <v>0.8273691508491019</v>
      </c>
      <c r="BD83">
        <f t="shared" si="81"/>
        <v>-132.59523950285586</v>
      </c>
      <c r="BF83">
        <f t="shared" si="82"/>
        <v>-0.32560834428565755</v>
      </c>
      <c r="BG83">
        <f t="shared" si="83"/>
        <v>-117.15686009788779</v>
      </c>
      <c r="BH83">
        <f t="shared" si="98"/>
        <v>62.843139902112213</v>
      </c>
      <c r="BI83">
        <f t="shared" si="99"/>
        <v>62.843139902112213</v>
      </c>
      <c r="BJ83">
        <f t="shared" si="84"/>
        <v>0</v>
      </c>
      <c r="BK83">
        <f t="shared" si="100"/>
        <v>0</v>
      </c>
      <c r="BM83">
        <f t="shared" si="101"/>
        <v>-6.0495028965466657</v>
      </c>
      <c r="BN83">
        <f t="shared" si="85"/>
        <v>-164.56162059503194</v>
      </c>
      <c r="BQ83" s="56">
        <f t="shared" si="102"/>
        <v>22.625855352546147</v>
      </c>
      <c r="BR83" s="59"/>
      <c r="BS83" s="59"/>
      <c r="BT83" s="59">
        <v>537.03200000000004</v>
      </c>
      <c r="BU83" s="59">
        <v>20.2926</v>
      </c>
      <c r="BV83" s="59">
        <v>-264.56819999999999</v>
      </c>
      <c r="BW83" s="61"/>
      <c r="BY83" s="59"/>
      <c r="BZ83" s="59"/>
      <c r="CA83" s="59"/>
      <c r="CC83" s="59"/>
    </row>
    <row r="84" spans="1:81" x14ac:dyDescent="0.25">
      <c r="A84">
        <f t="shared" si="54"/>
        <v>25000</v>
      </c>
      <c r="B84">
        <f t="shared" si="86"/>
        <v>25</v>
      </c>
      <c r="C84">
        <f t="shared" si="55"/>
        <v>1.0212697962208097</v>
      </c>
      <c r="D84">
        <f t="shared" si="56"/>
        <v>0.20444809137979539</v>
      </c>
      <c r="F84">
        <f t="shared" si="57"/>
        <v>3.1230521561796554E-2</v>
      </c>
      <c r="G84">
        <f t="shared" si="58"/>
        <v>6.7518792423304941E-2</v>
      </c>
      <c r="H84">
        <f t="shared" si="59"/>
        <v>-3.0740738575766953</v>
      </c>
      <c r="J84">
        <f t="shared" si="60"/>
        <v>15</v>
      </c>
      <c r="M84">
        <f t="shared" si="61"/>
        <v>7.2923227158651266E-2</v>
      </c>
      <c r="N84">
        <f t="shared" si="62"/>
        <v>-1.5707963250000001</v>
      </c>
      <c r="O84">
        <f t="shared" si="63"/>
        <v>4.2535554023182094</v>
      </c>
      <c r="P84">
        <f t="shared" si="64"/>
        <v>1.3334775067040192</v>
      </c>
      <c r="Q84">
        <f t="shared" si="65"/>
        <v>6.5050218141564535</v>
      </c>
      <c r="R84">
        <f t="shared" si="66"/>
        <v>1.4164569259228834</v>
      </c>
      <c r="S84">
        <f t="shared" si="67"/>
        <v>0.97917318587162938</v>
      </c>
      <c r="T84">
        <f t="shared" si="68"/>
        <v>-0.20444809137979533</v>
      </c>
      <c r="U84">
        <f t="shared" si="69"/>
        <v>0.99192403148932318</v>
      </c>
      <c r="V84">
        <f t="shared" si="70"/>
        <v>-0.12717595836357684</v>
      </c>
      <c r="X84">
        <f t="shared" si="87"/>
        <v>-0.55968721570558555</v>
      </c>
      <c r="Y84">
        <f t="shared" si="71"/>
        <v>-115.85846672273262</v>
      </c>
      <c r="Z84">
        <f t="shared" si="88"/>
        <v>64.141533277267385</v>
      </c>
      <c r="AC84">
        <v>1</v>
      </c>
      <c r="AD84">
        <f t="shared" si="72"/>
        <v>4.1343359273999996</v>
      </c>
      <c r="AE84">
        <f t="shared" si="73"/>
        <v>-9.7412995216130801E-5</v>
      </c>
      <c r="AF84">
        <f t="shared" si="74"/>
        <v>7.6183621762500005E-4</v>
      </c>
      <c r="AG84">
        <f t="shared" si="89"/>
        <v>5174.3653486819467</v>
      </c>
      <c r="AH84">
        <f t="shared" si="90"/>
        <v>-1974.2437969758071</v>
      </c>
      <c r="AJ84">
        <f t="shared" si="75"/>
        <v>18000</v>
      </c>
      <c r="AK84">
        <f t="shared" si="76"/>
        <v>3732.2120682000004</v>
      </c>
      <c r="AL84">
        <v>1</v>
      </c>
      <c r="AM84">
        <f t="shared" si="77"/>
        <v>6.4276985618999998</v>
      </c>
      <c r="AN84">
        <f t="shared" si="91"/>
        <v>992.30125766786455</v>
      </c>
      <c r="AO84">
        <f t="shared" si="92"/>
        <v>-2646.001298683293</v>
      </c>
      <c r="AQ84">
        <f t="shared" si="78"/>
        <v>3.9984006397441023</v>
      </c>
      <c r="AR84">
        <f t="shared" si="79"/>
        <v>-199.92003198720511</v>
      </c>
      <c r="AT84">
        <f t="shared" si="52"/>
        <v>-374001.69732150499</v>
      </c>
      <c r="AU84">
        <f t="shared" si="53"/>
        <v>-1042353.1036828194</v>
      </c>
      <c r="AV84">
        <f t="shared" si="93"/>
        <v>-1.9152937712762002</v>
      </c>
      <c r="AW84">
        <f t="shared" si="94"/>
        <v>-518881.05234449852</v>
      </c>
      <c r="AX84">
        <f t="shared" si="95"/>
        <v>-218254.30746825729</v>
      </c>
      <c r="AY84">
        <f t="shared" si="103"/>
        <v>-2.7434335563615653</v>
      </c>
      <c r="BA84">
        <f t="shared" si="80"/>
        <v>1.967296309264539</v>
      </c>
      <c r="BB84">
        <f t="shared" si="96"/>
        <v>5.8773955439576202</v>
      </c>
      <c r="BC84">
        <f t="shared" si="97"/>
        <v>0.82813978508536512</v>
      </c>
      <c r="BD84">
        <f t="shared" si="81"/>
        <v>-132.55108541351925</v>
      </c>
      <c r="BF84">
        <f t="shared" si="82"/>
        <v>-0.52638477228922109</v>
      </c>
      <c r="BG84">
        <f t="shared" si="83"/>
        <v>-116.96853078647108</v>
      </c>
      <c r="BH84">
        <f t="shared" si="98"/>
        <v>63.031469213528922</v>
      </c>
      <c r="BI84">
        <f t="shared" si="99"/>
        <v>63.031469213528922</v>
      </c>
      <c r="BJ84">
        <f t="shared" si="84"/>
        <v>0</v>
      </c>
      <c r="BK84">
        <f t="shared" si="100"/>
        <v>0</v>
      </c>
      <c r="BM84">
        <f t="shared" si="101"/>
        <v>-6.4037803162468414</v>
      </c>
      <c r="BN84">
        <f t="shared" si="85"/>
        <v>-164.41744537295179</v>
      </c>
      <c r="BQ84" s="56">
        <f t="shared" si="102"/>
        <v>22.779356344242757</v>
      </c>
      <c r="BR84" s="59"/>
      <c r="BS84" s="59"/>
      <c r="BT84" s="59">
        <v>549.54100000000005</v>
      </c>
      <c r="BU84" s="59">
        <v>19.992000000000001</v>
      </c>
      <c r="BV84" s="59">
        <v>-264.47620000000001</v>
      </c>
      <c r="BW84" s="61"/>
      <c r="BY84" s="59"/>
      <c r="BZ84" s="59"/>
      <c r="CA84" s="59"/>
      <c r="CC84" s="59"/>
    </row>
    <row r="85" spans="1:81" x14ac:dyDescent="0.25">
      <c r="A85">
        <f t="shared" si="54"/>
        <v>25500</v>
      </c>
      <c r="B85">
        <f t="shared" si="86"/>
        <v>25.5</v>
      </c>
      <c r="C85">
        <f t="shared" si="55"/>
        <v>1.022119794025377</v>
      </c>
      <c r="D85">
        <f t="shared" si="56"/>
        <v>0.20842076291891298</v>
      </c>
      <c r="F85">
        <f t="shared" si="57"/>
        <v>2.9983956355688166E-2</v>
      </c>
      <c r="G85">
        <f t="shared" si="58"/>
        <v>6.611819454013744E-2</v>
      </c>
      <c r="H85">
        <f t="shared" si="59"/>
        <v>-3.075474455459863</v>
      </c>
      <c r="J85">
        <f t="shared" si="60"/>
        <v>15</v>
      </c>
      <c r="M85">
        <f t="shared" si="61"/>
        <v>7.149335995946203E-2</v>
      </c>
      <c r="N85">
        <f t="shared" si="62"/>
        <v>-1.5707963250000001</v>
      </c>
      <c r="O85">
        <f t="shared" si="63"/>
        <v>4.3339681582169325</v>
      </c>
      <c r="P85">
        <f t="shared" si="64"/>
        <v>1.33796288836769</v>
      </c>
      <c r="Q85">
        <f t="shared" si="65"/>
        <v>6.6320771465867638</v>
      </c>
      <c r="R85">
        <f t="shared" si="66"/>
        <v>1.4194367307079891</v>
      </c>
      <c r="S85">
        <f t="shared" si="67"/>
        <v>0.97835890259177605</v>
      </c>
      <c r="T85">
        <f t="shared" si="68"/>
        <v>-0.20842076291891293</v>
      </c>
      <c r="U85">
        <f t="shared" si="69"/>
        <v>0.99160186115662607</v>
      </c>
      <c r="V85">
        <f t="shared" si="70"/>
        <v>-0.12969132606987288</v>
      </c>
      <c r="X85">
        <f t="shared" si="87"/>
        <v>-0.75762954008269712</v>
      </c>
      <c r="Y85">
        <f t="shared" si="71"/>
        <v>-115.65511134670187</v>
      </c>
      <c r="Z85">
        <f t="shared" si="88"/>
        <v>64.344888653298128</v>
      </c>
      <c r="AC85">
        <v>1</v>
      </c>
      <c r="AD85">
        <f t="shared" si="72"/>
        <v>4.217022645948</v>
      </c>
      <c r="AE85">
        <f t="shared" si="73"/>
        <v>-1.013484802228625E-4</v>
      </c>
      <c r="AF85">
        <f t="shared" si="74"/>
        <v>7.7707294197749998E-4</v>
      </c>
      <c r="AG85">
        <f t="shared" si="89"/>
        <v>5171.0046955808593</v>
      </c>
      <c r="AH85">
        <f t="shared" si="90"/>
        <v>-1961.3003938136546</v>
      </c>
      <c r="AJ85">
        <f t="shared" si="75"/>
        <v>18000</v>
      </c>
      <c r="AK85">
        <f t="shared" si="76"/>
        <v>3806.8563095640002</v>
      </c>
      <c r="AL85">
        <v>1</v>
      </c>
      <c r="AM85">
        <f t="shared" si="77"/>
        <v>6.5562525331379993</v>
      </c>
      <c r="AN85">
        <f t="shared" si="91"/>
        <v>976.67957610294593</v>
      </c>
      <c r="AO85">
        <f t="shared" si="92"/>
        <v>-2596.5016353250867</v>
      </c>
      <c r="AQ85">
        <f t="shared" si="78"/>
        <v>3.8431975403535743</v>
      </c>
      <c r="AR85">
        <f t="shared" si="79"/>
        <v>-196.0030745580323</v>
      </c>
      <c r="AT85">
        <f t="shared" si="52"/>
        <v>-364547.71479214274</v>
      </c>
      <c r="AU85">
        <f t="shared" si="53"/>
        <v>-1021070.4837372694</v>
      </c>
      <c r="AV85">
        <f t="shared" si="93"/>
        <v>-1.9137157604347714</v>
      </c>
      <c r="AW85">
        <f t="shared" si="94"/>
        <v>-499033.61982496316</v>
      </c>
      <c r="AX85">
        <f t="shared" si="95"/>
        <v>-210550.18730717641</v>
      </c>
      <c r="AY85">
        <f t="shared" si="103"/>
        <v>-2.7423372176627985</v>
      </c>
      <c r="BA85">
        <f t="shared" si="80"/>
        <v>2.0017174484109388</v>
      </c>
      <c r="BB85">
        <f t="shared" si="96"/>
        <v>6.0280554962710298</v>
      </c>
      <c r="BC85">
        <f t="shared" si="97"/>
        <v>0.82862145722802705</v>
      </c>
      <c r="BD85">
        <f t="shared" si="81"/>
        <v>-132.52348763260417</v>
      </c>
      <c r="BF85">
        <f t="shared" si="82"/>
        <v>-0.72230460616307157</v>
      </c>
      <c r="BG85">
        <f t="shared" si="83"/>
        <v>-116.79356404030489</v>
      </c>
      <c r="BH85">
        <f t="shared" si="98"/>
        <v>63.206435959695114</v>
      </c>
      <c r="BI85">
        <f t="shared" si="99"/>
        <v>63.206435959695114</v>
      </c>
      <c r="BJ85">
        <f t="shared" si="84"/>
        <v>0</v>
      </c>
      <c r="BK85">
        <f t="shared" si="100"/>
        <v>0</v>
      </c>
      <c r="BM85">
        <f t="shared" si="101"/>
        <v>-6.7503601024341009</v>
      </c>
      <c r="BN85">
        <f t="shared" si="85"/>
        <v>-164.27007640770074</v>
      </c>
      <c r="BQ85" s="56">
        <f t="shared" si="102"/>
        <v>22.930016296556165</v>
      </c>
      <c r="BR85" s="59"/>
      <c r="BS85" s="59"/>
      <c r="BT85" s="59">
        <v>562.34100000000001</v>
      </c>
      <c r="BU85" s="59">
        <v>19.682300000000001</v>
      </c>
      <c r="BV85" s="59">
        <v>-264.60399999999998</v>
      </c>
      <c r="BW85" s="61"/>
      <c r="BY85" s="59"/>
      <c r="BZ85" s="59"/>
      <c r="CA85" s="59"/>
      <c r="CC85" s="59"/>
    </row>
    <row r="86" spans="1:81" x14ac:dyDescent="0.25">
      <c r="A86">
        <f t="shared" si="54"/>
        <v>26000</v>
      </c>
      <c r="B86">
        <f t="shared" si="86"/>
        <v>26</v>
      </c>
      <c r="C86">
        <f t="shared" si="55"/>
        <v>1.0229858960911447</v>
      </c>
      <c r="D86">
        <f t="shared" si="56"/>
        <v>0.21238677010721776</v>
      </c>
      <c r="F86">
        <f t="shared" si="57"/>
        <v>2.8811180975690426E-2</v>
      </c>
      <c r="G86">
        <f t="shared" si="58"/>
        <v>6.4775914935425449E-2</v>
      </c>
      <c r="H86">
        <f t="shared" si="59"/>
        <v>-3.0768167350645745</v>
      </c>
      <c r="J86">
        <f t="shared" si="60"/>
        <v>15</v>
      </c>
      <c r="M86">
        <f t="shared" si="61"/>
        <v>7.0118487652549286E-2</v>
      </c>
      <c r="N86">
        <f t="shared" si="62"/>
        <v>-1.5707963250000001</v>
      </c>
      <c r="O86">
        <f t="shared" si="63"/>
        <v>4.4144649301058676</v>
      </c>
      <c r="P86">
        <f t="shared" si="64"/>
        <v>1.3422847745147723</v>
      </c>
      <c r="Q86">
        <f t="shared" si="65"/>
        <v>6.7591891526238319</v>
      </c>
      <c r="R86">
        <f t="shared" si="66"/>
        <v>1.4223044848978157</v>
      </c>
      <c r="S86">
        <f t="shared" si="67"/>
        <v>0.97753058357991607</v>
      </c>
      <c r="T86">
        <f t="shared" si="68"/>
        <v>-0.21238677010721771</v>
      </c>
      <c r="U86">
        <f t="shared" si="69"/>
        <v>0.99127363430219162</v>
      </c>
      <c r="V86">
        <f t="shared" si="70"/>
        <v>-0.13220504446485501</v>
      </c>
      <c r="X86">
        <f t="shared" si="87"/>
        <v>-0.95097827680333269</v>
      </c>
      <c r="Y86">
        <f t="shared" si="71"/>
        <v>-115.46410771015505</v>
      </c>
      <c r="Z86">
        <f t="shared" si="88"/>
        <v>64.535892289844952</v>
      </c>
      <c r="AC86">
        <v>1</v>
      </c>
      <c r="AD86">
        <f t="shared" si="72"/>
        <v>4.2997093644959996</v>
      </c>
      <c r="AE86">
        <f t="shared" si="73"/>
        <v>-1.0536189562576708E-4</v>
      </c>
      <c r="AF86">
        <f t="shared" si="74"/>
        <v>7.9230966633000001E-4</v>
      </c>
      <c r="AG86">
        <f t="shared" si="89"/>
        <v>5167.5819877999847</v>
      </c>
      <c r="AH86">
        <f t="shared" si="90"/>
        <v>-1949.3214580988083</v>
      </c>
      <c r="AJ86">
        <f t="shared" si="75"/>
        <v>18000</v>
      </c>
      <c r="AK86">
        <f t="shared" si="76"/>
        <v>3881.5005509280004</v>
      </c>
      <c r="AL86">
        <v>1</v>
      </c>
      <c r="AM86">
        <f t="shared" si="77"/>
        <v>6.6848065043759988</v>
      </c>
      <c r="AN86">
        <f t="shared" si="91"/>
        <v>961.92414352465471</v>
      </c>
      <c r="AO86">
        <f t="shared" si="92"/>
        <v>-2548.7762204219234</v>
      </c>
      <c r="AQ86">
        <f t="shared" si="78"/>
        <v>3.6968576709796674</v>
      </c>
      <c r="AR86">
        <f t="shared" si="79"/>
        <v>-192.2365988909427</v>
      </c>
      <c r="AT86">
        <f t="shared" ref="AT86:AT149" si="104">-AR86*AH86+AG86*AQ86</f>
        <v>-355627.1121380335</v>
      </c>
      <c r="AU86">
        <f t="shared" ref="AU86:AU149" si="105">AQ86*AH86+AG86*AR86</f>
        <v>-1000604.7498103438</v>
      </c>
      <c r="AV86">
        <f t="shared" si="93"/>
        <v>-1.9122845244401687</v>
      </c>
      <c r="AW86">
        <f t="shared" si="94"/>
        <v>-480281.74124369724</v>
      </c>
      <c r="AX86">
        <f t="shared" si="95"/>
        <v>-203330.52180709486</v>
      </c>
      <c r="AY86">
        <f t="shared" si="103"/>
        <v>-2.7411146682149403</v>
      </c>
      <c r="BA86">
        <f t="shared" si="80"/>
        <v>2.0360926049332595</v>
      </c>
      <c r="BB86">
        <f t="shared" si="96"/>
        <v>6.1759505312208542</v>
      </c>
      <c r="BC86">
        <f t="shared" si="97"/>
        <v>0.8288301437747716</v>
      </c>
      <c r="BD86">
        <f t="shared" si="81"/>
        <v>-132.51153077422089</v>
      </c>
      <c r="BF86">
        <f t="shared" si="82"/>
        <v>-0.91361015583249605</v>
      </c>
      <c r="BG86">
        <f t="shared" si="83"/>
        <v>-116.63127866461785</v>
      </c>
      <c r="BH86">
        <f t="shared" si="98"/>
        <v>63.368721335382148</v>
      </c>
      <c r="BI86">
        <f t="shared" si="99"/>
        <v>63.368721335382148</v>
      </c>
      <c r="BJ86">
        <f t="shared" si="84"/>
        <v>0</v>
      </c>
      <c r="BK86">
        <f t="shared" si="100"/>
        <v>0</v>
      </c>
      <c r="BM86">
        <f t="shared" si="101"/>
        <v>-7.0895606870533499</v>
      </c>
      <c r="BN86">
        <f t="shared" si="85"/>
        <v>-164.11974789039698</v>
      </c>
      <c r="BQ86" s="56">
        <f t="shared" si="102"/>
        <v>23.077911331505987</v>
      </c>
      <c r="BR86" s="59"/>
      <c r="BS86" s="59"/>
      <c r="BT86" s="59">
        <v>575.44000000000005</v>
      </c>
      <c r="BU86" s="59">
        <v>19.596</v>
      </c>
      <c r="BV86" s="59">
        <v>-264.9076</v>
      </c>
      <c r="BW86" s="61"/>
      <c r="BY86" s="59"/>
      <c r="BZ86" s="59"/>
      <c r="CA86" s="59"/>
      <c r="CC86" s="59"/>
    </row>
    <row r="87" spans="1:81" x14ac:dyDescent="0.25">
      <c r="A87">
        <f t="shared" si="54"/>
        <v>26500</v>
      </c>
      <c r="B87">
        <f t="shared" si="86"/>
        <v>26.5</v>
      </c>
      <c r="C87">
        <f t="shared" si="55"/>
        <v>1.0238680615497604</v>
      </c>
      <c r="D87">
        <f t="shared" si="56"/>
        <v>0.21634600525321562</v>
      </c>
      <c r="F87">
        <f t="shared" si="57"/>
        <v>2.7706439509643681E-2</v>
      </c>
      <c r="G87">
        <f t="shared" si="58"/>
        <v>6.3488312405924299E-2</v>
      </c>
      <c r="H87">
        <f t="shared" si="59"/>
        <v>-3.078104337594076</v>
      </c>
      <c r="J87">
        <f t="shared" si="60"/>
        <v>15</v>
      </c>
      <c r="M87">
        <f t="shared" si="61"/>
        <v>6.8795497319482327E-2</v>
      </c>
      <c r="N87">
        <f t="shared" si="62"/>
        <v>-1.5707963250000001</v>
      </c>
      <c r="O87">
        <f t="shared" si="63"/>
        <v>4.4950412043361068</v>
      </c>
      <c r="P87">
        <f t="shared" si="64"/>
        <v>1.3464517914539407</v>
      </c>
      <c r="Q87">
        <f t="shared" si="65"/>
        <v>6.8863546939334324</v>
      </c>
      <c r="R87">
        <f t="shared" si="66"/>
        <v>1.4250663474477485</v>
      </c>
      <c r="S87">
        <f t="shared" si="67"/>
        <v>0.97668834252566394</v>
      </c>
      <c r="T87">
        <f t="shared" si="68"/>
        <v>-0.21634600525321557</v>
      </c>
      <c r="U87">
        <f t="shared" si="69"/>
        <v>0.99093936937582383</v>
      </c>
      <c r="V87">
        <f t="shared" si="70"/>
        <v>-0.13471708343451003</v>
      </c>
      <c r="X87">
        <f t="shared" si="87"/>
        <v>-1.1399571822767609</v>
      </c>
      <c r="Y87">
        <f t="shared" si="71"/>
        <v>-115.28481558003435</v>
      </c>
      <c r="Z87">
        <f t="shared" si="88"/>
        <v>64.715184419965652</v>
      </c>
      <c r="AC87">
        <v>1</v>
      </c>
      <c r="AD87">
        <f t="shared" si="72"/>
        <v>4.3823960830440001</v>
      </c>
      <c r="AE87">
        <f t="shared" si="73"/>
        <v>-1.0945324142484459E-4</v>
      </c>
      <c r="AF87">
        <f t="shared" si="74"/>
        <v>8.0754639068250005E-4</v>
      </c>
      <c r="AG87">
        <f t="shared" si="89"/>
        <v>5164.0974803610134</v>
      </c>
      <c r="AH87">
        <f t="shared" si="90"/>
        <v>-1938.2505157834084</v>
      </c>
      <c r="AJ87">
        <f t="shared" si="75"/>
        <v>18000</v>
      </c>
      <c r="AK87">
        <f t="shared" si="76"/>
        <v>3956.1447922920001</v>
      </c>
      <c r="AL87">
        <v>1</v>
      </c>
      <c r="AM87">
        <f t="shared" si="77"/>
        <v>6.813360475614</v>
      </c>
      <c r="AN87">
        <f t="shared" si="91"/>
        <v>947.9725317395762</v>
      </c>
      <c r="AO87">
        <f t="shared" si="92"/>
        <v>-2502.7337874301661</v>
      </c>
      <c r="AQ87">
        <f t="shared" si="78"/>
        <v>3.5587188612099645</v>
      </c>
      <c r="AR87">
        <f t="shared" si="79"/>
        <v>-188.61209964412811</v>
      </c>
      <c r="AT87">
        <f t="shared" si="104"/>
        <v>-347199.92831373535</v>
      </c>
      <c r="AU87">
        <f t="shared" si="105"/>
        <v>-980908.9572061107</v>
      </c>
      <c r="AV87">
        <f t="shared" si="93"/>
        <v>-1.9109922595486917</v>
      </c>
      <c r="AW87">
        <f t="shared" si="94"/>
        <v>-462546.94930641243</v>
      </c>
      <c r="AX87">
        <f t="shared" si="95"/>
        <v>-196554.62824414173</v>
      </c>
      <c r="AY87">
        <f t="shared" si="103"/>
        <v>-2.7397729603597081</v>
      </c>
      <c r="BA87">
        <f t="shared" si="80"/>
        <v>2.0704164776007117</v>
      </c>
      <c r="BB87">
        <f t="shared" si="96"/>
        <v>6.3211543075019154</v>
      </c>
      <c r="BC87">
        <f t="shared" si="97"/>
        <v>0.8287807008110164</v>
      </c>
      <c r="BD87">
        <f t="shared" si="81"/>
        <v>-132.5143636473739</v>
      </c>
      <c r="BF87">
        <f t="shared" si="82"/>
        <v>-1.1005262102665205</v>
      </c>
      <c r="BG87">
        <f t="shared" si="83"/>
        <v>-116.48103826426123</v>
      </c>
      <c r="BH87">
        <f t="shared" si="98"/>
        <v>63.51896173573877</v>
      </c>
      <c r="BI87">
        <f t="shared" si="99"/>
        <v>63.51896173573877</v>
      </c>
      <c r="BJ87">
        <f t="shared" si="84"/>
        <v>0</v>
      </c>
      <c r="BK87">
        <f t="shared" si="100"/>
        <v>0</v>
      </c>
      <c r="BM87">
        <f t="shared" si="101"/>
        <v>-7.4216805177684355</v>
      </c>
      <c r="BN87">
        <f t="shared" si="85"/>
        <v>-163.96667461688733</v>
      </c>
      <c r="BQ87" s="56">
        <f t="shared" si="102"/>
        <v>23.223115107787052</v>
      </c>
      <c r="BR87" s="59"/>
      <c r="BS87" s="59"/>
      <c r="BT87" s="59">
        <v>588.84400000000005</v>
      </c>
      <c r="BU87" s="59">
        <v>19.373200000000001</v>
      </c>
      <c r="BV87" s="59">
        <v>-263.88170000000002</v>
      </c>
      <c r="BW87" s="61"/>
      <c r="BY87" s="59"/>
      <c r="BZ87" s="59"/>
      <c r="CA87" s="59"/>
      <c r="CC87" s="59"/>
    </row>
    <row r="88" spans="1:81" x14ac:dyDescent="0.25">
      <c r="A88">
        <f t="shared" si="54"/>
        <v>27000</v>
      </c>
      <c r="B88">
        <f t="shared" si="86"/>
        <v>27</v>
      </c>
      <c r="C88">
        <f t="shared" si="55"/>
        <v>1.0247662489169245</v>
      </c>
      <c r="D88">
        <f t="shared" si="56"/>
        <v>0.2202983618820655</v>
      </c>
      <c r="F88">
        <f t="shared" si="57"/>
        <v>2.6664530508083668E-2</v>
      </c>
      <c r="G88">
        <f t="shared" si="58"/>
        <v>6.2252047593928279E-2</v>
      </c>
      <c r="H88">
        <f t="shared" si="59"/>
        <v>-3.0793406024060719</v>
      </c>
      <c r="J88">
        <f t="shared" si="60"/>
        <v>15</v>
      </c>
      <c r="M88">
        <f t="shared" si="61"/>
        <v>6.7521506628380801E-2</v>
      </c>
      <c r="N88">
        <f t="shared" si="62"/>
        <v>-1.5707963250000001</v>
      </c>
      <c r="O88">
        <f t="shared" si="63"/>
        <v>4.5756927808882306</v>
      </c>
      <c r="P88">
        <f t="shared" si="64"/>
        <v>1.3504719797262883</v>
      </c>
      <c r="Q88">
        <f t="shared" si="65"/>
        <v>7.0135708585151191</v>
      </c>
      <c r="R88">
        <f t="shared" si="66"/>
        <v>1.427728037202479</v>
      </c>
      <c r="S88">
        <f t="shared" si="67"/>
        <v>0.97583229449340281</v>
      </c>
      <c r="T88">
        <f t="shared" si="68"/>
        <v>-0.22029836188206545</v>
      </c>
      <c r="U88">
        <f t="shared" si="69"/>
        <v>0.99059908513302575</v>
      </c>
      <c r="V88">
        <f t="shared" si="70"/>
        <v>-0.13722741298982985</v>
      </c>
      <c r="X88">
        <f t="shared" si="87"/>
        <v>-1.3247741239875648</v>
      </c>
      <c r="Y88">
        <f t="shared" si="71"/>
        <v>-115.11663621446408</v>
      </c>
      <c r="Z88">
        <f t="shared" si="88"/>
        <v>64.88336378553592</v>
      </c>
      <c r="AC88">
        <v>1</v>
      </c>
      <c r="AD88">
        <f t="shared" si="72"/>
        <v>4.4650828015919997</v>
      </c>
      <c r="AE88">
        <f t="shared" si="73"/>
        <v>-1.1362251762009496E-4</v>
      </c>
      <c r="AF88">
        <f t="shared" si="74"/>
        <v>8.2278311503499997E-4</v>
      </c>
      <c r="AG88">
        <f t="shared" si="89"/>
        <v>5160.5514323639936</v>
      </c>
      <c r="AH88">
        <f t="shared" si="90"/>
        <v>-1928.0352465493934</v>
      </c>
      <c r="AJ88">
        <f t="shared" si="75"/>
        <v>18000</v>
      </c>
      <c r="AK88">
        <f t="shared" si="76"/>
        <v>4030.7890336560004</v>
      </c>
      <c r="AL88">
        <v>1</v>
      </c>
      <c r="AM88">
        <f t="shared" si="77"/>
        <v>6.9419144468519995</v>
      </c>
      <c r="AN88">
        <f t="shared" si="91"/>
        <v>934.76779692274374</v>
      </c>
      <c r="AO88">
        <f t="shared" si="92"/>
        <v>-2458.2890402540106</v>
      </c>
      <c r="AQ88">
        <f t="shared" si="78"/>
        <v>3.4281796366129584</v>
      </c>
      <c r="AR88">
        <f t="shared" si="79"/>
        <v>-185.12170037709976</v>
      </c>
      <c r="AT88">
        <f t="shared" si="104"/>
        <v>-339229.86589408037</v>
      </c>
      <c r="AU88">
        <f t="shared" si="105"/>
        <v>-961939.70721359283</v>
      </c>
      <c r="AV88">
        <f t="shared" si="93"/>
        <v>-1.9098316847853256</v>
      </c>
      <c r="AW88">
        <f t="shared" si="94"/>
        <v>-445757.61819432012</v>
      </c>
      <c r="AX88">
        <f t="shared" si="95"/>
        <v>-190185.97965883478</v>
      </c>
      <c r="AY88">
        <f t="shared" si="103"/>
        <v>-2.7383186446556143</v>
      </c>
      <c r="BA88">
        <f t="shared" si="80"/>
        <v>2.1046840136101634</v>
      </c>
      <c r="BB88">
        <f t="shared" si="96"/>
        <v>6.4637380466970695</v>
      </c>
      <c r="BC88">
        <f t="shared" si="97"/>
        <v>0.82848695987028864</v>
      </c>
      <c r="BD88">
        <f t="shared" si="81"/>
        <v>-132.53119376356705</v>
      </c>
      <c r="BF88">
        <f t="shared" si="82"/>
        <v>-1.2832616798061558</v>
      </c>
      <c r="BG88">
        <f t="shared" si="83"/>
        <v>-116.34224778240079</v>
      </c>
      <c r="BH88">
        <f t="shared" si="98"/>
        <v>63.65775221759921</v>
      </c>
      <c r="BI88">
        <f t="shared" si="99"/>
        <v>63.65775221759921</v>
      </c>
      <c r="BJ88">
        <f t="shared" si="84"/>
        <v>0</v>
      </c>
      <c r="BK88">
        <f t="shared" si="100"/>
        <v>0</v>
      </c>
      <c r="BM88">
        <f t="shared" si="101"/>
        <v>-7.7469997265032253</v>
      </c>
      <c r="BN88">
        <f t="shared" si="85"/>
        <v>-163.81105401883377</v>
      </c>
      <c r="BQ88" s="56">
        <f t="shared" si="102"/>
        <v>23.365698846982205</v>
      </c>
      <c r="BR88" s="59"/>
      <c r="BS88" s="59"/>
      <c r="BT88" s="59">
        <v>602.55999999999995</v>
      </c>
      <c r="BU88" s="59">
        <v>19.198</v>
      </c>
      <c r="BV88" s="59">
        <v>-264.00260000000003</v>
      </c>
      <c r="BW88" s="61"/>
      <c r="BY88" s="59"/>
      <c r="BZ88" s="59"/>
      <c r="CA88" s="59"/>
      <c r="CC88" s="59"/>
    </row>
    <row r="89" spans="1:81" x14ac:dyDescent="0.25">
      <c r="A89">
        <f t="shared" si="54"/>
        <v>27500</v>
      </c>
      <c r="B89">
        <f t="shared" si="86"/>
        <v>27.5</v>
      </c>
      <c r="C89">
        <f t="shared" si="55"/>
        <v>1.0256804161015272</v>
      </c>
      <c r="D89">
        <f t="shared" si="56"/>
        <v>0.22424373474812351</v>
      </c>
      <c r="F89">
        <f t="shared" si="57"/>
        <v>2.5680743688517291E-2</v>
      </c>
      <c r="G89">
        <f t="shared" si="58"/>
        <v>6.106405195004512E-2</v>
      </c>
      <c r="H89">
        <f t="shared" si="59"/>
        <v>-3.080528598049955</v>
      </c>
      <c r="J89">
        <f t="shared" si="60"/>
        <v>15</v>
      </c>
      <c r="M89">
        <f t="shared" si="61"/>
        <v>6.6293842871501155E-2</v>
      </c>
      <c r="N89">
        <f t="shared" si="62"/>
        <v>-1.5707963250000001</v>
      </c>
      <c r="O89">
        <f t="shared" si="63"/>
        <v>4.6564157469360925</v>
      </c>
      <c r="P89">
        <f t="shared" si="64"/>
        <v>1.354352842089106</v>
      </c>
      <c r="Q89">
        <f t="shared" si="65"/>
        <v>7.1408349407620468</v>
      </c>
      <c r="R89">
        <f t="shared" si="66"/>
        <v>1.4302948712454508</v>
      </c>
      <c r="S89">
        <f t="shared" si="67"/>
        <v>0.97496255588155334</v>
      </c>
      <c r="T89">
        <f t="shared" si="68"/>
        <v>-0.22424373474812345</v>
      </c>
      <c r="U89">
        <f t="shared" si="69"/>
        <v>0.99025280063214682</v>
      </c>
      <c r="V89">
        <f t="shared" si="70"/>
        <v>-0.13973600326878335</v>
      </c>
      <c r="X89">
        <f t="shared" si="87"/>
        <v>-1.5056225377715393</v>
      </c>
      <c r="Y89">
        <f t="shared" si="71"/>
        <v>-114.95900919463654</v>
      </c>
      <c r="Z89">
        <f t="shared" si="88"/>
        <v>65.040990805363464</v>
      </c>
      <c r="AC89">
        <v>1</v>
      </c>
      <c r="AD89">
        <f t="shared" si="72"/>
        <v>4.5477695201400001</v>
      </c>
      <c r="AE89">
        <f t="shared" si="73"/>
        <v>-1.1786972421151828E-4</v>
      </c>
      <c r="AF89">
        <f t="shared" si="74"/>
        <v>8.380198393874999E-4</v>
      </c>
      <c r="AG89">
        <f t="shared" si="89"/>
        <v>5156.9441069403838</v>
      </c>
      <c r="AH89">
        <f t="shared" si="90"/>
        <v>-1918.6271065306003</v>
      </c>
      <c r="AJ89">
        <f t="shared" si="75"/>
        <v>18000</v>
      </c>
      <c r="AK89">
        <f t="shared" si="76"/>
        <v>4105.4332750200001</v>
      </c>
      <c r="AL89">
        <v>1</v>
      </c>
      <c r="AM89">
        <f t="shared" si="77"/>
        <v>7.070468418089999</v>
      </c>
      <c r="AN89">
        <f t="shared" si="91"/>
        <v>922.25791555633452</v>
      </c>
      <c r="AO89">
        <f t="shared" si="92"/>
        <v>-2415.3621902545756</v>
      </c>
      <c r="AQ89">
        <f t="shared" si="78"/>
        <v>3.3046926635822866</v>
      </c>
      <c r="AR89">
        <f t="shared" si="79"/>
        <v>-181.75809649702578</v>
      </c>
      <c r="AT89">
        <f t="shared" si="104"/>
        <v>-331683.89541388839</v>
      </c>
      <c r="AU89">
        <f t="shared" si="105"/>
        <v>-943656.81754214037</v>
      </c>
      <c r="AV89">
        <f t="shared" si="93"/>
        <v>-1.9087959996964923</v>
      </c>
      <c r="AW89">
        <f t="shared" si="94"/>
        <v>-429848.26635636296</v>
      </c>
      <c r="AX89">
        <f t="shared" si="95"/>
        <v>-184191.71183232695</v>
      </c>
      <c r="AY89">
        <f t="shared" si="103"/>
        <v>-2.7367578139570403</v>
      </c>
      <c r="BA89">
        <f t="shared" si="80"/>
        <v>2.138890387150346</v>
      </c>
      <c r="BB89">
        <f t="shared" si="96"/>
        <v>6.6037705724447733</v>
      </c>
      <c r="BC89">
        <f t="shared" si="97"/>
        <v>0.82796181426054805</v>
      </c>
      <c r="BD89">
        <f t="shared" si="81"/>
        <v>-132.56128239066936</v>
      </c>
      <c r="BF89">
        <f t="shared" si="82"/>
        <v>-1.4620110529456847</v>
      </c>
      <c r="BG89">
        <f t="shared" si="83"/>
        <v>-116.21435033196649</v>
      </c>
      <c r="BH89">
        <f t="shared" si="98"/>
        <v>63.785649668033514</v>
      </c>
      <c r="BI89">
        <f t="shared" si="99"/>
        <v>63.785649668033514</v>
      </c>
      <c r="BJ89">
        <f t="shared" si="84"/>
        <v>0</v>
      </c>
      <c r="BK89">
        <f t="shared" si="100"/>
        <v>0</v>
      </c>
      <c r="BM89">
        <f t="shared" si="101"/>
        <v>-8.0657816253904588</v>
      </c>
      <c r="BN89">
        <f t="shared" si="85"/>
        <v>-163.65306794129711</v>
      </c>
      <c r="BQ89" s="56">
        <f t="shared" si="102"/>
        <v>23.505731372729912</v>
      </c>
      <c r="BR89" s="59"/>
      <c r="BS89" s="59"/>
      <c r="BT89" s="59">
        <v>616.59500000000003</v>
      </c>
      <c r="BU89" s="59">
        <v>18.983699999999999</v>
      </c>
      <c r="BV89" s="59">
        <v>-264.13310000000001</v>
      </c>
      <c r="BW89" s="61"/>
      <c r="BY89" s="59"/>
      <c r="BZ89" s="59"/>
      <c r="CA89" s="59"/>
      <c r="CC89" s="59"/>
    </row>
    <row r="90" spans="1:81" x14ac:dyDescent="0.25">
      <c r="A90">
        <f t="shared" si="54"/>
        <v>28000</v>
      </c>
      <c r="B90">
        <f t="shared" si="86"/>
        <v>28</v>
      </c>
      <c r="C90">
        <f t="shared" si="55"/>
        <v>1.0266105204148643</v>
      </c>
      <c r="D90">
        <f t="shared" si="56"/>
        <v>0.22818201984697678</v>
      </c>
      <c r="F90">
        <f t="shared" si="57"/>
        <v>2.4750804961634152E-2</v>
      </c>
      <c r="G90">
        <f t="shared" si="58"/>
        <v>5.9921500485289304E-2</v>
      </c>
      <c r="H90">
        <f t="shared" si="59"/>
        <v>-3.0816711495147109</v>
      </c>
      <c r="J90">
        <f t="shared" si="60"/>
        <v>15</v>
      </c>
      <c r="M90">
        <f t="shared" si="61"/>
        <v>6.5110024248795778E-2</v>
      </c>
      <c r="N90">
        <f t="shared" si="62"/>
        <v>-1.5707963250000001</v>
      </c>
      <c r="O90">
        <f t="shared" si="63"/>
        <v>4.7372064530063103</v>
      </c>
      <c r="P90">
        <f t="shared" si="64"/>
        <v>1.3581013869510592</v>
      </c>
      <c r="Q90">
        <f t="shared" si="65"/>
        <v>7.2681444235819788</v>
      </c>
      <c r="R90">
        <f t="shared" si="66"/>
        <v>1.4327717993350231</v>
      </c>
      <c r="S90">
        <f t="shared" si="67"/>
        <v>0.97407924438168558</v>
      </c>
      <c r="T90">
        <f t="shared" si="68"/>
        <v>-0.22818201984697675</v>
      </c>
      <c r="U90">
        <f t="shared" si="69"/>
        <v>0.98990053523149468</v>
      </c>
      <c r="V90">
        <f t="shared" si="70"/>
        <v>-0.14224282453826503</v>
      </c>
      <c r="X90">
        <f t="shared" si="87"/>
        <v>-1.6826827238006521</v>
      </c>
      <c r="Y90">
        <f t="shared" si="71"/>
        <v>-114.81140952441456</v>
      </c>
      <c r="Z90">
        <f t="shared" si="88"/>
        <v>65.188590475585443</v>
      </c>
      <c r="AC90">
        <v>1</v>
      </c>
      <c r="AD90">
        <f t="shared" si="72"/>
        <v>4.6304562386879997</v>
      </c>
      <c r="AE90">
        <f t="shared" si="73"/>
        <v>-1.2219486119911447E-4</v>
      </c>
      <c r="AF90">
        <f t="shared" si="74"/>
        <v>8.5325656374000004E-4</v>
      </c>
      <c r="AG90">
        <f t="shared" si="89"/>
        <v>5153.2757712055027</v>
      </c>
      <c r="AH90">
        <f t="shared" si="90"/>
        <v>-1909.980991461568</v>
      </c>
      <c r="AJ90">
        <f t="shared" si="75"/>
        <v>18000</v>
      </c>
      <c r="AK90">
        <f t="shared" si="76"/>
        <v>4180.0775163839999</v>
      </c>
      <c r="AL90">
        <v>1</v>
      </c>
      <c r="AM90">
        <f t="shared" si="77"/>
        <v>7.1990223893279994</v>
      </c>
      <c r="AN90">
        <f t="shared" si="91"/>
        <v>910.3952864197031</v>
      </c>
      <c r="AO90">
        <f t="shared" si="92"/>
        <v>-2373.8785336901201</v>
      </c>
      <c r="AQ90">
        <f t="shared" si="78"/>
        <v>3.1877590054191902</v>
      </c>
      <c r="AR90">
        <f t="shared" si="79"/>
        <v>-178.51450430347467</v>
      </c>
      <c r="AT90">
        <f t="shared" si="104"/>
        <v>-324531.90867275198</v>
      </c>
      <c r="AU90">
        <f t="shared" si="105"/>
        <v>-926023.02894156752</v>
      </c>
      <c r="AV90">
        <f t="shared" si="93"/>
        <v>-1.9078788460374463</v>
      </c>
      <c r="AW90">
        <f t="shared" si="94"/>
        <v>-414758.9400466822</v>
      </c>
      <c r="AX90">
        <f t="shared" si="95"/>
        <v>-178542.19632272961</v>
      </c>
      <c r="AY90">
        <f t="shared" si="103"/>
        <v>-2.7350961429666594</v>
      </c>
      <c r="BA90">
        <f t="shared" si="80"/>
        <v>2.1730309802674235</v>
      </c>
      <c r="BB90">
        <f t="shared" si="96"/>
        <v>6.7413183594825625</v>
      </c>
      <c r="BC90">
        <f t="shared" si="97"/>
        <v>0.82721729692921309</v>
      </c>
      <c r="BD90">
        <f t="shared" si="81"/>
        <v>-132.60394009157795</v>
      </c>
      <c r="BF90">
        <f t="shared" si="82"/>
        <v>-1.6369556918198334</v>
      </c>
      <c r="BG90">
        <f t="shared" si="83"/>
        <v>-116.09682429481549</v>
      </c>
      <c r="BH90">
        <f t="shared" si="98"/>
        <v>63.903175705184509</v>
      </c>
      <c r="BI90">
        <f t="shared" si="99"/>
        <v>63.903175705184509</v>
      </c>
      <c r="BJ90">
        <f t="shared" si="84"/>
        <v>0</v>
      </c>
      <c r="BK90">
        <f t="shared" si="100"/>
        <v>0</v>
      </c>
      <c r="BM90">
        <f t="shared" si="101"/>
        <v>-8.3782740513023963</v>
      </c>
      <c r="BN90">
        <f t="shared" si="85"/>
        <v>-163.49288420323751</v>
      </c>
      <c r="BQ90" s="56">
        <f t="shared" si="102"/>
        <v>23.643279159767697</v>
      </c>
      <c r="BR90" s="59"/>
      <c r="BS90" s="59"/>
      <c r="BT90" s="59">
        <v>630.95699999999999</v>
      </c>
      <c r="BU90" s="59">
        <v>18.802900000000001</v>
      </c>
      <c r="BV90" s="59">
        <v>-263.74850000000004</v>
      </c>
      <c r="BW90" s="61"/>
      <c r="BY90" s="59"/>
      <c r="BZ90" s="59"/>
      <c r="CA90" s="59"/>
      <c r="CC90" s="59"/>
    </row>
    <row r="91" spans="1:81" x14ac:dyDescent="0.25">
      <c r="A91">
        <f t="shared" si="54"/>
        <v>28500</v>
      </c>
      <c r="B91">
        <f t="shared" si="86"/>
        <v>28.5</v>
      </c>
      <c r="C91">
        <f t="shared" si="55"/>
        <v>1.0275565185799238</v>
      </c>
      <c r="D91">
        <f t="shared" si="56"/>
        <v>0.23211311442696705</v>
      </c>
      <c r="F91">
        <f t="shared" si="57"/>
        <v>2.387082854544632E-2</v>
      </c>
      <c r="G91">
        <f t="shared" si="58"/>
        <v>5.8821787779635579E-2</v>
      </c>
      <c r="H91">
        <f t="shared" si="59"/>
        <v>-3.0827708622203644</v>
      </c>
      <c r="J91">
        <f t="shared" si="60"/>
        <v>15</v>
      </c>
      <c r="M91">
        <f t="shared" si="61"/>
        <v>6.3967743121623913E-2</v>
      </c>
      <c r="N91">
        <f t="shared" si="62"/>
        <v>-1.5707963250000001</v>
      </c>
      <c r="O91">
        <f t="shared" si="63"/>
        <v>4.8180614914448023</v>
      </c>
      <c r="P91">
        <f t="shared" si="64"/>
        <v>1.3617241677431648</v>
      </c>
      <c r="Q91">
        <f t="shared" si="65"/>
        <v>7.3954969623363151</v>
      </c>
      <c r="R91">
        <f t="shared" si="66"/>
        <v>1.4351634348821312</v>
      </c>
      <c r="S91">
        <f t="shared" si="67"/>
        <v>0.97318247893750243</v>
      </c>
      <c r="T91">
        <f t="shared" si="68"/>
        <v>-0.232113114426967</v>
      </c>
      <c r="U91">
        <f t="shared" si="69"/>
        <v>0.98954230858640846</v>
      </c>
      <c r="V91">
        <f t="shared" si="70"/>
        <v>-0.14474784719602068</v>
      </c>
      <c r="X91">
        <f t="shared" si="87"/>
        <v>-1.8561230019556847</v>
      </c>
      <c r="Y91">
        <f t="shared" si="71"/>
        <v>-114.67334497437027</v>
      </c>
      <c r="Z91">
        <f t="shared" si="88"/>
        <v>65.326655025629734</v>
      </c>
      <c r="AC91">
        <v>1</v>
      </c>
      <c r="AD91">
        <f t="shared" si="72"/>
        <v>4.7131429572360002</v>
      </c>
      <c r="AE91">
        <f t="shared" si="73"/>
        <v>-1.2659792858288359E-4</v>
      </c>
      <c r="AF91">
        <f t="shared" si="74"/>
        <v>8.6849328809249996E-4</v>
      </c>
      <c r="AG91">
        <f t="shared" si="89"/>
        <v>5149.5466962104183</v>
      </c>
      <c r="AH91">
        <f t="shared" si="90"/>
        <v>-1902.0549352882629</v>
      </c>
      <c r="AJ91">
        <f t="shared" si="75"/>
        <v>18000</v>
      </c>
      <c r="AK91">
        <f t="shared" si="76"/>
        <v>4254.7217577480005</v>
      </c>
      <c r="AL91">
        <v>1</v>
      </c>
      <c r="AM91">
        <f t="shared" si="77"/>
        <v>7.3275763605659989</v>
      </c>
      <c r="AN91">
        <f t="shared" si="91"/>
        <v>899.13629000227729</v>
      </c>
      <c r="AO91">
        <f t="shared" si="92"/>
        <v>-2333.7680657997007</v>
      </c>
      <c r="AQ91">
        <f t="shared" si="78"/>
        <v>3.0769230769230771</v>
      </c>
      <c r="AR91">
        <f t="shared" si="79"/>
        <v>-175.38461538461539</v>
      </c>
      <c r="AT91">
        <f t="shared" si="104"/>
        <v>-317746.4142006787</v>
      </c>
      <c r="AU91">
        <f t="shared" si="105"/>
        <v>-909003.74344394496</v>
      </c>
      <c r="AV91">
        <f t="shared" si="93"/>
        <v>-1.9070742729852466</v>
      </c>
      <c r="AW91">
        <f t="shared" si="94"/>
        <v>-400434.66719830007</v>
      </c>
      <c r="AX91">
        <f t="shared" si="95"/>
        <v>-173210.66975257426</v>
      </c>
      <c r="AY91">
        <f t="shared" si="103"/>
        <v>-2.733338923791147</v>
      </c>
      <c r="BA91">
        <f t="shared" si="80"/>
        <v>2.2071013657541045</v>
      </c>
      <c r="BB91">
        <f t="shared" si="96"/>
        <v>6.8764455900725334</v>
      </c>
      <c r="BC91">
        <f t="shared" si="97"/>
        <v>0.82626465080590039</v>
      </c>
      <c r="BD91">
        <f t="shared" si="81"/>
        <v>-132.65852269387565</v>
      </c>
      <c r="BF91">
        <f t="shared" si="82"/>
        <v>-1.8082649870756129</v>
      </c>
      <c r="BG91">
        <f t="shared" si="83"/>
        <v>-115.98918066533847</v>
      </c>
      <c r="BH91">
        <f t="shared" si="98"/>
        <v>64.010819334661534</v>
      </c>
      <c r="BI91">
        <f t="shared" si="99"/>
        <v>64.010819334661534</v>
      </c>
      <c r="BJ91">
        <f t="shared" si="84"/>
        <v>0</v>
      </c>
      <c r="BK91">
        <f t="shared" si="100"/>
        <v>0</v>
      </c>
      <c r="BM91">
        <f t="shared" si="101"/>
        <v>-8.6847105771481452</v>
      </c>
      <c r="BN91">
        <f t="shared" si="85"/>
        <v>-163.33065797146284</v>
      </c>
      <c r="BQ91" s="56">
        <f t="shared" si="102"/>
        <v>23.77840639035767</v>
      </c>
      <c r="BR91" s="59"/>
      <c r="BS91" s="59"/>
      <c r="BT91" s="59">
        <v>645.654</v>
      </c>
      <c r="BU91" s="59">
        <v>18.598600000000001</v>
      </c>
      <c r="BV91" s="59">
        <v>-263.7636</v>
      </c>
      <c r="BW91" s="61"/>
      <c r="BY91" s="59"/>
      <c r="BZ91" s="59"/>
      <c r="CA91" s="59"/>
      <c r="CC91" s="59"/>
    </row>
    <row r="92" spans="1:81" x14ac:dyDescent="0.25">
      <c r="A92">
        <f t="shared" si="54"/>
        <v>29000</v>
      </c>
      <c r="B92">
        <f t="shared" si="86"/>
        <v>29</v>
      </c>
      <c r="C92">
        <f t="shared" si="55"/>
        <v>1.0285183667407434</v>
      </c>
      <c r="D92">
        <f t="shared" si="56"/>
        <v>0.23603691700020288</v>
      </c>
      <c r="F92">
        <f t="shared" si="57"/>
        <v>2.303727513643504E-2</v>
      </c>
      <c r="G92">
        <f t="shared" si="58"/>
        <v>5.776250679857714E-2</v>
      </c>
      <c r="H92">
        <f t="shared" si="59"/>
        <v>-3.083830143201423</v>
      </c>
      <c r="J92">
        <f t="shared" si="60"/>
        <v>15</v>
      </c>
      <c r="M92">
        <f t="shared" si="61"/>
        <v>6.2864850998837304E-2</v>
      </c>
      <c r="N92">
        <f t="shared" si="62"/>
        <v>-1.5707963250000001</v>
      </c>
      <c r="O92">
        <f t="shared" si="63"/>
        <v>4.8989776769373501</v>
      </c>
      <c r="P92">
        <f t="shared" si="64"/>
        <v>1.365227318653331</v>
      </c>
      <c r="Q92">
        <f t="shared" si="65"/>
        <v>7.5228903703860803</v>
      </c>
      <c r="R92">
        <f t="shared" si="66"/>
        <v>1.4374740828652628</v>
      </c>
      <c r="S92">
        <f t="shared" si="67"/>
        <v>0.97227237970371416</v>
      </c>
      <c r="T92">
        <f t="shared" si="68"/>
        <v>-0.23603691700020282</v>
      </c>
      <c r="U92">
        <f t="shared" si="69"/>
        <v>0.98917814064629739</v>
      </c>
      <c r="V92">
        <f t="shared" si="70"/>
        <v>-0.14725104177254963</v>
      </c>
      <c r="X92">
        <f t="shared" si="87"/>
        <v>-2.0261007442745358</v>
      </c>
      <c r="Y92">
        <f t="shared" si="71"/>
        <v>-114.54435364876734</v>
      </c>
      <c r="Z92">
        <f t="shared" si="88"/>
        <v>65.455646351232659</v>
      </c>
      <c r="AC92">
        <v>1</v>
      </c>
      <c r="AD92">
        <f t="shared" si="72"/>
        <v>4.7958296757839998</v>
      </c>
      <c r="AE92">
        <f t="shared" si="73"/>
        <v>-1.3107892636282564E-4</v>
      </c>
      <c r="AF92">
        <f t="shared" si="74"/>
        <v>8.8373001244499989E-4</v>
      </c>
      <c r="AG92">
        <f t="shared" si="89"/>
        <v>5145.7571568932626</v>
      </c>
      <c r="AH92">
        <f t="shared" si="90"/>
        <v>-1894.8098399607197</v>
      </c>
      <c r="AJ92">
        <f t="shared" si="75"/>
        <v>18000</v>
      </c>
      <c r="AK92">
        <f t="shared" si="76"/>
        <v>4329.3659991120003</v>
      </c>
      <c r="AL92">
        <v>1</v>
      </c>
      <c r="AM92">
        <f t="shared" si="77"/>
        <v>7.4561303318039984</v>
      </c>
      <c r="AN92">
        <f t="shared" si="91"/>
        <v>888.44089794876641</v>
      </c>
      <c r="AO92">
        <f t="shared" si="92"/>
        <v>-2294.9651280989769</v>
      </c>
      <c r="AQ92">
        <f t="shared" si="78"/>
        <v>2.9717682020802378</v>
      </c>
      <c r="AR92">
        <f t="shared" si="79"/>
        <v>-172.3625557206538</v>
      </c>
      <c r="AT92">
        <f t="shared" si="104"/>
        <v>-311302.26912579045</v>
      </c>
      <c r="AU92">
        <f t="shared" si="105"/>
        <v>-892566.79031135212</v>
      </c>
      <c r="AV92">
        <f t="shared" si="93"/>
        <v>-1.906376705514482</v>
      </c>
      <c r="AW92">
        <f t="shared" si="94"/>
        <v>-386824.97269380174</v>
      </c>
      <c r="AX92">
        <f t="shared" si="95"/>
        <v>-168172.91113019644</v>
      </c>
      <c r="AY92">
        <f t="shared" si="103"/>
        <v>-2.7314910979607792</v>
      </c>
      <c r="BA92">
        <f t="shared" si="80"/>
        <v>2.2410972918222094</v>
      </c>
      <c r="BB92">
        <f t="shared" si="96"/>
        <v>7.0092142157913093</v>
      </c>
      <c r="BC92">
        <f t="shared" si="97"/>
        <v>0.82511439244629714</v>
      </c>
      <c r="BD92">
        <f t="shared" si="81"/>
        <v>-132.72442764330586</v>
      </c>
      <c r="BF92">
        <f t="shared" si="82"/>
        <v>-1.9760973898171459</v>
      </c>
      <c r="BG92">
        <f t="shared" si="83"/>
        <v>-115.89096061702527</v>
      </c>
      <c r="BH92">
        <f t="shared" si="98"/>
        <v>64.109039382974728</v>
      </c>
      <c r="BI92">
        <f t="shared" si="99"/>
        <v>64.109039382974728</v>
      </c>
      <c r="BJ92">
        <f t="shared" si="84"/>
        <v>0</v>
      </c>
      <c r="BK92">
        <f t="shared" si="100"/>
        <v>0</v>
      </c>
      <c r="BM92">
        <f t="shared" si="101"/>
        <v>-8.9853116056084552</v>
      </c>
      <c r="BN92">
        <f t="shared" si="85"/>
        <v>-163.16653297371943</v>
      </c>
      <c r="BQ92" s="56">
        <f t="shared" si="102"/>
        <v>23.911175016076449</v>
      </c>
      <c r="BR92" s="59"/>
      <c r="BS92" s="59"/>
      <c r="BT92" s="59">
        <v>660.69299999999998</v>
      </c>
      <c r="BU92" s="59">
        <v>18.468</v>
      </c>
      <c r="BV92" s="59">
        <v>-263.60980000000001</v>
      </c>
      <c r="BW92" s="61"/>
      <c r="BY92" s="59"/>
      <c r="BZ92" s="59"/>
      <c r="CA92" s="59"/>
      <c r="CC92" s="59"/>
    </row>
    <row r="93" spans="1:81" x14ac:dyDescent="0.25">
      <c r="A93">
        <f t="shared" si="54"/>
        <v>29500</v>
      </c>
      <c r="B93">
        <f t="shared" si="86"/>
        <v>29.5</v>
      </c>
      <c r="C93">
        <f t="shared" si="55"/>
        <v>1.0294960204718315</v>
      </c>
      <c r="D93">
        <f t="shared" si="56"/>
        <v>0.23995332735306185</v>
      </c>
      <c r="F93">
        <f t="shared" si="57"/>
        <v>2.2246915273243142E-2</v>
      </c>
      <c r="G93">
        <f t="shared" si="58"/>
        <v>5.6741430138829853E-2</v>
      </c>
      <c r="H93">
        <f t="shared" si="59"/>
        <v>-3.0848512198611702</v>
      </c>
      <c r="J93">
        <f t="shared" si="60"/>
        <v>15</v>
      </c>
      <c r="M93">
        <f t="shared" si="61"/>
        <v>6.1799345049704468E-2</v>
      </c>
      <c r="N93">
        <f t="shared" si="62"/>
        <v>-1.5707963250000001</v>
      </c>
      <c r="O93">
        <f t="shared" si="63"/>
        <v>4.979952028861935</v>
      </c>
      <c r="P93">
        <f t="shared" si="64"/>
        <v>1.36861658710273</v>
      </c>
      <c r="Q93">
        <f t="shared" si="65"/>
        <v>7.6503226060612439</v>
      </c>
      <c r="R93">
        <f t="shared" si="66"/>
        <v>1.4397077650279737</v>
      </c>
      <c r="S93">
        <f t="shared" si="67"/>
        <v>0.97134906800483489</v>
      </c>
      <c r="T93">
        <f t="shared" si="68"/>
        <v>-0.2399533273530618</v>
      </c>
      <c r="U93">
        <f t="shared" si="69"/>
        <v>0.98880805165164154</v>
      </c>
      <c r="V93">
        <f t="shared" si="70"/>
        <v>-0.14975237893298263</v>
      </c>
      <c r="X93">
        <f t="shared" si="87"/>
        <v>-2.1927632996524169</v>
      </c>
      <c r="Y93">
        <f t="shared" si="71"/>
        <v>-114.42400175574029</v>
      </c>
      <c r="Z93">
        <f t="shared" si="88"/>
        <v>65.575998244259708</v>
      </c>
      <c r="AC93">
        <v>1</v>
      </c>
      <c r="AD93">
        <f t="shared" si="72"/>
        <v>4.8785163943319994</v>
      </c>
      <c r="AE93">
        <f t="shared" si="73"/>
        <v>-1.3563785453894051E-4</v>
      </c>
      <c r="AF93">
        <f t="shared" si="74"/>
        <v>8.9896673679750003E-4</v>
      </c>
      <c r="AG93">
        <f t="shared" si="89"/>
        <v>5141.9074320300551</v>
      </c>
      <c r="AH93">
        <f t="shared" si="90"/>
        <v>-1888.2092327079638</v>
      </c>
      <c r="AJ93">
        <f t="shared" si="75"/>
        <v>18000</v>
      </c>
      <c r="AK93">
        <f t="shared" si="76"/>
        <v>4404.010240476</v>
      </c>
      <c r="AL93">
        <v>1</v>
      </c>
      <c r="AM93">
        <f t="shared" si="77"/>
        <v>7.5846843030419997</v>
      </c>
      <c r="AN93">
        <f t="shared" si="91"/>
        <v>878.27232619143228</v>
      </c>
      <c r="AO93">
        <f t="shared" si="92"/>
        <v>-2257.4080857843396</v>
      </c>
      <c r="AQ93">
        <f t="shared" si="78"/>
        <v>2.8719126938541066</v>
      </c>
      <c r="AR93">
        <f t="shared" si="79"/>
        <v>-169.44284893739231</v>
      </c>
      <c r="AT93">
        <f t="shared" si="104"/>
        <v>-305176.44255525508</v>
      </c>
      <c r="AU93">
        <f t="shared" si="105"/>
        <v>-876682.21631958999</v>
      </c>
      <c r="AV93">
        <f t="shared" si="93"/>
        <v>-1.9057809156136407</v>
      </c>
      <c r="AW93">
        <f t="shared" si="94"/>
        <v>-373883.44733921316</v>
      </c>
      <c r="AX93">
        <f t="shared" si="95"/>
        <v>-163406.96030029232</v>
      </c>
      <c r="AY93">
        <f t="shared" si="103"/>
        <v>-2.7295572853141623</v>
      </c>
      <c r="BA93">
        <f t="shared" si="80"/>
        <v>2.2750146683506887</v>
      </c>
      <c r="BB93">
        <f t="shared" si="96"/>
        <v>7.1396840230558194</v>
      </c>
      <c r="BC93">
        <f t="shared" si="97"/>
        <v>0.82377636970052159</v>
      </c>
      <c r="BD93">
        <f t="shared" si="81"/>
        <v>-132.8010906996189</v>
      </c>
      <c r="BF93">
        <f t="shared" si="82"/>
        <v>-2.140601335799956</v>
      </c>
      <c r="BG93">
        <f t="shared" si="83"/>
        <v>-115.80173327225143</v>
      </c>
      <c r="BH93">
        <f t="shared" si="98"/>
        <v>64.198266727748575</v>
      </c>
      <c r="BI93">
        <f t="shared" si="99"/>
        <v>64.198266727748575</v>
      </c>
      <c r="BJ93">
        <f t="shared" si="84"/>
        <v>0</v>
      </c>
      <c r="BK93">
        <f t="shared" si="100"/>
        <v>0</v>
      </c>
      <c r="BM93">
        <f t="shared" si="101"/>
        <v>-9.2802853588557745</v>
      </c>
      <c r="BN93">
        <f t="shared" si="85"/>
        <v>-163.00064257263253</v>
      </c>
      <c r="BQ93" s="56">
        <f t="shared" si="102"/>
        <v>24.041644823340956</v>
      </c>
      <c r="BR93" s="59"/>
      <c r="BS93" s="59"/>
      <c r="BT93" s="59">
        <v>676.08299999999997</v>
      </c>
      <c r="BU93" s="59">
        <v>18.2744</v>
      </c>
      <c r="BV93" s="59">
        <v>-263.3252</v>
      </c>
      <c r="BW93" s="61"/>
      <c r="BY93" s="59"/>
      <c r="BZ93" s="59"/>
      <c r="CA93" s="59"/>
      <c r="CC93" s="59"/>
    </row>
    <row r="94" spans="1:81" x14ac:dyDescent="0.25">
      <c r="A94">
        <f t="shared" si="54"/>
        <v>30000</v>
      </c>
      <c r="B94">
        <f t="shared" si="86"/>
        <v>30</v>
      </c>
      <c r="C94">
        <f t="shared" si="55"/>
        <v>1.0304894347876488</v>
      </c>
      <c r="D94">
        <f t="shared" si="56"/>
        <v>0.24386224655618216</v>
      </c>
      <c r="F94">
        <f t="shared" si="57"/>
        <v>2.1496797165448805E-2</v>
      </c>
      <c r="G94">
        <f t="shared" si="58"/>
        <v>5.5756493381952855E-2</v>
      </c>
      <c r="H94">
        <f t="shared" si="59"/>
        <v>-3.0858361566180474</v>
      </c>
      <c r="J94">
        <f t="shared" si="60"/>
        <v>15</v>
      </c>
      <c r="M94">
        <f t="shared" si="61"/>
        <v>6.0769355965542712E-2</v>
      </c>
      <c r="N94">
        <f t="shared" si="62"/>
        <v>-1.5707963250000001</v>
      </c>
      <c r="O94">
        <f t="shared" si="63"/>
        <v>5.0609817552773499</v>
      </c>
      <c r="P94">
        <f t="shared" si="64"/>
        <v>1.3718973632989431</v>
      </c>
      <c r="Q94">
        <f t="shared" si="65"/>
        <v>7.7777917608931846</v>
      </c>
      <c r="R94">
        <f t="shared" si="66"/>
        <v>1.4418682426607083</v>
      </c>
      <c r="S94">
        <f t="shared" si="67"/>
        <v>0.97041266629392309</v>
      </c>
      <c r="T94">
        <f t="shared" si="68"/>
        <v>-0.24386224655618211</v>
      </c>
      <c r="U94">
        <f t="shared" si="69"/>
        <v>0.98843206213096035</v>
      </c>
      <c r="V94">
        <f t="shared" si="70"/>
        <v>-0.1522518294789364</v>
      </c>
      <c r="X94">
        <f t="shared" si="87"/>
        <v>-2.3562488238538362</v>
      </c>
      <c r="Y94">
        <f t="shared" si="71"/>
        <v>-114.31188156259525</v>
      </c>
      <c r="Z94">
        <f t="shared" si="88"/>
        <v>65.688118437404754</v>
      </c>
      <c r="AC94">
        <v>1</v>
      </c>
      <c r="AD94">
        <f t="shared" si="72"/>
        <v>4.9612031128799998</v>
      </c>
      <c r="AE94">
        <f t="shared" si="73"/>
        <v>-1.4027471311122834E-4</v>
      </c>
      <c r="AF94">
        <f t="shared" si="74"/>
        <v>9.1420346114999996E-4</v>
      </c>
      <c r="AG94">
        <f t="shared" si="89"/>
        <v>5137.9978041849572</v>
      </c>
      <c r="AH94">
        <f t="shared" si="90"/>
        <v>-1882.219047588831</v>
      </c>
      <c r="AJ94">
        <f t="shared" si="75"/>
        <v>18000</v>
      </c>
      <c r="AK94">
        <f t="shared" si="76"/>
        <v>4478.6544818399998</v>
      </c>
      <c r="AL94">
        <v>1</v>
      </c>
      <c r="AM94">
        <f t="shared" si="77"/>
        <v>7.7132382742799992</v>
      </c>
      <c r="AN94">
        <f t="shared" si="91"/>
        <v>868.59672630896887</v>
      </c>
      <c r="AO94">
        <f t="shared" si="92"/>
        <v>-2221.039032440649</v>
      </c>
      <c r="AQ94">
        <f t="shared" si="78"/>
        <v>2.7770063871146902</v>
      </c>
      <c r="AR94">
        <f t="shared" si="79"/>
        <v>-166.62038322688142</v>
      </c>
      <c r="AT94">
        <f t="shared" si="104"/>
        <v>-299347.80630698387</v>
      </c>
      <c r="AU94">
        <f t="shared" si="105"/>
        <v>-861322.09746927593</v>
      </c>
      <c r="AV94">
        <f t="shared" si="93"/>
        <v>-1.9052819960558456</v>
      </c>
      <c r="AW94">
        <f t="shared" si="94"/>
        <v>-361567.36390492128</v>
      </c>
      <c r="AX94">
        <f t="shared" si="95"/>
        <v>-158892.87170461816</v>
      </c>
      <c r="AY94">
        <f t="shared" si="103"/>
        <v>-2.7275418100984075</v>
      </c>
      <c r="BA94">
        <f t="shared" si="80"/>
        <v>2.3088495545283845</v>
      </c>
      <c r="BB94">
        <f t="shared" si="96"/>
        <v>7.2679127010735769</v>
      </c>
      <c r="BC94">
        <f t="shared" si="97"/>
        <v>0.82225981404256188</v>
      </c>
      <c r="BD94">
        <f t="shared" si="81"/>
        <v>-132.88798293831599</v>
      </c>
      <c r="BF94">
        <f t="shared" si="82"/>
        <v>-2.3019160749350585</v>
      </c>
      <c r="BG94">
        <f t="shared" si="83"/>
        <v>-115.721093657217</v>
      </c>
      <c r="BH94">
        <f t="shared" si="98"/>
        <v>64.278906342783003</v>
      </c>
      <c r="BI94">
        <f t="shared" si="99"/>
        <v>64.278906342783003</v>
      </c>
      <c r="BJ94">
        <f t="shared" si="84"/>
        <v>0</v>
      </c>
      <c r="BK94">
        <f t="shared" si="100"/>
        <v>0</v>
      </c>
      <c r="BM94">
        <f t="shared" si="101"/>
        <v>-9.5698287760086362</v>
      </c>
      <c r="BN94">
        <f t="shared" si="85"/>
        <v>-162.83311071890103</v>
      </c>
      <c r="BQ94" s="56">
        <f t="shared" si="102"/>
        <v>24.169873501358712</v>
      </c>
      <c r="BR94" s="59"/>
      <c r="BS94" s="59"/>
      <c r="BT94" s="59">
        <v>691.83100000000002</v>
      </c>
      <c r="BU94" s="59">
        <v>18.092600000000001</v>
      </c>
      <c r="BV94" s="59">
        <v>-263.57819999999998</v>
      </c>
      <c r="BW94" s="61"/>
      <c r="BY94" s="59"/>
      <c r="BZ94" s="59"/>
      <c r="CA94" s="59"/>
      <c r="CC94" s="59"/>
    </row>
    <row r="95" spans="1:81" x14ac:dyDescent="0.25">
      <c r="A95">
        <f t="shared" si="54"/>
        <v>30500</v>
      </c>
      <c r="B95">
        <f t="shared" si="86"/>
        <v>30.5</v>
      </c>
      <c r="C95">
        <f t="shared" si="55"/>
        <v>1.0314985641521446</v>
      </c>
      <c r="D95">
        <f t="shared" si="56"/>
        <v>0.24776357697394499</v>
      </c>
      <c r="F95">
        <f t="shared" si="57"/>
        <v>2.0784218373149539E-2</v>
      </c>
      <c r="G95">
        <f t="shared" si="58"/>
        <v>5.4805780282568183E-2</v>
      </c>
      <c r="H95">
        <f t="shared" si="59"/>
        <v>-3.0867868697174319</v>
      </c>
      <c r="J95">
        <f t="shared" si="60"/>
        <v>15</v>
      </c>
      <c r="M95">
        <f t="shared" si="61"/>
        <v>5.9773137015287921E-2</v>
      </c>
      <c r="N95">
        <f t="shared" si="62"/>
        <v>-1.5707963250000001</v>
      </c>
      <c r="O95">
        <f t="shared" si="63"/>
        <v>5.1420642383757498</v>
      </c>
      <c r="P95">
        <f t="shared" si="64"/>
        <v>1.3750747071628571</v>
      </c>
      <c r="Q95">
        <f t="shared" si="65"/>
        <v>7.9052960489703503</v>
      </c>
      <c r="R95">
        <f t="shared" si="66"/>
        <v>1.4439590372312276</v>
      </c>
      <c r="S95">
        <f t="shared" si="67"/>
        <v>0.96946329811129184</v>
      </c>
      <c r="T95">
        <f t="shared" si="68"/>
        <v>-0.24776357697394494</v>
      </c>
      <c r="U95">
        <f t="shared" si="69"/>
        <v>0.98805019289774754</v>
      </c>
      <c r="V95">
        <f t="shared" si="70"/>
        <v>-0.15474936435034337</v>
      </c>
      <c r="X95">
        <f t="shared" si="87"/>
        <v>-2.5166870261069683</v>
      </c>
      <c r="Y95">
        <f t="shared" si="71"/>
        <v>-114.20760951973335</v>
      </c>
      <c r="Z95">
        <f t="shared" si="88"/>
        <v>65.792390480266647</v>
      </c>
      <c r="AC95">
        <v>1</v>
      </c>
      <c r="AD95">
        <f t="shared" si="72"/>
        <v>5.0438898314279994</v>
      </c>
      <c r="AE95">
        <f t="shared" si="73"/>
        <v>-1.4498950207968907E-4</v>
      </c>
      <c r="AF95">
        <f t="shared" si="74"/>
        <v>9.2944018550249988E-4</v>
      </c>
      <c r="AG95">
        <f t="shared" si="89"/>
        <v>5134.0285596600452</v>
      </c>
      <c r="AH95">
        <f t="shared" si="90"/>
        <v>-1876.8074285328189</v>
      </c>
      <c r="AJ95">
        <f t="shared" si="75"/>
        <v>18000</v>
      </c>
      <c r="AK95">
        <f t="shared" si="76"/>
        <v>4553.2987232039995</v>
      </c>
      <c r="AL95">
        <v>1</v>
      </c>
      <c r="AM95">
        <f t="shared" si="77"/>
        <v>7.8417922455179987</v>
      </c>
      <c r="AN95">
        <f t="shared" si="91"/>
        <v>859.38291040236652</v>
      </c>
      <c r="AO95">
        <f t="shared" si="92"/>
        <v>-2185.8035195199677</v>
      </c>
      <c r="AQ95">
        <f t="shared" si="78"/>
        <v>2.6867275658248255</v>
      </c>
      <c r="AR95">
        <f t="shared" si="79"/>
        <v>-163.89038151531435</v>
      </c>
      <c r="AT95">
        <f t="shared" si="104"/>
        <v>-293796.94943804917</v>
      </c>
      <c r="AU95">
        <f t="shared" si="105"/>
        <v>-846460.36960718862</v>
      </c>
      <c r="AV95">
        <f t="shared" si="93"/>
        <v>-1.9048753364692741</v>
      </c>
      <c r="AW95">
        <f t="shared" si="94"/>
        <v>-349837.33449767128</v>
      </c>
      <c r="AX95">
        <f t="shared" si="95"/>
        <v>-154612.49853478954</v>
      </c>
      <c r="AY95">
        <f t="shared" si="103"/>
        <v>-2.7254487245912484</v>
      </c>
      <c r="BA95">
        <f t="shared" si="80"/>
        <v>2.3425981477342259</v>
      </c>
      <c r="BB95">
        <f t="shared" si="96"/>
        <v>7.3939559111659561</v>
      </c>
      <c r="BC95">
        <f t="shared" si="97"/>
        <v>0.82057338812197433</v>
      </c>
      <c r="BD95">
        <f t="shared" si="81"/>
        <v>-132.98460802613752</v>
      </c>
      <c r="BF95">
        <f t="shared" si="82"/>
        <v>-2.4601724173736277</v>
      </c>
      <c r="BG95">
        <f t="shared" si="83"/>
        <v>-115.64866082554407</v>
      </c>
      <c r="BH95">
        <f t="shared" si="98"/>
        <v>64.35133917445593</v>
      </c>
      <c r="BI95">
        <f t="shared" si="99"/>
        <v>64.35133917445593</v>
      </c>
      <c r="BJ95">
        <f t="shared" si="84"/>
        <v>0</v>
      </c>
      <c r="BK95">
        <f t="shared" si="100"/>
        <v>0</v>
      </c>
      <c r="BM95">
        <f t="shared" si="101"/>
        <v>-9.8541283285395824</v>
      </c>
      <c r="BN95">
        <f t="shared" si="85"/>
        <v>-162.66405279940656</v>
      </c>
      <c r="BQ95" s="56">
        <f t="shared" si="102"/>
        <v>24.295916711451092</v>
      </c>
      <c r="BR95" s="59"/>
      <c r="BS95" s="59"/>
      <c r="BT95" s="59">
        <v>707.94600000000003</v>
      </c>
      <c r="BU95" s="59">
        <v>17.887</v>
      </c>
      <c r="BV95" s="59">
        <v>-262.84989999999999</v>
      </c>
      <c r="BW95" s="61"/>
      <c r="BY95" s="59"/>
      <c r="BZ95" s="59"/>
      <c r="CA95" s="59"/>
      <c r="CC95" s="59"/>
    </row>
    <row r="96" spans="1:81" x14ac:dyDescent="0.25">
      <c r="A96">
        <f t="shared" si="54"/>
        <v>31000</v>
      </c>
      <c r="B96">
        <f t="shared" si="86"/>
        <v>31</v>
      </c>
      <c r="C96">
        <f t="shared" si="55"/>
        <v>1.0325233624883468</v>
      </c>
      <c r="D96">
        <f t="shared" si="56"/>
        <v>0.25165722227344905</v>
      </c>
      <c r="F96">
        <f t="shared" si="57"/>
        <v>2.0106700816962298E-2</v>
      </c>
      <c r="G96">
        <f t="shared" si="58"/>
        <v>5.3887509557848504E-2</v>
      </c>
      <c r="H96">
        <f t="shared" si="59"/>
        <v>-3.0877051404421518</v>
      </c>
      <c r="J96">
        <f t="shared" si="60"/>
        <v>15</v>
      </c>
      <c r="M96">
        <f t="shared" si="61"/>
        <v>5.8809054160202628E-2</v>
      </c>
      <c r="N96">
        <f t="shared" si="62"/>
        <v>-1.5707963250000001</v>
      </c>
      <c r="O96">
        <f t="shared" si="63"/>
        <v>5.2231970212470289</v>
      </c>
      <c r="P96">
        <f t="shared" si="64"/>
        <v>1.3781533728929838</v>
      </c>
      <c r="Q96">
        <f t="shared" si="65"/>
        <v>8.0328337972944936</v>
      </c>
      <c r="R96">
        <f t="shared" si="66"/>
        <v>1.4459834490956172</v>
      </c>
      <c r="S96">
        <f t="shared" si="67"/>
        <v>0.96850108804321233</v>
      </c>
      <c r="T96">
        <f t="shared" si="68"/>
        <v>-0.251657222273449</v>
      </c>
      <c r="U96">
        <f t="shared" si="69"/>
        <v>0.9876624650473711</v>
      </c>
      <c r="V96">
        <f t="shared" si="70"/>
        <v>-0.15724495462725702</v>
      </c>
      <c r="X96">
        <f t="shared" si="87"/>
        <v>-2.6741998420338229</v>
      </c>
      <c r="Y96">
        <f t="shared" si="71"/>
        <v>-114.11082453816707</v>
      </c>
      <c r="Z96">
        <f t="shared" si="88"/>
        <v>65.889175461832934</v>
      </c>
      <c r="AC96">
        <v>1</v>
      </c>
      <c r="AD96">
        <f t="shared" si="72"/>
        <v>5.1265765499759999</v>
      </c>
      <c r="AE96">
        <f t="shared" si="73"/>
        <v>-1.4978222144432276E-4</v>
      </c>
      <c r="AF96">
        <f t="shared" si="74"/>
        <v>9.4467690985500002E-4</v>
      </c>
      <c r="AG96">
        <f t="shared" si="89"/>
        <v>5129.9999884446024</v>
      </c>
      <c r="AH96">
        <f t="shared" si="90"/>
        <v>-1871.9445514445933</v>
      </c>
      <c r="AJ96">
        <f t="shared" si="75"/>
        <v>18000</v>
      </c>
      <c r="AK96">
        <f t="shared" si="76"/>
        <v>4627.9429645680002</v>
      </c>
      <c r="AL96">
        <v>1</v>
      </c>
      <c r="AM96">
        <f t="shared" si="77"/>
        <v>7.970346216756</v>
      </c>
      <c r="AN96">
        <f t="shared" si="91"/>
        <v>850.60210541678043</v>
      </c>
      <c r="AO96">
        <f t="shared" si="92"/>
        <v>-2151.650308305324</v>
      </c>
      <c r="AQ96">
        <f t="shared" si="78"/>
        <v>2.6007802340702209</v>
      </c>
      <c r="AR96">
        <f t="shared" si="79"/>
        <v>-161.24837451235371</v>
      </c>
      <c r="AT96">
        <f t="shared" si="104"/>
        <v>-288506.01352697058</v>
      </c>
      <c r="AU96">
        <f t="shared" si="105"/>
        <v>-832072.67577375798</v>
      </c>
      <c r="AV96">
        <f t="shared" si="93"/>
        <v>-1.90455660148043</v>
      </c>
      <c r="AW96">
        <f t="shared" si="94"/>
        <v>-338657.00429552497</v>
      </c>
      <c r="AX96">
        <f t="shared" si="95"/>
        <v>-150549.30310911094</v>
      </c>
      <c r="AY96">
        <f t="shared" si="103"/>
        <v>-2.7232818305138218</v>
      </c>
      <c r="BA96">
        <f t="shared" si="80"/>
        <v>2.3762567735175026</v>
      </c>
      <c r="BB96">
        <f t="shared" si="96"/>
        <v>7.5178673566248087</v>
      </c>
      <c r="BC96">
        <f t="shared" si="97"/>
        <v>0.81872522903339173</v>
      </c>
      <c r="BD96">
        <f t="shared" si="81"/>
        <v>-133.09049974190305</v>
      </c>
      <c r="BF96">
        <f t="shared" si="82"/>
        <v>-2.6154934059259833</v>
      </c>
      <c r="BG96">
        <f t="shared" si="83"/>
        <v>-115.58407613550912</v>
      </c>
      <c r="BH96">
        <f t="shared" si="98"/>
        <v>64.415923864490878</v>
      </c>
      <c r="BI96">
        <f t="shared" si="99"/>
        <v>64.415923864490878</v>
      </c>
      <c r="BJ96">
        <f t="shared" si="84"/>
        <v>0</v>
      </c>
      <c r="BK96">
        <f t="shared" si="100"/>
        <v>0</v>
      </c>
      <c r="BM96">
        <f t="shared" si="101"/>
        <v>-10.133360762550792</v>
      </c>
      <c r="BN96">
        <f t="shared" si="85"/>
        <v>-162.49357639360611</v>
      </c>
      <c r="BQ96" s="56">
        <f t="shared" si="102"/>
        <v>24.419828156909947</v>
      </c>
      <c r="BR96" s="59"/>
      <c r="BS96" s="59"/>
      <c r="BT96" s="59">
        <v>724.43600000000004</v>
      </c>
      <c r="BU96" s="59">
        <v>17.753599999999999</v>
      </c>
      <c r="BV96" s="59">
        <v>-262.81690000000003</v>
      </c>
      <c r="BW96" s="61"/>
      <c r="BY96" s="59"/>
      <c r="BZ96" s="59"/>
      <c r="CA96" s="59"/>
      <c r="CC96" s="59"/>
    </row>
    <row r="97" spans="1:81" x14ac:dyDescent="0.25">
      <c r="A97">
        <f t="shared" si="54"/>
        <v>31500</v>
      </c>
      <c r="B97">
        <f t="shared" si="86"/>
        <v>31.5</v>
      </c>
      <c r="C97">
        <f t="shared" si="55"/>
        <v>1.033563783187998</v>
      </c>
      <c r="D97">
        <f t="shared" si="56"/>
        <v>0.25554308743297821</v>
      </c>
      <c r="F97">
        <f t="shared" si="57"/>
        <v>1.9461968676185208E-2</v>
      </c>
      <c r="G97">
        <f t="shared" si="58"/>
        <v>5.3000023078438922E-2</v>
      </c>
      <c r="H97">
        <f t="shared" si="59"/>
        <v>-3.0885926269215611</v>
      </c>
      <c r="J97">
        <f t="shared" si="60"/>
        <v>15</v>
      </c>
      <c r="M97">
        <f t="shared" si="61"/>
        <v>5.7875577110040689E-2</v>
      </c>
      <c r="N97">
        <f t="shared" si="62"/>
        <v>-1.5707963250000001</v>
      </c>
      <c r="O97">
        <f t="shared" si="63"/>
        <v>5.3043777958204821</v>
      </c>
      <c r="P97">
        <f t="shared" si="64"/>
        <v>1.3811378314016167</v>
      </c>
      <c r="Q97">
        <f t="shared" si="65"/>
        <v>8.1604034370298901</v>
      </c>
      <c r="R97">
        <f t="shared" si="66"/>
        <v>1.4479445744938617</v>
      </c>
      <c r="S97">
        <f t="shared" si="67"/>
        <v>0.96752616168063521</v>
      </c>
      <c r="T97">
        <f t="shared" si="68"/>
        <v>-0.25554308743297816</v>
      </c>
      <c r="U97">
        <f t="shared" si="69"/>
        <v>0.98726889995394351</v>
      </c>
      <c r="V97">
        <f t="shared" si="70"/>
        <v>-0.15973857153163259</v>
      </c>
      <c r="X97">
        <f t="shared" si="87"/>
        <v>-2.8289020413788108</v>
      </c>
      <c r="Y97">
        <f t="shared" si="71"/>
        <v>-114.02118640696106</v>
      </c>
      <c r="Z97">
        <f t="shared" si="88"/>
        <v>65.978813593038936</v>
      </c>
      <c r="AC97">
        <v>1</v>
      </c>
      <c r="AD97">
        <f t="shared" si="72"/>
        <v>5.2092632685239995</v>
      </c>
      <c r="AE97">
        <f t="shared" si="73"/>
        <v>-1.5465287120512927E-4</v>
      </c>
      <c r="AF97">
        <f t="shared" si="74"/>
        <v>9.5991363420749995E-4</v>
      </c>
      <c r="AG97">
        <f t="shared" si="89"/>
        <v>5125.9123841639203</v>
      </c>
      <c r="AH97">
        <f t="shared" si="90"/>
        <v>-1867.6024632538479</v>
      </c>
      <c r="AJ97">
        <f t="shared" si="75"/>
        <v>18000</v>
      </c>
      <c r="AK97">
        <f t="shared" si="76"/>
        <v>4702.587205932</v>
      </c>
      <c r="AL97">
        <v>1</v>
      </c>
      <c r="AM97">
        <f t="shared" si="77"/>
        <v>8.0989001879939995</v>
      </c>
      <c r="AN97">
        <f t="shared" si="91"/>
        <v>842.22773338290904</v>
      </c>
      <c r="AO97">
        <f t="shared" si="92"/>
        <v>-2118.531142296602</v>
      </c>
      <c r="AQ97">
        <f t="shared" si="78"/>
        <v>2.5188916876574305</v>
      </c>
      <c r="AR97">
        <f t="shared" si="79"/>
        <v>-158.69017632241813</v>
      </c>
      <c r="AT97">
        <f t="shared" si="104"/>
        <v>-283458.54609780473</v>
      </c>
      <c r="AU97">
        <f t="shared" si="105"/>
        <v>-818136.22837677784</v>
      </c>
      <c r="AV97">
        <f t="shared" si="93"/>
        <v>-1.904321710728019</v>
      </c>
      <c r="AW97">
        <f t="shared" si="94"/>
        <v>-327992.77733403101</v>
      </c>
      <c r="AX97">
        <f t="shared" si="95"/>
        <v>-146688.18993148452</v>
      </c>
      <c r="AY97">
        <f t="shared" si="103"/>
        <v>-2.7210446984701848</v>
      </c>
      <c r="BA97">
        <f t="shared" si="80"/>
        <v>2.4098218765580657</v>
      </c>
      <c r="BB97">
        <f t="shared" si="96"/>
        <v>7.6396988524364389</v>
      </c>
      <c r="BC97">
        <f t="shared" si="97"/>
        <v>0.81672298774216578</v>
      </c>
      <c r="BD97">
        <f t="shared" si="81"/>
        <v>-133.20521971758819</v>
      </c>
      <c r="BF97">
        <f t="shared" si="82"/>
        <v>-2.7679949232778194</v>
      </c>
      <c r="BG97">
        <f t="shared" si="83"/>
        <v>-115.52700166724513</v>
      </c>
      <c r="BH97">
        <f t="shared" si="98"/>
        <v>64.472998332754869</v>
      </c>
      <c r="BI97">
        <f t="shared" si="99"/>
        <v>64.472998332754869</v>
      </c>
      <c r="BJ97">
        <f t="shared" si="84"/>
        <v>0</v>
      </c>
      <c r="BK97">
        <f t="shared" si="100"/>
        <v>0</v>
      </c>
      <c r="BM97">
        <f t="shared" si="101"/>
        <v>-10.407693775714257</v>
      </c>
      <c r="BN97">
        <f t="shared" si="85"/>
        <v>-162.32178194965695</v>
      </c>
      <c r="BQ97" s="56">
        <f t="shared" si="102"/>
        <v>24.541659652721574</v>
      </c>
      <c r="BR97" s="59"/>
      <c r="BS97" s="59"/>
      <c r="BT97" s="59">
        <v>741.31</v>
      </c>
      <c r="BU97" s="59">
        <v>17.416399999999999</v>
      </c>
      <c r="BV97" s="59">
        <v>-262.19720000000001</v>
      </c>
      <c r="BW97" s="61"/>
      <c r="BY97" s="59"/>
      <c r="BZ97" s="59"/>
      <c r="CA97" s="59"/>
      <c r="CC97" s="59"/>
    </row>
    <row r="98" spans="1:81" x14ac:dyDescent="0.25">
      <c r="A98">
        <f t="shared" si="54"/>
        <v>32000</v>
      </c>
      <c r="B98">
        <f t="shared" si="86"/>
        <v>32</v>
      </c>
      <c r="C98">
        <f t="shared" si="55"/>
        <v>1.0346197791212335</v>
      </c>
      <c r="D98">
        <f t="shared" si="56"/>
        <v>0.2594210787499644</v>
      </c>
      <c r="F98">
        <f t="shared" si="57"/>
        <v>1.8847928798132706E-2</v>
      </c>
      <c r="G98">
        <f t="shared" si="58"/>
        <v>5.2141775289138638E-2</v>
      </c>
      <c r="H98">
        <f t="shared" si="59"/>
        <v>-3.0894508747108618</v>
      </c>
      <c r="J98">
        <f t="shared" si="60"/>
        <v>15</v>
      </c>
      <c r="M98">
        <f t="shared" si="61"/>
        <v>5.6971271217696302E-2</v>
      </c>
      <c r="N98">
        <f t="shared" si="62"/>
        <v>-1.5707963250000001</v>
      </c>
      <c r="O98">
        <f t="shared" si="63"/>
        <v>5.3856043918646073</v>
      </c>
      <c r="P98">
        <f t="shared" si="64"/>
        <v>1.3840322908315077</v>
      </c>
      <c r="Q98">
        <f t="shared" si="65"/>
        <v>8.2880034955508997</v>
      </c>
      <c r="R98">
        <f t="shared" si="66"/>
        <v>1.4498453210097131</v>
      </c>
      <c r="S98">
        <f t="shared" si="67"/>
        <v>0.96653864557795499</v>
      </c>
      <c r="T98">
        <f t="shared" si="68"/>
        <v>-0.25942107874996434</v>
      </c>
      <c r="U98">
        <f t="shared" si="69"/>
        <v>0.98686951926716049</v>
      </c>
      <c r="V98">
        <f t="shared" si="70"/>
        <v>-0.16223018642908252</v>
      </c>
      <c r="X98">
        <f t="shared" si="87"/>
        <v>-2.9809017778974218</v>
      </c>
      <c r="Y98">
        <f t="shared" si="71"/>
        <v>-113.93837433817851</v>
      </c>
      <c r="Z98">
        <f t="shared" si="88"/>
        <v>66.061625661821495</v>
      </c>
      <c r="AC98">
        <v>1</v>
      </c>
      <c r="AD98">
        <f t="shared" si="72"/>
        <v>5.2919499870719999</v>
      </c>
      <c r="AE98">
        <f t="shared" si="73"/>
        <v>-1.5960145136210868E-4</v>
      </c>
      <c r="AF98">
        <f t="shared" si="74"/>
        <v>9.7515035855999987E-4</v>
      </c>
      <c r="AG98">
        <f t="shared" si="89"/>
        <v>5121.7660440276586</v>
      </c>
      <c r="AH98">
        <f t="shared" si="90"/>
        <v>-1863.7549360570279</v>
      </c>
      <c r="AJ98">
        <f t="shared" si="75"/>
        <v>18000</v>
      </c>
      <c r="AK98">
        <f t="shared" si="76"/>
        <v>4777.2314472960006</v>
      </c>
      <c r="AL98">
        <v>1</v>
      </c>
      <c r="AM98">
        <f t="shared" si="77"/>
        <v>8.2274541592319981</v>
      </c>
      <c r="AN98">
        <f t="shared" si="91"/>
        <v>834.23521451666784</v>
      </c>
      <c r="AO98">
        <f t="shared" si="92"/>
        <v>-2086.4005381569568</v>
      </c>
      <c r="AQ98">
        <f t="shared" si="78"/>
        <v>2.4408103490358801</v>
      </c>
      <c r="AR98">
        <f t="shared" si="79"/>
        <v>-156.21186233829633</v>
      </c>
      <c r="AT98">
        <f t="shared" si="104"/>
        <v>-278639.36993805744</v>
      </c>
      <c r="AU98">
        <f t="shared" si="105"/>
        <v>-804629.68453460385</v>
      </c>
      <c r="AV98">
        <f t="shared" si="93"/>
        <v>-1.9041668205668911</v>
      </c>
      <c r="AW98">
        <f t="shared" si="94"/>
        <v>-317813.57059411454</v>
      </c>
      <c r="AX98">
        <f t="shared" si="95"/>
        <v>-143015.35841467138</v>
      </c>
      <c r="AY98">
        <f t="shared" si="103"/>
        <v>-2.7187406856213774</v>
      </c>
      <c r="BA98">
        <f t="shared" si="80"/>
        <v>2.4432900125010848</v>
      </c>
      <c r="BB98">
        <f t="shared" si="96"/>
        <v>7.7595003943486516</v>
      </c>
      <c r="BC98">
        <f t="shared" si="97"/>
        <v>0.81457386505448626</v>
      </c>
      <c r="BD98">
        <f t="shared" si="81"/>
        <v>-133.32835537738876</v>
      </c>
      <c r="BF98">
        <f t="shared" si="82"/>
        <v>-2.91778624136577</v>
      </c>
      <c r="BG98">
        <f t="shared" si="83"/>
        <v>-115.47711876749963</v>
      </c>
      <c r="BH98">
        <f t="shared" si="98"/>
        <v>64.522881232500367</v>
      </c>
      <c r="BI98">
        <f t="shared" si="99"/>
        <v>64.522881232500367</v>
      </c>
      <c r="BJ98">
        <f t="shared" si="84"/>
        <v>0</v>
      </c>
      <c r="BK98">
        <f t="shared" si="100"/>
        <v>0</v>
      </c>
      <c r="BM98">
        <f t="shared" si="101"/>
        <v>-10.67728663571442</v>
      </c>
      <c r="BN98">
        <f t="shared" si="85"/>
        <v>-162.1487633901109</v>
      </c>
      <c r="BQ98" s="56">
        <f t="shared" si="102"/>
        <v>24.661461194633787</v>
      </c>
      <c r="BR98" s="59"/>
      <c r="BS98" s="59"/>
      <c r="BT98" s="59">
        <v>758.57799999999997</v>
      </c>
      <c r="BU98" s="59">
        <v>17.283200000000001</v>
      </c>
      <c r="BV98" s="59">
        <v>-262.56690000000003</v>
      </c>
      <c r="BW98" s="61"/>
      <c r="BY98" s="59"/>
      <c r="BZ98" s="59"/>
      <c r="CA98" s="59"/>
      <c r="CC98" s="59"/>
    </row>
    <row r="99" spans="1:81" x14ac:dyDescent="0.25">
      <c r="A99">
        <f t="shared" si="54"/>
        <v>32500</v>
      </c>
      <c r="B99">
        <f t="shared" si="86"/>
        <v>32.5</v>
      </c>
      <c r="C99">
        <f t="shared" si="55"/>
        <v>1.0356913026463006</v>
      </c>
      <c r="D99">
        <f t="shared" si="56"/>
        <v>0.26329110384844784</v>
      </c>
      <c r="F99">
        <f t="shared" si="57"/>
        <v>1.8262653296352304E-2</v>
      </c>
      <c r="G99">
        <f t="shared" si="58"/>
        <v>5.1311323711421601E-2</v>
      </c>
      <c r="H99">
        <f t="shared" si="59"/>
        <v>-3.0902813262885784</v>
      </c>
      <c r="J99">
        <f t="shared" si="60"/>
        <v>15</v>
      </c>
      <c r="M99">
        <f t="shared" si="61"/>
        <v>5.6094790122039426E-2</v>
      </c>
      <c r="N99">
        <f t="shared" si="62"/>
        <v>-1.5707963250000001</v>
      </c>
      <c r="O99">
        <f t="shared" si="63"/>
        <v>5.4668747669393172</v>
      </c>
      <c r="P99">
        <f t="shared" si="64"/>
        <v>1.3868407153390812</v>
      </c>
      <c r="Q99">
        <f t="shared" si="65"/>
        <v>8.4156325892044954</v>
      </c>
      <c r="R99">
        <f t="shared" si="66"/>
        <v>1.4516884216534907</v>
      </c>
      <c r="S99">
        <f t="shared" si="67"/>
        <v>0.96553866721183657</v>
      </c>
      <c r="T99">
        <f t="shared" si="68"/>
        <v>-0.26329110384844778</v>
      </c>
      <c r="U99">
        <f t="shared" si="69"/>
        <v>0.9864643449091085</v>
      </c>
      <c r="V99">
        <f t="shared" si="70"/>
        <v>-0.16471977083060682</v>
      </c>
      <c r="X99">
        <f t="shared" si="87"/>
        <v>-3.1303010878248982</v>
      </c>
      <c r="Y99">
        <f t="shared" si="71"/>
        <v>-113.86208562806205</v>
      </c>
      <c r="Z99">
        <f t="shared" si="88"/>
        <v>66.137914371937953</v>
      </c>
      <c r="AC99">
        <v>1</v>
      </c>
      <c r="AD99">
        <f t="shared" si="72"/>
        <v>5.3746367056200004</v>
      </c>
      <c r="AE99">
        <f t="shared" si="73"/>
        <v>-1.6462796191526105E-4</v>
      </c>
      <c r="AF99">
        <f t="shared" si="74"/>
        <v>9.9038708291250012E-4</v>
      </c>
      <c r="AG99">
        <f t="shared" si="89"/>
        <v>5117.5612687777502</v>
      </c>
      <c r="AH99">
        <f t="shared" si="90"/>
        <v>-1860.3773347255392</v>
      </c>
      <c r="AJ99">
        <f t="shared" si="75"/>
        <v>18000</v>
      </c>
      <c r="AK99">
        <f t="shared" si="76"/>
        <v>4851.8756886600004</v>
      </c>
      <c r="AL99">
        <v>1</v>
      </c>
      <c r="AM99">
        <f t="shared" si="77"/>
        <v>8.3560081304700002</v>
      </c>
      <c r="AN99">
        <f t="shared" si="91"/>
        <v>826.60179051442492</v>
      </c>
      <c r="AO99">
        <f t="shared" si="92"/>
        <v>-2055.215593539594</v>
      </c>
      <c r="AQ99">
        <f t="shared" si="78"/>
        <v>2.3663038334122102</v>
      </c>
      <c r="AR99">
        <f t="shared" si="79"/>
        <v>-153.80974917179367</v>
      </c>
      <c r="AT99">
        <f t="shared" si="104"/>
        <v>-274034.46637099457</v>
      </c>
      <c r="AU99">
        <f t="shared" si="105"/>
        <v>-791533.03314074618</v>
      </c>
      <c r="AV99">
        <f t="shared" si="93"/>
        <v>-1.9040883073007235</v>
      </c>
      <c r="AW99">
        <f t="shared" si="94"/>
        <v>-308090.59312483191</v>
      </c>
      <c r="AX99">
        <f t="shared" si="95"/>
        <v>-139518.1726903182</v>
      </c>
      <c r="AY99">
        <f t="shared" si="103"/>
        <v>-2.7163729517772977</v>
      </c>
      <c r="BA99">
        <f t="shared" si="80"/>
        <v>2.4766578405737771</v>
      </c>
      <c r="BB99">
        <f t="shared" si="96"/>
        <v>7.8773202268726141</v>
      </c>
      <c r="BC99">
        <f t="shared" si="97"/>
        <v>0.81228464447657411</v>
      </c>
      <c r="BD99">
        <f t="shared" si="81"/>
        <v>-133.4595180550275</v>
      </c>
      <c r="BF99">
        <f t="shared" si="82"/>
        <v>-3.0649705193322951</v>
      </c>
      <c r="BG99">
        <f t="shared" si="83"/>
        <v>-115.43412671067972</v>
      </c>
      <c r="BH99">
        <f t="shared" si="98"/>
        <v>64.56587328932028</v>
      </c>
      <c r="BI99">
        <f t="shared" si="99"/>
        <v>64.56587328932028</v>
      </c>
      <c r="BJ99">
        <f t="shared" si="84"/>
        <v>0</v>
      </c>
      <c r="BK99">
        <f t="shared" si="100"/>
        <v>0</v>
      </c>
      <c r="BM99">
        <f t="shared" si="101"/>
        <v>-10.942290746204907</v>
      </c>
      <c r="BN99">
        <f t="shared" si="85"/>
        <v>-161.97460865565225</v>
      </c>
      <c r="BQ99" s="56">
        <f t="shared" si="102"/>
        <v>24.779281027157751</v>
      </c>
      <c r="BR99" s="59"/>
      <c r="BS99" s="59"/>
      <c r="BT99" s="59">
        <v>776.24699999999996</v>
      </c>
      <c r="BU99" s="59">
        <v>17.007100000000001</v>
      </c>
      <c r="BV99" s="59">
        <v>-262.71769999999998</v>
      </c>
      <c r="BW99" s="61"/>
      <c r="BY99" s="59"/>
      <c r="BZ99" s="59"/>
      <c r="CA99" s="59"/>
      <c r="CC99" s="59"/>
    </row>
    <row r="100" spans="1:81" x14ac:dyDescent="0.25">
      <c r="A100">
        <f t="shared" si="54"/>
        <v>33000</v>
      </c>
      <c r="B100">
        <f t="shared" si="86"/>
        <v>33</v>
      </c>
      <c r="C100">
        <f t="shared" si="55"/>
        <v>1.0367783056193118</v>
      </c>
      <c r="D100">
        <f t="shared" si="56"/>
        <v>0.26715307168603764</v>
      </c>
      <c r="F100">
        <f t="shared" si="57"/>
        <v>1.770436406141725E-2</v>
      </c>
      <c r="G100">
        <f t="shared" si="58"/>
        <v>5.0507320399979572E-2</v>
      </c>
      <c r="H100">
        <f t="shared" si="59"/>
        <v>-3.0910853296000207</v>
      </c>
      <c r="J100">
        <f t="shared" si="60"/>
        <v>15</v>
      </c>
      <c r="M100">
        <f t="shared" si="61"/>
        <v>5.5244869059584291E-2</v>
      </c>
      <c r="N100">
        <f t="shared" si="62"/>
        <v>-1.5707963250000001</v>
      </c>
      <c r="O100">
        <f t="shared" si="63"/>
        <v>5.5481869972066331</v>
      </c>
      <c r="P100">
        <f t="shared" si="64"/>
        <v>1.3895668423102212</v>
      </c>
      <c r="Q100">
        <f t="shared" si="65"/>
        <v>8.5432894167141296</v>
      </c>
      <c r="R100">
        <f t="shared" si="66"/>
        <v>1.4534764477080981</v>
      </c>
      <c r="S100">
        <f t="shared" si="67"/>
        <v>0.96452635494013117</v>
      </c>
      <c r="T100">
        <f t="shared" si="68"/>
        <v>-0.26715307168603758</v>
      </c>
      <c r="U100">
        <f t="shared" si="69"/>
        <v>0.98605339907104483</v>
      </c>
      <c r="V100">
        <f t="shared" si="70"/>
        <v>-0.1672072963942981</v>
      </c>
      <c r="X100">
        <f t="shared" si="87"/>
        <v>-3.2771963425366089</v>
      </c>
      <c r="Y100">
        <f t="shared" si="71"/>
        <v>-113.79203442422109</v>
      </c>
      <c r="Z100">
        <f t="shared" si="88"/>
        <v>66.207965575778914</v>
      </c>
      <c r="AC100">
        <v>1</v>
      </c>
      <c r="AD100">
        <f t="shared" si="72"/>
        <v>5.457323424168</v>
      </c>
      <c r="AE100">
        <f t="shared" si="73"/>
        <v>-1.6973240286458633E-4</v>
      </c>
      <c r="AF100">
        <f t="shared" si="74"/>
        <v>1.005623807265E-3</v>
      </c>
      <c r="AG100">
        <f t="shared" si="89"/>
        <v>5113.2983626359019</v>
      </c>
      <c r="AH100">
        <f t="shared" si="90"/>
        <v>-1857.4464965520879</v>
      </c>
      <c r="AJ100">
        <f t="shared" si="75"/>
        <v>18000</v>
      </c>
      <c r="AK100">
        <f t="shared" si="76"/>
        <v>4926.5199300240001</v>
      </c>
      <c r="AL100">
        <v>1</v>
      </c>
      <c r="AM100">
        <f t="shared" si="77"/>
        <v>8.4845621017079988</v>
      </c>
      <c r="AN100">
        <f t="shared" si="91"/>
        <v>819.3063657230731</v>
      </c>
      <c r="AO100">
        <f t="shared" si="92"/>
        <v>-2024.9358102780982</v>
      </c>
      <c r="AQ100">
        <f t="shared" si="78"/>
        <v>2.2951572182694515</v>
      </c>
      <c r="AR100">
        <f t="shared" si="79"/>
        <v>-151.4803764057838</v>
      </c>
      <c r="AT100">
        <f t="shared" si="104"/>
        <v>-269630.87080514553</v>
      </c>
      <c r="AU100">
        <f t="shared" si="105"/>
        <v>-778827.49238127528</v>
      </c>
      <c r="AV100">
        <f t="shared" si="93"/>
        <v>-1.9040827517991001</v>
      </c>
      <c r="AW100">
        <f t="shared" si="94"/>
        <v>-298797.14734927402</v>
      </c>
      <c r="AX100">
        <f t="shared" si="95"/>
        <v>-136185.04629870382</v>
      </c>
      <c r="AY100">
        <f t="shared" si="103"/>
        <v>-2.7139444740683163</v>
      </c>
      <c r="BA100">
        <f t="shared" si="80"/>
        <v>2.5099221169025401</v>
      </c>
      <c r="BB100">
        <f t="shared" si="96"/>
        <v>7.9932049099057121</v>
      </c>
      <c r="BC100">
        <f t="shared" si="97"/>
        <v>0.80986172226921616</v>
      </c>
      <c r="BD100">
        <f t="shared" si="81"/>
        <v>-133.59834127175625</v>
      </c>
      <c r="BF100">
        <f t="shared" si="82"/>
        <v>-3.2096452556721839</v>
      </c>
      <c r="BG100">
        <f t="shared" si="83"/>
        <v>-115.39774146595931</v>
      </c>
      <c r="BH100">
        <f t="shared" si="98"/>
        <v>64.602258534040686</v>
      </c>
      <c r="BI100">
        <f t="shared" si="99"/>
        <v>64.602258534040686</v>
      </c>
      <c r="BJ100">
        <f t="shared" si="84"/>
        <v>0</v>
      </c>
      <c r="BK100">
        <f t="shared" si="100"/>
        <v>0</v>
      </c>
      <c r="BM100">
        <f t="shared" si="101"/>
        <v>-11.202850165577896</v>
      </c>
      <c r="BN100">
        <f t="shared" si="85"/>
        <v>-161.79940019420306</v>
      </c>
      <c r="BQ100" s="56">
        <f t="shared" si="102"/>
        <v>24.895165710190849</v>
      </c>
      <c r="BR100" s="59"/>
      <c r="BS100" s="59"/>
      <c r="BT100" s="59">
        <v>794.32799999999997</v>
      </c>
      <c r="BU100" s="59">
        <v>16.8354</v>
      </c>
      <c r="BV100" s="59">
        <v>-262.79380000000003</v>
      </c>
      <c r="BW100" s="61"/>
      <c r="BY100" s="59"/>
      <c r="BZ100" s="59"/>
      <c r="CA100" s="59"/>
      <c r="CC100" s="59"/>
    </row>
    <row r="101" spans="1:81" x14ac:dyDescent="0.25">
      <c r="A101">
        <f t="shared" si="54"/>
        <v>33500</v>
      </c>
      <c r="B101">
        <f t="shared" si="86"/>
        <v>33.5</v>
      </c>
      <c r="C101">
        <f t="shared" si="55"/>
        <v>1.0378807394040266</v>
      </c>
      <c r="D101">
        <f t="shared" si="56"/>
        <v>0.27100689256037369</v>
      </c>
      <c r="F101">
        <f t="shared" si="57"/>
        <v>1.7171418946771738E-2</v>
      </c>
      <c r="G101">
        <f t="shared" si="58"/>
        <v>4.9728504242538475E-2</v>
      </c>
      <c r="H101">
        <f t="shared" si="59"/>
        <v>-3.0918641457574618</v>
      </c>
      <c r="J101">
        <f t="shared" si="60"/>
        <v>15</v>
      </c>
      <c r="M101">
        <f t="shared" si="61"/>
        <v>5.4420318775112886E-2</v>
      </c>
      <c r="N101">
        <f t="shared" si="62"/>
        <v>-1.5707963250000001</v>
      </c>
      <c r="O101">
        <f t="shared" si="63"/>
        <v>5.6295392690162629</v>
      </c>
      <c r="P101">
        <f t="shared" si="64"/>
        <v>1.392214198157022</v>
      </c>
      <c r="Q101">
        <f t="shared" si="65"/>
        <v>8.6709727531598624</v>
      </c>
      <c r="R101">
        <f t="shared" si="66"/>
        <v>1.4552118204625282</v>
      </c>
      <c r="S101">
        <f t="shared" si="67"/>
        <v>0.96350183796090239</v>
      </c>
      <c r="T101">
        <f t="shared" si="68"/>
        <v>-0.27100689256037364</v>
      </c>
      <c r="U101">
        <f t="shared" si="69"/>
        <v>0.9856367042101476</v>
      </c>
      <c r="V101">
        <f t="shared" si="70"/>
        <v>-0.16969273492702067</v>
      </c>
      <c r="X101">
        <f t="shared" si="87"/>
        <v>-3.4216786603172449</v>
      </c>
      <c r="Y101">
        <f t="shared" si="71"/>
        <v>-113.7279505895482</v>
      </c>
      <c r="Z101">
        <f t="shared" si="88"/>
        <v>66.2720494104518</v>
      </c>
      <c r="AC101">
        <v>1</v>
      </c>
      <c r="AD101">
        <f t="shared" si="72"/>
        <v>5.5400101427160005</v>
      </c>
      <c r="AE101">
        <f t="shared" si="73"/>
        <v>-1.7491477421008447E-4</v>
      </c>
      <c r="AF101">
        <f t="shared" si="74"/>
        <v>1.0208605316175E-3</v>
      </c>
      <c r="AG101">
        <f t="shared" si="89"/>
        <v>5108.9776332506699</v>
      </c>
      <c r="AH101">
        <f t="shared" si="90"/>
        <v>-1854.9406216773277</v>
      </c>
      <c r="AJ101">
        <f t="shared" si="75"/>
        <v>18000</v>
      </c>
      <c r="AK101">
        <f t="shared" si="76"/>
        <v>5001.1641713880008</v>
      </c>
      <c r="AL101">
        <v>1</v>
      </c>
      <c r="AM101">
        <f t="shared" si="77"/>
        <v>8.6131160729459992</v>
      </c>
      <c r="AN101">
        <f t="shared" si="91"/>
        <v>812.32936415836707</v>
      </c>
      <c r="AO101">
        <f t="shared" si="92"/>
        <v>-1995.5229315704348</v>
      </c>
      <c r="AQ101">
        <f t="shared" si="78"/>
        <v>2.2271714922048997</v>
      </c>
      <c r="AR101">
        <f t="shared" si="79"/>
        <v>-149.22048997772828</v>
      </c>
      <c r="AT101">
        <f t="shared" si="104"/>
        <v>-265416.57910719438</v>
      </c>
      <c r="AU101">
        <f t="shared" si="105"/>
        <v>-766495.4165912522</v>
      </c>
      <c r="AV101">
        <f t="shared" si="93"/>
        <v>-1.9041469253697068</v>
      </c>
      <c r="AW101">
        <f t="shared" si="94"/>
        <v>-289908.45005967881</v>
      </c>
      <c r="AX101">
        <f t="shared" si="95"/>
        <v>-133005.33986392812</v>
      </c>
      <c r="AY101">
        <f t="shared" si="103"/>
        <v>-2.7114580603399654</v>
      </c>
      <c r="BA101">
        <f t="shared" si="80"/>
        <v>2.5430796884585707</v>
      </c>
      <c r="BB101">
        <f t="shared" si="96"/>
        <v>8.1071993837390384</v>
      </c>
      <c r="BC101">
        <f t="shared" si="97"/>
        <v>0.80731113497025864</v>
      </c>
      <c r="BD101">
        <f t="shared" si="81"/>
        <v>-133.74447915943318</v>
      </c>
      <c r="BF101">
        <f t="shared" si="82"/>
        <v>-3.3519026994877925</v>
      </c>
      <c r="BG101">
        <f t="shared" si="83"/>
        <v>-115.36769456117405</v>
      </c>
      <c r="BH101">
        <f t="shared" si="98"/>
        <v>64.632305438825952</v>
      </c>
      <c r="BI101">
        <f t="shared" si="99"/>
        <v>64.632305438825952</v>
      </c>
      <c r="BJ101">
        <f t="shared" si="84"/>
        <v>0</v>
      </c>
      <c r="BK101">
        <f t="shared" si="100"/>
        <v>0</v>
      </c>
      <c r="BM101">
        <f t="shared" si="101"/>
        <v>-11.459102083226833</v>
      </c>
      <c r="BN101">
        <f t="shared" si="85"/>
        <v>-161.62321540174085</v>
      </c>
      <c r="BQ101" s="56">
        <f t="shared" si="102"/>
        <v>25.009160184024175</v>
      </c>
      <c r="BR101" s="59"/>
      <c r="BS101" s="59"/>
      <c r="BT101" s="59">
        <v>812.83100000000002</v>
      </c>
      <c r="BU101" s="59">
        <v>16.6614</v>
      </c>
      <c r="BV101" s="59">
        <v>-262.23689999999999</v>
      </c>
      <c r="BW101" s="61"/>
      <c r="BY101" s="59"/>
      <c r="BZ101" s="59"/>
      <c r="CA101" s="59"/>
      <c r="CC101" s="59"/>
    </row>
    <row r="102" spans="1:81" x14ac:dyDescent="0.25">
      <c r="A102">
        <f t="shared" ref="A102:A165" si="106">A101+500</f>
        <v>34000</v>
      </c>
      <c r="B102">
        <f t="shared" si="86"/>
        <v>34</v>
      </c>
      <c r="C102">
        <f t="shared" si="55"/>
        <v>1.0389985548816636</v>
      </c>
      <c r="D102">
        <f t="shared" si="56"/>
        <v>0.27485247811509572</v>
      </c>
      <c r="F102">
        <f t="shared" si="57"/>
        <v>1.6662299424910897E-2</v>
      </c>
      <c r="G102">
        <f t="shared" si="58"/>
        <v>4.8973694006734125E-2</v>
      </c>
      <c r="H102">
        <f t="shared" si="59"/>
        <v>-3.0926189559932662</v>
      </c>
      <c r="J102">
        <f t="shared" si="60"/>
        <v>15</v>
      </c>
      <c r="M102">
        <f t="shared" si="61"/>
        <v>5.3620019969596519E-2</v>
      </c>
      <c r="N102">
        <f t="shared" si="62"/>
        <v>-1.5707963250000001</v>
      </c>
      <c r="O102">
        <f t="shared" si="63"/>
        <v>5.710929871191559</v>
      </c>
      <c r="P102">
        <f t="shared" si="64"/>
        <v>1.3947861128282903</v>
      </c>
      <c r="Q102">
        <f t="shared" si="65"/>
        <v>8.7986814444770012</v>
      </c>
      <c r="R102">
        <f t="shared" si="66"/>
        <v>1.4568968219431266</v>
      </c>
      <c r="S102">
        <f t="shared" si="67"/>
        <v>0.96246524627158403</v>
      </c>
      <c r="T102">
        <f t="shared" si="68"/>
        <v>-0.27485247811509567</v>
      </c>
      <c r="U102">
        <f t="shared" si="69"/>
        <v>0.9852142830462397</v>
      </c>
      <c r="V102">
        <f t="shared" si="70"/>
        <v>-0.17217605838606426</v>
      </c>
      <c r="X102">
        <f t="shared" si="87"/>
        <v>-3.5638342815564776</v>
      </c>
      <c r="Y102">
        <f t="shared" si="71"/>
        <v>-113.66957865445232</v>
      </c>
      <c r="Z102">
        <f t="shared" si="88"/>
        <v>66.330421345547677</v>
      </c>
      <c r="AC102">
        <v>1</v>
      </c>
      <c r="AD102">
        <f t="shared" si="72"/>
        <v>5.622696861264</v>
      </c>
      <c r="AE102">
        <f t="shared" si="73"/>
        <v>-1.8017507595175555E-4</v>
      </c>
      <c r="AF102">
        <f t="shared" si="74"/>
        <v>1.0360972559700001E-3</v>
      </c>
      <c r="AG102">
        <f t="shared" si="89"/>
        <v>5104.5993916441585</v>
      </c>
      <c r="AH102">
        <f t="shared" si="90"/>
        <v>-1852.839173186997</v>
      </c>
      <c r="AJ102">
        <f t="shared" si="75"/>
        <v>18000</v>
      </c>
      <c r="AK102">
        <f t="shared" si="76"/>
        <v>5075.8084127520005</v>
      </c>
      <c r="AL102">
        <v>1</v>
      </c>
      <c r="AM102">
        <f t="shared" si="77"/>
        <v>8.7416700441839996</v>
      </c>
      <c r="AN102">
        <f t="shared" si="91"/>
        <v>805.65260059851289</v>
      </c>
      <c r="AO102">
        <f t="shared" si="92"/>
        <v>-1966.9407919189555</v>
      </c>
      <c r="AQ102">
        <f t="shared" si="78"/>
        <v>2.1621621621621623</v>
      </c>
      <c r="AR102">
        <f t="shared" si="79"/>
        <v>-147.02702702702703</v>
      </c>
      <c r="AT102">
        <f t="shared" si="104"/>
        <v>-261380.46353529004</v>
      </c>
      <c r="AU102">
        <f t="shared" si="105"/>
        <v>-754520.21147024818</v>
      </c>
      <c r="AV102">
        <f t="shared" si="93"/>
        <v>-1.9042777767697157</v>
      </c>
      <c r="AW102">
        <f t="shared" si="94"/>
        <v>-281401.4709167853</v>
      </c>
      <c r="AX102">
        <f t="shared" si="95"/>
        <v>-129969.27012495228</v>
      </c>
      <c r="AY102">
        <f t="shared" si="103"/>
        <v>-2.7089163613977942</v>
      </c>
      <c r="BA102">
        <f t="shared" si="80"/>
        <v>2.5761274875682725</v>
      </c>
      <c r="BB102">
        <f t="shared" si="96"/>
        <v>8.2193470322755431</v>
      </c>
      <c r="BC102">
        <f t="shared" si="97"/>
        <v>0.80463858462807858</v>
      </c>
      <c r="BD102">
        <f t="shared" si="81"/>
        <v>-133.89760501475132</v>
      </c>
      <c r="BF102">
        <f t="shared" si="82"/>
        <v>-3.4918302251712525</v>
      </c>
      <c r="BG102">
        <f t="shared" si="83"/>
        <v>-115.34373203509261</v>
      </c>
      <c r="BH102">
        <f t="shared" si="98"/>
        <v>64.656267964907386</v>
      </c>
      <c r="BI102">
        <f t="shared" si="99"/>
        <v>64.656267964907386</v>
      </c>
      <c r="BJ102">
        <f t="shared" si="84"/>
        <v>0</v>
      </c>
      <c r="BK102">
        <f t="shared" si="100"/>
        <v>0</v>
      </c>
      <c r="BM102">
        <f t="shared" si="101"/>
        <v>-11.711177257446796</v>
      </c>
      <c r="BN102">
        <f t="shared" si="85"/>
        <v>-161.44612702034132</v>
      </c>
      <c r="BQ102" s="56">
        <f t="shared" si="102"/>
        <v>25.121307832560682</v>
      </c>
      <c r="BR102" s="59"/>
      <c r="BS102" s="59"/>
      <c r="BT102" s="59">
        <v>831.76400000000001</v>
      </c>
      <c r="BU102" s="59">
        <v>16.509799999999998</v>
      </c>
      <c r="BV102" s="59">
        <v>-262.34320000000002</v>
      </c>
      <c r="BW102" s="61"/>
      <c r="BY102" s="59"/>
      <c r="BZ102" s="59"/>
      <c r="CA102" s="59"/>
      <c r="CC102" s="59"/>
    </row>
    <row r="103" spans="1:81" x14ac:dyDescent="0.25">
      <c r="A103">
        <f t="shared" si="106"/>
        <v>34500</v>
      </c>
      <c r="B103">
        <f t="shared" si="86"/>
        <v>34.5</v>
      </c>
      <c r="C103">
        <f t="shared" si="55"/>
        <v>1.0401317024607315</v>
      </c>
      <c r="D103">
        <f t="shared" si="56"/>
        <v>0.27868974134532021</v>
      </c>
      <c r="F103">
        <f t="shared" si="57"/>
        <v>1.6175599537007073E-2</v>
      </c>
      <c r="G103">
        <f t="shared" si="58"/>
        <v>4.8241782050247407E-2</v>
      </c>
      <c r="H103">
        <f t="shared" si="59"/>
        <v>-3.093350867949753</v>
      </c>
      <c r="J103">
        <f t="shared" si="60"/>
        <v>15</v>
      </c>
      <c r="M103">
        <f t="shared" si="61"/>
        <v>5.284291823090672E-2</v>
      </c>
      <c r="N103">
        <f t="shared" si="62"/>
        <v>-1.5707963250000001</v>
      </c>
      <c r="O103">
        <f t="shared" si="63"/>
        <v>5.7923571879493414</v>
      </c>
      <c r="P103">
        <f t="shared" si="64"/>
        <v>1.3972857331527815</v>
      </c>
      <c r="Q103">
        <f t="shared" si="65"/>
        <v>8.926414402422127</v>
      </c>
      <c r="R103">
        <f t="shared" si="66"/>
        <v>1.4585336047406297</v>
      </c>
      <c r="S103">
        <f t="shared" si="67"/>
        <v>0.96141671062829026</v>
      </c>
      <c r="T103">
        <f t="shared" si="68"/>
        <v>-0.27868974134532015</v>
      </c>
      <c r="U103">
        <f t="shared" si="69"/>
        <v>0.98478615855848417</v>
      </c>
      <c r="V103">
        <f t="shared" si="70"/>
        <v>-0.1746572388807712</v>
      </c>
      <c r="X103">
        <f t="shared" si="87"/>
        <v>-3.7037449111711114</v>
      </c>
      <c r="Y103">
        <f t="shared" si="71"/>
        <v>-113.61667684977564</v>
      </c>
      <c r="Z103">
        <f t="shared" si="88"/>
        <v>66.383323150224356</v>
      </c>
      <c r="AC103">
        <v>1</v>
      </c>
      <c r="AD103">
        <f t="shared" si="72"/>
        <v>5.7053835798120005</v>
      </c>
      <c r="AE103">
        <f t="shared" si="73"/>
        <v>-1.8551330808959948E-4</v>
      </c>
      <c r="AF103">
        <f t="shared" si="74"/>
        <v>1.0513339803225E-3</v>
      </c>
      <c r="AG103">
        <f t="shared" si="89"/>
        <v>5100.1639521583365</v>
      </c>
      <c r="AH103">
        <f t="shared" si="90"/>
        <v>-1851.1227858983802</v>
      </c>
      <c r="AJ103">
        <f t="shared" si="75"/>
        <v>18000</v>
      </c>
      <c r="AK103">
        <f t="shared" si="76"/>
        <v>5150.4526541160003</v>
      </c>
      <c r="AL103">
        <v>1</v>
      </c>
      <c r="AM103">
        <f t="shared" si="77"/>
        <v>8.870224015422</v>
      </c>
      <c r="AN103">
        <f t="shared" si="91"/>
        <v>799.25916419893235</v>
      </c>
      <c r="AO103">
        <f t="shared" si="92"/>
        <v>-1939.1551787074845</v>
      </c>
      <c r="AQ103">
        <f t="shared" si="78"/>
        <v>2.0999580008399832</v>
      </c>
      <c r="AR103">
        <f t="shared" si="79"/>
        <v>-144.89710205795885</v>
      </c>
      <c r="AT103">
        <f t="shared" si="104"/>
        <v>-257512.19713320016</v>
      </c>
      <c r="AU103">
        <f t="shared" si="105"/>
        <v>-742886.25679299375</v>
      </c>
      <c r="AV103">
        <f t="shared" si="93"/>
        <v>-1.9044724202522829</v>
      </c>
      <c r="AW103">
        <f t="shared" si="94"/>
        <v>-273254.78653575439</v>
      </c>
      <c r="AX103">
        <f t="shared" si="95"/>
        <v>-127067.82891743888</v>
      </c>
      <c r="AY103">
        <f t="shared" si="103"/>
        <v>-2.7063218822152817</v>
      </c>
      <c r="BA103">
        <f t="shared" si="80"/>
        <v>2.6090625269321346</v>
      </c>
      <c r="BB103">
        <f t="shared" si="96"/>
        <v>8.3296897443363722</v>
      </c>
      <c r="BC103">
        <f t="shared" si="97"/>
        <v>0.80184946196299878</v>
      </c>
      <c r="BD103">
        <f t="shared" si="81"/>
        <v>-134.05740997218726</v>
      </c>
      <c r="BF103">
        <f t="shared" si="82"/>
        <v>-3.6295106743137291</v>
      </c>
      <c r="BG103">
        <f t="shared" si="83"/>
        <v>-115.32561347043452</v>
      </c>
      <c r="BH103">
        <f t="shared" si="98"/>
        <v>64.674386529565481</v>
      </c>
      <c r="BI103">
        <f t="shared" si="99"/>
        <v>64.674386529565481</v>
      </c>
      <c r="BJ103">
        <f t="shared" si="84"/>
        <v>0</v>
      </c>
      <c r="BK103">
        <f t="shared" si="100"/>
        <v>0</v>
      </c>
      <c r="BM103">
        <f t="shared" si="101"/>
        <v>-11.959200418650102</v>
      </c>
      <c r="BN103">
        <f t="shared" si="85"/>
        <v>-161.26820349824726</v>
      </c>
      <c r="BQ103" s="56">
        <f t="shared" si="102"/>
        <v>25.231650544621509</v>
      </c>
      <c r="BR103" s="59"/>
      <c r="BS103" s="59"/>
      <c r="BT103" s="59">
        <v>851.13800000000003</v>
      </c>
      <c r="BU103" s="59">
        <v>16.276800000000001</v>
      </c>
      <c r="BV103" s="59">
        <v>-262.197</v>
      </c>
      <c r="BW103" s="61"/>
      <c r="BY103" s="59"/>
      <c r="BZ103" s="59"/>
      <c r="CA103" s="59"/>
      <c r="CC103" s="59"/>
    </row>
    <row r="104" spans="1:81" x14ac:dyDescent="0.25">
      <c r="A104">
        <f t="shared" si="106"/>
        <v>35000</v>
      </c>
      <c r="B104">
        <f t="shared" si="86"/>
        <v>35</v>
      </c>
      <c r="C104">
        <f t="shared" si="55"/>
        <v>1.0412801320868812</v>
      </c>
      <c r="D104">
        <f t="shared" si="56"/>
        <v>0.28251859660263023</v>
      </c>
      <c r="F104">
        <f t="shared" si="57"/>
        <v>1.5710015982767958E-2</v>
      </c>
      <c r="G104">
        <f t="shared" si="58"/>
        <v>4.7531728621032346E-2</v>
      </c>
      <c r="H104">
        <f t="shared" si="59"/>
        <v>-3.094060921378968</v>
      </c>
      <c r="J104">
        <f t="shared" si="60"/>
        <v>15</v>
      </c>
      <c r="M104">
        <f t="shared" si="61"/>
        <v>5.2088019399036616E-2</v>
      </c>
      <c r="N104">
        <f t="shared" si="62"/>
        <v>-1.5707963250000001</v>
      </c>
      <c r="O104">
        <f t="shared" si="63"/>
        <v>5.873819692394143</v>
      </c>
      <c r="P104">
        <f t="shared" si="64"/>
        <v>1.3997160351219085</v>
      </c>
      <c r="Q104">
        <f t="shared" si="65"/>
        <v>9.0541705999609139</v>
      </c>
      <c r="R104">
        <f t="shared" si="66"/>
        <v>1.4601242010202389</v>
      </c>
      <c r="S104">
        <f t="shared" si="67"/>
        <v>0.96035636250530432</v>
      </c>
      <c r="T104">
        <f t="shared" si="68"/>
        <v>-0.28251859660263012</v>
      </c>
      <c r="U104">
        <f t="shared" si="69"/>
        <v>0.98435235398205778</v>
      </c>
      <c r="V104">
        <f t="shared" si="70"/>
        <v>-0.1771362486741378</v>
      </c>
      <c r="X104">
        <f t="shared" si="87"/>
        <v>-3.8414880316047468</v>
      </c>
      <c r="Y104">
        <f t="shared" si="71"/>
        <v>-113.56901621347133</v>
      </c>
      <c r="Z104">
        <f t="shared" si="88"/>
        <v>66.430983786528671</v>
      </c>
      <c r="AC104">
        <v>1</v>
      </c>
      <c r="AD104">
        <f t="shared" si="72"/>
        <v>5.7880702983600001</v>
      </c>
      <c r="AE104">
        <f t="shared" si="73"/>
        <v>-1.9092947062361636E-4</v>
      </c>
      <c r="AF104">
        <f t="shared" si="74"/>
        <v>1.066570704675E-3</v>
      </c>
      <c r="AG104">
        <f t="shared" si="89"/>
        <v>5095.6716324009949</v>
      </c>
      <c r="AH104">
        <f t="shared" si="90"/>
        <v>-1849.7731829670656</v>
      </c>
      <c r="AJ104">
        <f t="shared" si="75"/>
        <v>18000</v>
      </c>
      <c r="AK104">
        <f t="shared" si="76"/>
        <v>5225.0968954800001</v>
      </c>
      <c r="AL104">
        <v>1</v>
      </c>
      <c r="AM104">
        <f t="shared" si="77"/>
        <v>8.9987779866599986</v>
      </c>
      <c r="AN104">
        <f t="shared" si="91"/>
        <v>793.13331326362822</v>
      </c>
      <c r="AO104">
        <f t="shared" si="92"/>
        <v>-1912.1337044034462</v>
      </c>
      <c r="AQ104">
        <f t="shared" si="78"/>
        <v>2.0403999183840034</v>
      </c>
      <c r="AR104">
        <f t="shared" si="79"/>
        <v>-142.82799428688023</v>
      </c>
      <c r="AT104">
        <f t="shared" si="104"/>
        <v>-253802.18562598166</v>
      </c>
      <c r="AU104">
        <f t="shared" si="105"/>
        <v>-731578.83585194184</v>
      </c>
      <c r="AV104">
        <f t="shared" si="93"/>
        <v>-1.9047281245546257</v>
      </c>
      <c r="AW104">
        <f t="shared" si="94"/>
        <v>-265448.44847269595</v>
      </c>
      <c r="AX104">
        <f t="shared" si="95"/>
        <v>-124292.71089229878</v>
      </c>
      <c r="AY104">
        <f t="shared" si="103"/>
        <v>-2.7036769922052413</v>
      </c>
      <c r="BA104">
        <f t="shared" si="80"/>
        <v>2.64188189510199</v>
      </c>
      <c r="BB104">
        <f t="shared" si="96"/>
        <v>8.4382679729737902</v>
      </c>
      <c r="BC104">
        <f t="shared" si="97"/>
        <v>0.79894886765061557</v>
      </c>
      <c r="BD104">
        <f t="shared" si="81"/>
        <v>-134.22360178455637</v>
      </c>
      <c r="BF104">
        <f t="shared" si="82"/>
        <v>-3.7650226681932821</v>
      </c>
      <c r="BG104">
        <f t="shared" si="83"/>
        <v>-115.31311110071191</v>
      </c>
      <c r="BH104">
        <f t="shared" si="98"/>
        <v>64.686888899288093</v>
      </c>
      <c r="BI104">
        <f t="shared" si="99"/>
        <v>64.686888899288093</v>
      </c>
      <c r="BJ104">
        <f t="shared" si="84"/>
        <v>0</v>
      </c>
      <c r="BK104">
        <f t="shared" si="100"/>
        <v>0</v>
      </c>
      <c r="BM104">
        <f t="shared" si="101"/>
        <v>-12.203290641167071</v>
      </c>
      <c r="BN104">
        <f t="shared" si="85"/>
        <v>-161.08950931615553</v>
      </c>
      <c r="BQ104" s="56">
        <f t="shared" si="102"/>
        <v>25.340228773258925</v>
      </c>
      <c r="BR104" s="59"/>
      <c r="BS104" s="59"/>
      <c r="BT104" s="59">
        <v>870.96400000000006</v>
      </c>
      <c r="BU104" s="59">
        <v>16.106100000000001</v>
      </c>
      <c r="BV104" s="59">
        <v>-261.76800000000003</v>
      </c>
      <c r="BW104" s="61"/>
      <c r="BY104" s="59"/>
      <c r="BZ104" s="59"/>
      <c r="CA104" s="59"/>
      <c r="CC104" s="59"/>
    </row>
    <row r="105" spans="1:81" x14ac:dyDescent="0.25">
      <c r="A105">
        <f t="shared" si="106"/>
        <v>35500</v>
      </c>
      <c r="B105">
        <f t="shared" si="86"/>
        <v>35.5</v>
      </c>
      <c r="C105">
        <f t="shared" si="55"/>
        <v>1.0424437932527701</v>
      </c>
      <c r="D105">
        <f t="shared" si="56"/>
        <v>0.28633895959958183</v>
      </c>
      <c r="F105">
        <f t="shared" si="57"/>
        <v>1.5264339217505349E-2</v>
      </c>
      <c r="G105">
        <f t="shared" si="58"/>
        <v>4.6842556683602384E-2</v>
      </c>
      <c r="H105">
        <f t="shared" si="59"/>
        <v>-3.0947500933163976</v>
      </c>
      <c r="J105">
        <f t="shared" si="60"/>
        <v>15</v>
      </c>
      <c r="M105">
        <f t="shared" si="61"/>
        <v>5.1354385322993849E-2</v>
      </c>
      <c r="N105">
        <f t="shared" si="62"/>
        <v>-1.5707963250000001</v>
      </c>
      <c r="O105">
        <f t="shared" si="63"/>
        <v>5.9553159405336782</v>
      </c>
      <c r="P105">
        <f t="shared" si="64"/>
        <v>1.4020798352078014</v>
      </c>
      <c r="Q105">
        <f t="shared" si="65"/>
        <v>9.1819490670372446</v>
      </c>
      <c r="R105">
        <f t="shared" si="66"/>
        <v>1.4616705307925433</v>
      </c>
      <c r="S105">
        <f t="shared" si="67"/>
        <v>0.95928433405475855</v>
      </c>
      <c r="T105">
        <f t="shared" si="68"/>
        <v>-0.28633895959958178</v>
      </c>
      <c r="U105">
        <f t="shared" si="69"/>
        <v>0.98391289280479421</v>
      </c>
      <c r="V105">
        <f t="shared" si="70"/>
        <v>-0.17961306018438927</v>
      </c>
      <c r="X105">
        <f t="shared" si="87"/>
        <v>-3.9771371893665366</v>
      </c>
      <c r="Y105">
        <f t="shared" si="71"/>
        <v>-113.52637976476026</v>
      </c>
      <c r="Z105">
        <f t="shared" si="88"/>
        <v>66.473620235239736</v>
      </c>
      <c r="AC105">
        <v>1</v>
      </c>
      <c r="AD105">
        <f t="shared" si="72"/>
        <v>5.8707570169080006</v>
      </c>
      <c r="AE105">
        <f t="shared" si="73"/>
        <v>-1.9642356355380617E-4</v>
      </c>
      <c r="AF105">
        <f t="shared" si="74"/>
        <v>1.0818074290275001E-3</v>
      </c>
      <c r="AG105">
        <f t="shared" si="89"/>
        <v>5091.1227531913728</v>
      </c>
      <c r="AH105">
        <f t="shared" si="90"/>
        <v>-1848.7730995429067</v>
      </c>
      <c r="AJ105">
        <f t="shared" si="75"/>
        <v>18000</v>
      </c>
      <c r="AK105">
        <f t="shared" si="76"/>
        <v>5299.7411368440007</v>
      </c>
      <c r="AL105">
        <v>1</v>
      </c>
      <c r="AM105">
        <f t="shared" si="77"/>
        <v>9.127331957897999</v>
      </c>
      <c r="AN105">
        <f t="shared" si="91"/>
        <v>787.26037997283629</v>
      </c>
      <c r="AO105">
        <f t="shared" si="92"/>
        <v>-1885.8456884689897</v>
      </c>
      <c r="AQ105">
        <f t="shared" si="78"/>
        <v>1.9833399444664817</v>
      </c>
      <c r="AR105">
        <f t="shared" si="79"/>
        <v>-140.81713605712019</v>
      </c>
      <c r="AT105">
        <f t="shared" si="104"/>
        <v>-250241.50597849069</v>
      </c>
      <c r="AU105">
        <f t="shared" si="105"/>
        <v>-720584.07095622853</v>
      </c>
      <c r="AV105">
        <f t="shared" si="93"/>
        <v>-1.9050423027435206</v>
      </c>
      <c r="AW105">
        <f t="shared" si="94"/>
        <v>-257963.86362704492</v>
      </c>
      <c r="AX105">
        <f t="shared" si="95"/>
        <v>-121636.24891961797</v>
      </c>
      <c r="AY105">
        <f t="shared" si="103"/>
        <v>-2.7009839346442259</v>
      </c>
      <c r="BA105">
        <f t="shared" si="80"/>
        <v>2.6745827523721735</v>
      </c>
      <c r="BB105">
        <f t="shared" si="96"/>
        <v>8.5451207927427113</v>
      </c>
      <c r="BC105">
        <f t="shared" si="97"/>
        <v>0.79594163190070533</v>
      </c>
      <c r="BD105">
        <f t="shared" si="81"/>
        <v>-134.39590370122397</v>
      </c>
      <c r="BF105">
        <f t="shared" si="82"/>
        <v>-3.8984408938030031</v>
      </c>
      <c r="BG105">
        <f t="shared" si="83"/>
        <v>-115.30600898461482</v>
      </c>
      <c r="BH105">
        <f t="shared" si="98"/>
        <v>64.69399101538518</v>
      </c>
      <c r="BI105">
        <f t="shared" si="99"/>
        <v>64.69399101538518</v>
      </c>
      <c r="BJ105">
        <f t="shared" si="84"/>
        <v>0</v>
      </c>
      <c r="BK105">
        <f t="shared" si="100"/>
        <v>0</v>
      </c>
      <c r="BM105">
        <f t="shared" si="101"/>
        <v>-12.443561686545712</v>
      </c>
      <c r="BN105">
        <f t="shared" si="85"/>
        <v>-160.91010528339083</v>
      </c>
      <c r="BQ105" s="56">
        <f t="shared" si="102"/>
        <v>25.447081593027846</v>
      </c>
      <c r="BR105" s="59"/>
      <c r="BS105" s="59"/>
      <c r="BT105" s="59">
        <v>891.25099999999998</v>
      </c>
      <c r="BU105" s="59">
        <v>15.882400000000001</v>
      </c>
      <c r="BV105" s="59">
        <v>-261.38310000000001</v>
      </c>
      <c r="BW105" s="61"/>
      <c r="BY105" s="59"/>
      <c r="BZ105" s="59"/>
      <c r="CA105" s="59"/>
      <c r="CC105" s="59"/>
    </row>
    <row r="106" spans="1:81" x14ac:dyDescent="0.25">
      <c r="A106">
        <f t="shared" si="106"/>
        <v>36000</v>
      </c>
      <c r="B106">
        <f t="shared" si="86"/>
        <v>36</v>
      </c>
      <c r="C106">
        <f t="shared" si="55"/>
        <v>1.0436226350079387</v>
      </c>
      <c r="D106">
        <f t="shared" si="56"/>
        <v>0.29015074741373093</v>
      </c>
      <c r="F106">
        <f t="shared" si="57"/>
        <v>1.4837445440662221E-2</v>
      </c>
      <c r="G106">
        <f t="shared" si="58"/>
        <v>4.6173347215204393E-2</v>
      </c>
      <c r="H106">
        <f t="shared" si="59"/>
        <v>-3.0954193027847956</v>
      </c>
      <c r="J106">
        <f t="shared" si="60"/>
        <v>15</v>
      </c>
      <c r="M106">
        <f t="shared" si="61"/>
        <v>5.0641129971285601E-2</v>
      </c>
      <c r="N106">
        <f t="shared" si="62"/>
        <v>-1.5707963250000001</v>
      </c>
      <c r="O106">
        <f t="shared" si="63"/>
        <v>6.0368445657678063</v>
      </c>
      <c r="P106">
        <f t="shared" si="64"/>
        <v>1.4043798008029418</v>
      </c>
      <c r="Q106">
        <f t="shared" si="65"/>
        <v>9.3097488866874265</v>
      </c>
      <c r="R106">
        <f t="shared" si="66"/>
        <v>1.4631744095147845</v>
      </c>
      <c r="S106">
        <f t="shared" si="67"/>
        <v>0.95820075806653338</v>
      </c>
      <c r="T106">
        <f t="shared" si="68"/>
        <v>-0.29015074741373087</v>
      </c>
      <c r="U106">
        <f t="shared" si="69"/>
        <v>0.98346779876380941</v>
      </c>
      <c r="V106">
        <f t="shared" si="70"/>
        <v>-0.18208764598652802</v>
      </c>
      <c r="X106">
        <f t="shared" si="87"/>
        <v>-4.1107622577311993</v>
      </c>
      <c r="Y106">
        <f t="shared" si="71"/>
        <v>-113.48856174006117</v>
      </c>
      <c r="Z106">
        <f t="shared" si="88"/>
        <v>66.511438259938828</v>
      </c>
      <c r="AC106">
        <v>1</v>
      </c>
      <c r="AD106">
        <f t="shared" si="72"/>
        <v>5.9534437354560001</v>
      </c>
      <c r="AE106">
        <f t="shared" si="73"/>
        <v>-2.0199558688016885E-4</v>
      </c>
      <c r="AF106">
        <f t="shared" si="74"/>
        <v>1.09704415338E-3</v>
      </c>
      <c r="AG106">
        <f t="shared" si="89"/>
        <v>5086.5176385054519</v>
      </c>
      <c r="AH106">
        <f t="shared" si="90"/>
        <v>-1848.1062127897408</v>
      </c>
      <c r="AJ106">
        <f t="shared" si="75"/>
        <v>18000</v>
      </c>
      <c r="AK106">
        <f t="shared" si="76"/>
        <v>5374.3853782080005</v>
      </c>
      <c r="AL106">
        <v>1</v>
      </c>
      <c r="AM106">
        <f t="shared" si="77"/>
        <v>9.2558859291359994</v>
      </c>
      <c r="AN106">
        <f t="shared" si="91"/>
        <v>781.62668400935752</v>
      </c>
      <c r="AO106">
        <f t="shared" si="92"/>
        <v>-1860.2620481514414</v>
      </c>
      <c r="AQ106">
        <f t="shared" si="78"/>
        <v>1.9286403085824493</v>
      </c>
      <c r="AR106">
        <f t="shared" si="79"/>
        <v>-138.86210221793635</v>
      </c>
      <c r="AT106">
        <f t="shared" si="104"/>
        <v>-246821.850882075</v>
      </c>
      <c r="AU106">
        <f t="shared" si="105"/>
        <v>-709888.86438800825</v>
      </c>
      <c r="AV106">
        <f t="shared" si="93"/>
        <v>-1.9054125028424123</v>
      </c>
      <c r="AW106">
        <f t="shared" si="94"/>
        <v>-250783.68575007489</v>
      </c>
      <c r="AX106">
        <f t="shared" si="95"/>
        <v>-119091.35626570259</v>
      </c>
      <c r="AY106">
        <f t="shared" si="103"/>
        <v>-2.6982448353298194</v>
      </c>
      <c r="BA106">
        <f t="shared" si="80"/>
        <v>2.7071623270449003</v>
      </c>
      <c r="BB106">
        <f t="shared" si="96"/>
        <v>8.6502859549094016</v>
      </c>
      <c r="BC106">
        <f t="shared" si="97"/>
        <v>0.79283233248740714</v>
      </c>
      <c r="BD106">
        <f t="shared" si="81"/>
        <v>-134.57405343505204</v>
      </c>
      <c r="BF106">
        <f t="shared" si="82"/>
        <v>-4.0298363660420602</v>
      </c>
      <c r="BG106">
        <f t="shared" si="83"/>
        <v>-115.30410224223637</v>
      </c>
      <c r="BH106">
        <f t="shared" si="98"/>
        <v>64.695897757763632</v>
      </c>
      <c r="BI106">
        <f t="shared" si="99"/>
        <v>64.695897757763632</v>
      </c>
      <c r="BJ106">
        <f t="shared" si="84"/>
        <v>0</v>
      </c>
      <c r="BK106">
        <f t="shared" si="100"/>
        <v>0</v>
      </c>
      <c r="BM106">
        <f t="shared" si="101"/>
        <v>-12.680122320951464</v>
      </c>
      <c r="BN106">
        <f t="shared" si="85"/>
        <v>-160.73004880718435</v>
      </c>
      <c r="BQ106" s="56">
        <f t="shared" si="102"/>
        <v>25.552246755194538</v>
      </c>
      <c r="BR106" s="59"/>
      <c r="BS106" s="59"/>
      <c r="BT106" s="59">
        <v>912.01099999999997</v>
      </c>
      <c r="BU106" s="59">
        <v>15.6715</v>
      </c>
      <c r="BV106" s="59">
        <v>-261.74869999999999</v>
      </c>
      <c r="BW106" s="61"/>
      <c r="BY106" s="59"/>
      <c r="BZ106" s="59"/>
      <c r="CA106" s="59"/>
      <c r="CC106" s="59"/>
    </row>
    <row r="107" spans="1:81" x14ac:dyDescent="0.25">
      <c r="A107">
        <f t="shared" si="106"/>
        <v>36500</v>
      </c>
      <c r="B107">
        <f t="shared" si="86"/>
        <v>36.5</v>
      </c>
      <c r="C107">
        <f t="shared" si="55"/>
        <v>1.0448166059686941</v>
      </c>
      <c r="D107">
        <f t="shared" si="56"/>
        <v>0.29395387849118498</v>
      </c>
      <c r="F107">
        <f t="shared" si="57"/>
        <v>1.4428289374850981E-2</v>
      </c>
      <c r="G107">
        <f t="shared" si="58"/>
        <v>4.5523234922498934E-2</v>
      </c>
      <c r="H107">
        <f t="shared" si="59"/>
        <v>-3.0960694150775012</v>
      </c>
      <c r="J107">
        <f t="shared" si="60"/>
        <v>15</v>
      </c>
      <c r="M107">
        <f t="shared" si="61"/>
        <v>4.9947415862089908E-2</v>
      </c>
      <c r="N107">
        <f t="shared" si="62"/>
        <v>-1.5707963250000001</v>
      </c>
      <c r="O107">
        <f t="shared" si="63"/>
        <v>6.1184042738082072</v>
      </c>
      <c r="P107">
        <f t="shared" si="64"/>
        <v>1.4066184598590064</v>
      </c>
      <c r="Q107">
        <f t="shared" si="65"/>
        <v>9.4375691914672366</v>
      </c>
      <c r="R107">
        <f t="shared" si="66"/>
        <v>1.4646375550846165</v>
      </c>
      <c r="S107">
        <f t="shared" si="67"/>
        <v>0.95710576792838908</v>
      </c>
      <c r="T107">
        <f t="shared" si="68"/>
        <v>-0.29395387849118493</v>
      </c>
      <c r="U107">
        <f t="shared" si="69"/>
        <v>0.98301709584209906</v>
      </c>
      <c r="V107">
        <f t="shared" si="70"/>
        <v>-0.18455997881385539</v>
      </c>
      <c r="X107">
        <f t="shared" si="87"/>
        <v>-4.242429677926796</v>
      </c>
      <c r="Y107">
        <f t="shared" si="71"/>
        <v>-113.45536688551651</v>
      </c>
      <c r="Z107">
        <f t="shared" si="88"/>
        <v>66.544633114483489</v>
      </c>
      <c r="AC107">
        <v>1</v>
      </c>
      <c r="AD107">
        <f t="shared" si="72"/>
        <v>6.0361304540040006</v>
      </c>
      <c r="AE107">
        <f t="shared" si="73"/>
        <v>-2.0764554060270443E-4</v>
      </c>
      <c r="AF107">
        <f t="shared" si="74"/>
        <v>1.1122808777325E-3</v>
      </c>
      <c r="AG107">
        <f t="shared" si="89"/>
        <v>5081.8566154209402</v>
      </c>
      <c r="AH107">
        <f t="shared" si="90"/>
        <v>-1847.7570776585681</v>
      </c>
      <c r="AJ107">
        <f t="shared" si="75"/>
        <v>18000</v>
      </c>
      <c r="AK107">
        <f t="shared" si="76"/>
        <v>5449.0296195720002</v>
      </c>
      <c r="AL107">
        <v>1</v>
      </c>
      <c r="AM107">
        <f t="shared" si="77"/>
        <v>9.3844399003739998</v>
      </c>
      <c r="AN107">
        <f t="shared" si="91"/>
        <v>776.21945415014204</v>
      </c>
      <c r="AO107">
        <f t="shared" si="92"/>
        <v>-1835.3551974011189</v>
      </c>
      <c r="AQ107">
        <f t="shared" si="78"/>
        <v>1.876172607879925</v>
      </c>
      <c r="AR107">
        <f t="shared" si="79"/>
        <v>-136.96060037523452</v>
      </c>
      <c r="AT107">
        <f t="shared" si="104"/>
        <v>-243535.47852468016</v>
      </c>
      <c r="AU107">
        <f t="shared" si="105"/>
        <v>-699480.84428402851</v>
      </c>
      <c r="AV107">
        <f t="shared" si="93"/>
        <v>-1.9058363991717764</v>
      </c>
      <c r="AW107">
        <f t="shared" si="94"/>
        <v>-243891.71690238497</v>
      </c>
      <c r="AX107">
        <f t="shared" si="95"/>
        <v>-116651.47475005398</v>
      </c>
      <c r="AY107">
        <f t="shared" si="103"/>
        <v>-2.6954617105422263</v>
      </c>
      <c r="BA107">
        <f t="shared" si="80"/>
        <v>2.7396179120344955</v>
      </c>
      <c r="BB107">
        <f t="shared" si="96"/>
        <v>8.7537999405974016</v>
      </c>
      <c r="BC107">
        <f t="shared" si="97"/>
        <v>0.78962531137044989</v>
      </c>
      <c r="BD107">
        <f t="shared" si="81"/>
        <v>-134.75780221007298</v>
      </c>
      <c r="BF107">
        <f t="shared" si="82"/>
        <v>-4.1592766683963136</v>
      </c>
      <c r="BG107">
        <f t="shared" si="83"/>
        <v>-115.30719634795935</v>
      </c>
      <c r="BH107">
        <f t="shared" si="98"/>
        <v>64.692803652040652</v>
      </c>
      <c r="BI107">
        <f t="shared" si="99"/>
        <v>64.692803652040652</v>
      </c>
      <c r="BJ107">
        <f t="shared" si="84"/>
        <v>0</v>
      </c>
      <c r="BK107">
        <f t="shared" si="100"/>
        <v>0</v>
      </c>
      <c r="BM107">
        <f t="shared" si="101"/>
        <v>-12.913076608993714</v>
      </c>
      <c r="BN107">
        <f t="shared" si="85"/>
        <v>-160.54939413788637</v>
      </c>
      <c r="BQ107" s="56">
        <f t="shared" si="102"/>
        <v>25.655760740882538</v>
      </c>
      <c r="BR107" s="59"/>
      <c r="BS107" s="59"/>
      <c r="BT107" s="59">
        <v>933.25400000000002</v>
      </c>
      <c r="BU107" s="59">
        <v>15.471399999999999</v>
      </c>
      <c r="BV107" s="59">
        <v>-261.20730000000003</v>
      </c>
      <c r="BW107" s="61"/>
      <c r="BY107" s="59"/>
      <c r="BZ107" s="59"/>
      <c r="CA107" s="59"/>
      <c r="CC107" s="59"/>
    </row>
    <row r="108" spans="1:81" x14ac:dyDescent="0.25">
      <c r="A108">
        <f t="shared" si="106"/>
        <v>37000</v>
      </c>
      <c r="B108">
        <f t="shared" si="86"/>
        <v>37</v>
      </c>
      <c r="C108">
        <f t="shared" si="55"/>
        <v>1.0460256543279938</v>
      </c>
      <c r="D108">
        <f t="shared" si="56"/>
        <v>0.29774827264968484</v>
      </c>
      <c r="F108">
        <f t="shared" si="57"/>
        <v>1.4035897747180033E-2</v>
      </c>
      <c r="G108">
        <f t="shared" si="58"/>
        <v>4.4891404335241296E-2</v>
      </c>
      <c r="H108">
        <f t="shared" si="59"/>
        <v>-3.0967012456647591</v>
      </c>
      <c r="J108">
        <f t="shared" si="60"/>
        <v>15</v>
      </c>
      <c r="M108">
        <f t="shared" si="61"/>
        <v>4.9272450782872471E-2</v>
      </c>
      <c r="N108">
        <f t="shared" si="62"/>
        <v>-1.5707963250000001</v>
      </c>
      <c r="O108">
        <f t="shared" si="63"/>
        <v>6.1999938379902648</v>
      </c>
      <c r="P108">
        <f t="shared" si="64"/>
        <v>1.4087982097949068</v>
      </c>
      <c r="Q108">
        <f t="shared" si="65"/>
        <v>9.5654091601628561</v>
      </c>
      <c r="R108">
        <f t="shared" si="66"/>
        <v>1.466061594282041</v>
      </c>
      <c r="S108">
        <f t="shared" si="67"/>
        <v>0.95599949758635472</v>
      </c>
      <c r="T108">
        <f t="shared" si="68"/>
        <v>-0.29774827264968479</v>
      </c>
      <c r="U108">
        <f t="shared" si="69"/>
        <v>0.98256080826511716</v>
      </c>
      <c r="V108">
        <f t="shared" si="70"/>
        <v>-0.18703003155946651</v>
      </c>
      <c r="X108">
        <f t="shared" si="87"/>
        <v>-4.3722026808778862</v>
      </c>
      <c r="Y108">
        <f t="shared" si="71"/>
        <v>-113.4266098014044</v>
      </c>
      <c r="Z108">
        <f t="shared" si="88"/>
        <v>66.573390198595604</v>
      </c>
      <c r="AC108">
        <v>1</v>
      </c>
      <c r="AD108">
        <f t="shared" si="72"/>
        <v>6.1188171725520002</v>
      </c>
      <c r="AE108">
        <f t="shared" si="73"/>
        <v>-2.133734247214129E-4</v>
      </c>
      <c r="AF108">
        <f t="shared" si="74"/>
        <v>1.1275176020850001E-3</v>
      </c>
      <c r="AG108">
        <f t="shared" si="89"/>
        <v>5077.1400140619662</v>
      </c>
      <c r="AH108">
        <f t="shared" si="90"/>
        <v>-1847.7110678698466</v>
      </c>
      <c r="AJ108">
        <f t="shared" si="75"/>
        <v>18000</v>
      </c>
      <c r="AK108">
        <f t="shared" si="76"/>
        <v>5523.673860936</v>
      </c>
      <c r="AL108">
        <v>1</v>
      </c>
      <c r="AM108">
        <f t="shared" si="77"/>
        <v>9.5129938716120002</v>
      </c>
      <c r="AN108">
        <f t="shared" si="91"/>
        <v>771.026756997956</v>
      </c>
      <c r="AO108">
        <f t="shared" si="92"/>
        <v>-1811.0989532344306</v>
      </c>
      <c r="AQ108">
        <f t="shared" si="78"/>
        <v>1.8258170531312763</v>
      </c>
      <c r="AR108">
        <f t="shared" si="79"/>
        <v>-135.11046193171444</v>
      </c>
      <c r="AT108">
        <f t="shared" si="104"/>
        <v>-240375.16707742683</v>
      </c>
      <c r="AU108">
        <f t="shared" si="105"/>
        <v>-689348.31496887957</v>
      </c>
      <c r="AV108">
        <f t="shared" si="93"/>
        <v>-1.9063117843410247</v>
      </c>
      <c r="AW108">
        <f t="shared" si="94"/>
        <v>-237272.81783636592</v>
      </c>
      <c r="AX108">
        <f t="shared" si="95"/>
        <v>-114310.52819126341</v>
      </c>
      <c r="AY108">
        <f t="shared" si="103"/>
        <v>-2.6926364743740985</v>
      </c>
      <c r="BA108">
        <f t="shared" si="80"/>
        <v>2.7719468617787997</v>
      </c>
      <c r="BB108">
        <f t="shared" si="96"/>
        <v>8.8556980118874229</v>
      </c>
      <c r="BC108">
        <f t="shared" si="97"/>
        <v>0.78632469003307381</v>
      </c>
      <c r="BD108">
        <f t="shared" si="81"/>
        <v>-134.94691388269155</v>
      </c>
      <c r="BF108">
        <f t="shared" si="82"/>
        <v>-4.2868261741765439</v>
      </c>
      <c r="BG108">
        <f t="shared" si="83"/>
        <v>-115.31510647529686</v>
      </c>
      <c r="BH108">
        <f t="shared" si="98"/>
        <v>64.684893524703142</v>
      </c>
      <c r="BI108">
        <f t="shared" si="99"/>
        <v>64.684893524703142</v>
      </c>
      <c r="BJ108">
        <f t="shared" si="84"/>
        <v>0</v>
      </c>
      <c r="BK108">
        <f t="shared" si="100"/>
        <v>0</v>
      </c>
      <c r="BM108">
        <f t="shared" si="101"/>
        <v>-13.142524186063966</v>
      </c>
      <c r="BN108">
        <f t="shared" si="85"/>
        <v>-160.36819259260531</v>
      </c>
      <c r="BQ108" s="56">
        <f t="shared" si="102"/>
        <v>25.757658812172561</v>
      </c>
      <c r="BR108" s="59"/>
      <c r="BS108" s="59"/>
      <c r="BT108" s="59">
        <v>954.99300000000005</v>
      </c>
      <c r="BU108" s="59">
        <v>15.352499999999999</v>
      </c>
      <c r="BV108" s="59">
        <v>-261.26609999999999</v>
      </c>
      <c r="BW108" s="61"/>
      <c r="BY108" s="59"/>
      <c r="BZ108" s="59"/>
      <c r="CA108" s="59"/>
      <c r="CC108" s="59"/>
    </row>
    <row r="109" spans="1:81" x14ac:dyDescent="0.25">
      <c r="A109">
        <f t="shared" si="106"/>
        <v>37500</v>
      </c>
      <c r="B109">
        <f t="shared" si="86"/>
        <v>37.5</v>
      </c>
      <c r="C109">
        <f t="shared" si="55"/>
        <v>1.0472497278653321</v>
      </c>
      <c r="D109">
        <f t="shared" si="56"/>
        <v>0.30153385108122049</v>
      </c>
      <c r="F109">
        <f t="shared" si="57"/>
        <v>1.3659363395606311E-2</v>
      </c>
      <c r="G109">
        <f t="shared" si="58"/>
        <v>4.4277086238554503E-2</v>
      </c>
      <c r="H109">
        <f t="shared" si="59"/>
        <v>-3.0973155637614456</v>
      </c>
      <c r="J109">
        <f t="shared" si="60"/>
        <v>15</v>
      </c>
      <c r="M109">
        <f t="shared" si="61"/>
        <v>4.8615484772434173E-2</v>
      </c>
      <c r="N109">
        <f t="shared" si="62"/>
        <v>-1.5707963250000001</v>
      </c>
      <c r="O109">
        <f t="shared" si="63"/>
        <v>6.2816120949425436</v>
      </c>
      <c r="P109">
        <f t="shared" si="64"/>
        <v>1.4109213257371858</v>
      </c>
      <c r="Q109">
        <f t="shared" si="65"/>
        <v>9.6932680147598038</v>
      </c>
      <c r="R109">
        <f t="shared" si="66"/>
        <v>1.4674480687094591</v>
      </c>
      <c r="S109">
        <f t="shared" si="67"/>
        <v>0.95488208150538856</v>
      </c>
      <c r="T109">
        <f t="shared" si="68"/>
        <v>-0.30153385108122038</v>
      </c>
      <c r="U109">
        <f t="shared" si="69"/>
        <v>0.98209896049733147</v>
      </c>
      <c r="V109">
        <f t="shared" si="70"/>
        <v>-0.18949777727771819</v>
      </c>
      <c r="X109">
        <f t="shared" si="87"/>
        <v>-4.500141491345464</v>
      </c>
      <c r="Y109">
        <f t="shared" si="71"/>
        <v>-113.40211433415892</v>
      </c>
      <c r="Z109">
        <f t="shared" si="88"/>
        <v>66.597885665841076</v>
      </c>
      <c r="AC109">
        <v>1</v>
      </c>
      <c r="AD109">
        <f t="shared" si="72"/>
        <v>6.2015038911000007</v>
      </c>
      <c r="AE109">
        <f t="shared" si="73"/>
        <v>-2.191792392362943E-4</v>
      </c>
      <c r="AF109">
        <f t="shared" si="74"/>
        <v>1.1427543264375E-3</v>
      </c>
      <c r="AG109">
        <f t="shared" si="89"/>
        <v>5072.3681675435128</v>
      </c>
      <c r="AH109">
        <f t="shared" si="90"/>
        <v>-1847.9543216186462</v>
      </c>
      <c r="AJ109">
        <f t="shared" si="75"/>
        <v>18000</v>
      </c>
      <c r="AK109">
        <f t="shared" si="76"/>
        <v>5598.3181023000006</v>
      </c>
      <c r="AL109">
        <v>1</v>
      </c>
      <c r="AM109">
        <f t="shared" si="77"/>
        <v>9.6415478428499988</v>
      </c>
      <c r="AN109">
        <f t="shared" si="91"/>
        <v>766.03743212251197</v>
      </c>
      <c r="AO109">
        <f t="shared" si="92"/>
        <v>-1787.4684489231561</v>
      </c>
      <c r="AQ109">
        <f t="shared" si="78"/>
        <v>1.7774617845716316</v>
      </c>
      <c r="AR109">
        <f t="shared" si="79"/>
        <v>-133.30963384287239</v>
      </c>
      <c r="AT109">
        <f t="shared" si="104"/>
        <v>-237334.17339824914</v>
      </c>
      <c r="AU109">
        <f t="shared" si="105"/>
        <v>-679480.21131777845</v>
      </c>
      <c r="AV109">
        <f t="shared" si="93"/>
        <v>-1.90683656183618</v>
      </c>
      <c r="AW109">
        <f t="shared" si="94"/>
        <v>-230912.82639610444</v>
      </c>
      <c r="AX109">
        <f t="shared" si="95"/>
        <v>-112062.8805386832</v>
      </c>
      <c r="AY109">
        <f t="shared" si="103"/>
        <v>-2.6897709454859169</v>
      </c>
      <c r="BA109">
        <f t="shared" si="80"/>
        <v>2.8041465894294371</v>
      </c>
      <c r="BB109">
        <f t="shared" si="96"/>
        <v>8.9560142609014033</v>
      </c>
      <c r="BC109">
        <f t="shared" si="97"/>
        <v>0.78293438364973689</v>
      </c>
      <c r="BD109">
        <f t="shared" si="81"/>
        <v>-135.14116412993496</v>
      </c>
      <c r="BF109">
        <f t="shared" si="82"/>
        <v>-4.4125462501558843</v>
      </c>
      <c r="BG109">
        <f t="shared" si="83"/>
        <v>-115.32765688940856</v>
      </c>
      <c r="BH109">
        <f t="shared" si="98"/>
        <v>64.672343110591441</v>
      </c>
      <c r="BI109">
        <f t="shared" si="99"/>
        <v>64.672343110591441</v>
      </c>
      <c r="BJ109">
        <f t="shared" si="84"/>
        <v>0</v>
      </c>
      <c r="BK109">
        <f t="shared" si="100"/>
        <v>0</v>
      </c>
      <c r="BM109">
        <f t="shared" si="101"/>
        <v>-13.368560511057289</v>
      </c>
      <c r="BN109">
        <f t="shared" si="85"/>
        <v>-160.18649275947359</v>
      </c>
      <c r="BQ109" s="56">
        <f t="shared" si="102"/>
        <v>25.85797506118654</v>
      </c>
      <c r="BR109" s="59"/>
      <c r="BS109" s="59"/>
      <c r="BT109" s="59">
        <v>977.23699999999997</v>
      </c>
      <c r="BU109" s="59">
        <v>15.0807</v>
      </c>
      <c r="BV109" s="59">
        <v>-260.93240000000003</v>
      </c>
      <c r="BW109" s="61"/>
      <c r="BY109" s="59"/>
      <c r="BZ109" s="59"/>
      <c r="CA109" s="59"/>
      <c r="CC109" s="59"/>
    </row>
    <row r="110" spans="1:81" x14ac:dyDescent="0.25">
      <c r="A110">
        <f t="shared" si="106"/>
        <v>38000</v>
      </c>
      <c r="B110">
        <f t="shared" si="86"/>
        <v>38</v>
      </c>
      <c r="C110">
        <f t="shared" si="55"/>
        <v>1.0484887739566193</v>
      </c>
      <c r="D110">
        <f t="shared" si="56"/>
        <v>0.30531053635418676</v>
      </c>
      <c r="F110">
        <f t="shared" si="57"/>
        <v>1.3297839932515751E-2</v>
      </c>
      <c r="G110">
        <f t="shared" si="58"/>
        <v>4.3679554409818237E-2</v>
      </c>
      <c r="H110">
        <f t="shared" si="59"/>
        <v>-3.0979130955901821</v>
      </c>
      <c r="J110">
        <f t="shared" si="60"/>
        <v>15</v>
      </c>
      <c r="M110">
        <f t="shared" si="61"/>
        <v>4.7975807341217938E-2</v>
      </c>
      <c r="N110">
        <f t="shared" si="62"/>
        <v>-1.5707963250000001</v>
      </c>
      <c r="O110">
        <f t="shared" si="63"/>
        <v>6.3632579405826464</v>
      </c>
      <c r="P110">
        <f t="shared" si="64"/>
        <v>1.412989968149835</v>
      </c>
      <c r="Q110">
        <f t="shared" si="65"/>
        <v>9.8211450176466499</v>
      </c>
      <c r="R110">
        <f t="shared" si="66"/>
        <v>1.4687984402747019</v>
      </c>
      <c r="S110">
        <f t="shared" si="67"/>
        <v>0.95375365463033035</v>
      </c>
      <c r="T110">
        <f t="shared" si="68"/>
        <v>-0.3053105363541867</v>
      </c>
      <c r="U110">
        <f t="shared" si="69"/>
        <v>0.98163157723876016</v>
      </c>
      <c r="V110">
        <f t="shared" si="70"/>
        <v>-0.19196318918566979</v>
      </c>
      <c r="X110">
        <f t="shared" si="87"/>
        <v>-4.6263035161059509</v>
      </c>
      <c r="Y110">
        <f t="shared" si="71"/>
        <v>-113.38171301210444</v>
      </c>
      <c r="Z110">
        <f t="shared" si="88"/>
        <v>66.618286987895559</v>
      </c>
      <c r="AC110">
        <v>1</v>
      </c>
      <c r="AD110">
        <f t="shared" si="72"/>
        <v>6.2841906096480002</v>
      </c>
      <c r="AE110">
        <f t="shared" si="73"/>
        <v>-2.250629841473486E-4</v>
      </c>
      <c r="AF110">
        <f t="shared" si="74"/>
        <v>1.15799105079E-3</v>
      </c>
      <c r="AG110">
        <f t="shared" si="89"/>
        <v>5067.5414119155612</v>
      </c>
      <c r="AH110">
        <f t="shared" si="90"/>
        <v>-1848.4736915675562</v>
      </c>
      <c r="AJ110">
        <f t="shared" si="75"/>
        <v>18000</v>
      </c>
      <c r="AK110">
        <f t="shared" si="76"/>
        <v>5672.9623436640004</v>
      </c>
      <c r="AL110">
        <v>1</v>
      </c>
      <c r="AM110">
        <f t="shared" si="77"/>
        <v>9.7701018140879992</v>
      </c>
      <c r="AN110">
        <f t="shared" si="91"/>
        <v>761.24103296314968</v>
      </c>
      <c r="AO110">
        <f t="shared" si="92"/>
        <v>-1764.4400534474903</v>
      </c>
      <c r="AQ110">
        <f t="shared" si="78"/>
        <v>1.7310022503029254</v>
      </c>
      <c r="AR110">
        <f t="shared" si="79"/>
        <v>-131.55617102302233</v>
      </c>
      <c r="AT110">
        <f t="shared" si="104"/>
        <v>-234406.19551188973</v>
      </c>
      <c r="AU110">
        <f t="shared" si="105"/>
        <v>-669866.05677194078</v>
      </c>
      <c r="AV110">
        <f t="shared" si="93"/>
        <v>-1.9074087391528722</v>
      </c>
      <c r="AW110">
        <f t="shared" si="94"/>
        <v>-224798.48312918318</v>
      </c>
      <c r="AX110">
        <f t="shared" si="95"/>
        <v>-109903.298162443</v>
      </c>
      <c r="AY110">
        <f t="shared" si="103"/>
        <v>-2.6868668533384001</v>
      </c>
      <c r="BA110">
        <f t="shared" si="80"/>
        <v>2.836214564295485</v>
      </c>
      <c r="BB110">
        <f t="shared" si="96"/>
        <v>9.0547816569109099</v>
      </c>
      <c r="BC110">
        <f t="shared" si="97"/>
        <v>0.77945811418552791</v>
      </c>
      <c r="BD110">
        <f t="shared" si="81"/>
        <v>-135.34033969891195</v>
      </c>
      <c r="BF110">
        <f t="shared" si="82"/>
        <v>-4.5364954442490726</v>
      </c>
      <c r="BG110">
        <f t="shared" si="83"/>
        <v>-115.34468038339854</v>
      </c>
      <c r="BH110">
        <f t="shared" si="98"/>
        <v>64.65531961660146</v>
      </c>
      <c r="BI110">
        <f t="shared" si="99"/>
        <v>64.65531961660146</v>
      </c>
      <c r="BJ110">
        <f t="shared" si="84"/>
        <v>0</v>
      </c>
      <c r="BK110">
        <f t="shared" si="100"/>
        <v>0</v>
      </c>
      <c r="BM110">
        <f t="shared" si="101"/>
        <v>-13.59127710115998</v>
      </c>
      <c r="BN110">
        <f t="shared" si="85"/>
        <v>-160.00434068448661</v>
      </c>
      <c r="BQ110" s="56">
        <f t="shared" si="102"/>
        <v>25.956742457196043</v>
      </c>
      <c r="BR110" s="59"/>
      <c r="BS110" s="59"/>
      <c r="BT110" s="59">
        <v>1000</v>
      </c>
      <c r="BU110" s="59">
        <v>14.883800000000001</v>
      </c>
      <c r="BV110" s="59">
        <v>-260.5154</v>
      </c>
      <c r="BW110" s="61"/>
      <c r="BY110" s="59"/>
      <c r="BZ110" s="59"/>
      <c r="CA110" s="59"/>
      <c r="CC110" s="59"/>
    </row>
    <row r="111" spans="1:81" x14ac:dyDescent="0.25">
      <c r="A111">
        <f t="shared" si="106"/>
        <v>38500</v>
      </c>
      <c r="B111">
        <f t="shared" si="86"/>
        <v>38.5</v>
      </c>
      <c r="C111">
        <f t="shared" si="55"/>
        <v>1.0497427395840544</v>
      </c>
      <c r="D111">
        <f t="shared" si="56"/>
        <v>0.30907825241508424</v>
      </c>
      <c r="F111">
        <f t="shared" si="57"/>
        <v>1.2950536905922445E-2</v>
      </c>
      <c r="G111">
        <f t="shared" si="58"/>
        <v>4.3098122630059493E-2</v>
      </c>
      <c r="H111">
        <f t="shared" si="59"/>
        <v>-3.0984945273699407</v>
      </c>
      <c r="J111">
        <f t="shared" si="60"/>
        <v>15</v>
      </c>
      <c r="M111">
        <f t="shared" si="61"/>
        <v>4.7352744908215109E-2</v>
      </c>
      <c r="N111">
        <f t="shared" si="62"/>
        <v>-1.5707963250000001</v>
      </c>
      <c r="O111">
        <f t="shared" si="63"/>
        <v>6.4449303264113142</v>
      </c>
      <c r="P111">
        <f t="shared" si="64"/>
        <v>1.4150061899051589</v>
      </c>
      <c r="Q111">
        <f t="shared" si="65"/>
        <v>9.9490394690325701</v>
      </c>
      <c r="R111">
        <f t="shared" si="66"/>
        <v>1.4701140962573964</v>
      </c>
      <c r="S111">
        <f t="shared" si="67"/>
        <v>0.95261435234716241</v>
      </c>
      <c r="T111">
        <f t="shared" si="68"/>
        <v>-0.30907825241508419</v>
      </c>
      <c r="U111">
        <f t="shared" si="69"/>
        <v>0.98115868342148849</v>
      </c>
      <c r="V111">
        <f t="shared" si="70"/>
        <v>-0.19442624066449674</v>
      </c>
      <c r="X111">
        <f t="shared" si="87"/>
        <v>-4.750743517636832</v>
      </c>
      <c r="Y111">
        <f t="shared" si="71"/>
        <v>-113.36524652135873</v>
      </c>
      <c r="Z111">
        <f t="shared" si="88"/>
        <v>66.634753478641272</v>
      </c>
      <c r="AC111">
        <v>1</v>
      </c>
      <c r="AD111">
        <f t="shared" si="72"/>
        <v>6.3668773281960007</v>
      </c>
      <c r="AE111">
        <f t="shared" si="73"/>
        <v>-2.3102465945457583E-4</v>
      </c>
      <c r="AF111">
        <f t="shared" si="74"/>
        <v>1.1732277751424999E-3</v>
      </c>
      <c r="AG111">
        <f t="shared" si="89"/>
        <v>5062.6600861070219</v>
      </c>
      <c r="AH111">
        <f t="shared" si="90"/>
        <v>-1849.2566987374889</v>
      </c>
      <c r="AJ111">
        <f t="shared" si="75"/>
        <v>18000</v>
      </c>
      <c r="AK111">
        <f t="shared" si="76"/>
        <v>5747.6065850280002</v>
      </c>
      <c r="AL111">
        <v>1</v>
      </c>
      <c r="AM111">
        <f t="shared" si="77"/>
        <v>9.8986557853259995</v>
      </c>
      <c r="AN111">
        <f t="shared" si="91"/>
        <v>756.6277729176428</v>
      </c>
      <c r="AO111">
        <f t="shared" si="92"/>
        <v>-1741.9912967015521</v>
      </c>
      <c r="AQ111">
        <f t="shared" si="78"/>
        <v>1.6863406408094435</v>
      </c>
      <c r="AR111">
        <f t="shared" si="79"/>
        <v>-129.84822934232716</v>
      </c>
      <c r="AT111">
        <f t="shared" si="104"/>
        <v>-231585.33847669416</v>
      </c>
      <c r="AU111">
        <f t="shared" si="105"/>
        <v>-660495.92466944049</v>
      </c>
      <c r="AV111">
        <f t="shared" si="93"/>
        <v>-1.9080264214289586</v>
      </c>
      <c r="AW111">
        <f t="shared" si="94"/>
        <v>-218917.36339431931</v>
      </c>
      <c r="AX111">
        <f t="shared" si="95"/>
        <v>-107826.91583975453</v>
      </c>
      <c r="AY111">
        <f t="shared" si="103"/>
        <v>-2.6839258439482081</v>
      </c>
      <c r="BA111">
        <f t="shared" si="80"/>
        <v>2.8681483095177214</v>
      </c>
      <c r="BB111">
        <f t="shared" si="96"/>
        <v>9.1520320915180271</v>
      </c>
      <c r="BC111">
        <f t="shared" si="97"/>
        <v>0.77589942251924948</v>
      </c>
      <c r="BD111">
        <f t="shared" si="81"/>
        <v>-135.54423771221107</v>
      </c>
      <c r="BF111">
        <f t="shared" si="82"/>
        <v>-4.6587296587013789</v>
      </c>
      <c r="BG111">
        <f t="shared" si="83"/>
        <v>-115.36601775485092</v>
      </c>
      <c r="BH111">
        <f t="shared" si="98"/>
        <v>64.633982245149085</v>
      </c>
      <c r="BI111">
        <f t="shared" si="99"/>
        <v>64.633982245149085</v>
      </c>
      <c r="BJ111">
        <f t="shared" si="84"/>
        <v>0</v>
      </c>
      <c r="BK111">
        <f t="shared" si="100"/>
        <v>0</v>
      </c>
      <c r="BM111">
        <f t="shared" si="101"/>
        <v>-13.810761750219404</v>
      </c>
      <c r="BN111">
        <f t="shared" si="85"/>
        <v>-159.82178004263989</v>
      </c>
      <c r="BQ111" s="56">
        <f t="shared" si="102"/>
        <v>26.053992891803162</v>
      </c>
      <c r="BR111" s="59"/>
      <c r="BS111" s="59"/>
      <c r="BT111" s="59">
        <v>1023.293</v>
      </c>
      <c r="BU111" s="59">
        <v>14.7437</v>
      </c>
      <c r="BV111" s="59">
        <v>-261.12389999999999</v>
      </c>
      <c r="BW111" s="61"/>
      <c r="BY111" s="59"/>
      <c r="BZ111" s="59"/>
      <c r="CA111" s="59"/>
      <c r="CC111" s="59"/>
    </row>
    <row r="112" spans="1:81" x14ac:dyDescent="0.25">
      <c r="A112">
        <f t="shared" si="106"/>
        <v>39000</v>
      </c>
      <c r="B112">
        <f t="shared" si="86"/>
        <v>39</v>
      </c>
      <c r="C112">
        <f t="shared" si="55"/>
        <v>1.0510115713459844</v>
      </c>
      <c r="D112">
        <f t="shared" si="56"/>
        <v>0.31283692458977019</v>
      </c>
      <c r="F112">
        <f t="shared" si="57"/>
        <v>1.2616715405778946E-2</v>
      </c>
      <c r="G112">
        <f t="shared" si="58"/>
        <v>4.2532141943104278E-2</v>
      </c>
      <c r="H112">
        <f t="shared" si="59"/>
        <v>-3.0990605080568958</v>
      </c>
      <c r="J112">
        <f t="shared" si="60"/>
        <v>15</v>
      </c>
      <c r="M112">
        <f t="shared" si="61"/>
        <v>4.6745658435032866E-2</v>
      </c>
      <c r="N112">
        <f t="shared" si="62"/>
        <v>-1.5707963250000001</v>
      </c>
      <c r="O112">
        <f t="shared" si="63"/>
        <v>6.5266282560793094</v>
      </c>
      <c r="P112">
        <f t="shared" si="64"/>
        <v>1.4169719428424228</v>
      </c>
      <c r="Q112">
        <f t="shared" si="65"/>
        <v>10.07695070456</v>
      </c>
      <c r="R112">
        <f t="shared" si="66"/>
        <v>1.471396353995015</v>
      </c>
      <c r="S112">
        <f t="shared" si="67"/>
        <v>0.95146431044459756</v>
      </c>
      <c r="T112">
        <f t="shared" si="68"/>
        <v>-0.31283692458977008</v>
      </c>
      <c r="U112">
        <f t="shared" si="69"/>
        <v>0.98068030420616747</v>
      </c>
      <c r="V112">
        <f t="shared" si="70"/>
        <v>-0.1968869052608769</v>
      </c>
      <c r="X112">
        <f t="shared" si="87"/>
        <v>-4.8735137746224888</v>
      </c>
      <c r="Y112">
        <f t="shared" si="71"/>
        <v>-113.35256321867833</v>
      </c>
      <c r="Z112">
        <f t="shared" si="88"/>
        <v>66.647436781321673</v>
      </c>
      <c r="AC112">
        <v>1</v>
      </c>
      <c r="AD112">
        <f t="shared" si="72"/>
        <v>6.4495640467440012</v>
      </c>
      <c r="AE112">
        <f t="shared" si="73"/>
        <v>-2.3706426515797594E-4</v>
      </c>
      <c r="AF112">
        <f t="shared" si="74"/>
        <v>1.188464499495E-3</v>
      </c>
      <c r="AG112">
        <f t="shared" si="89"/>
        <v>5057.7245318694295</v>
      </c>
      <c r="AH112">
        <f t="shared" si="90"/>
        <v>-1850.291489946474</v>
      </c>
      <c r="AJ112">
        <f t="shared" si="75"/>
        <v>18000</v>
      </c>
      <c r="AK112">
        <f t="shared" si="76"/>
        <v>5822.2508263919999</v>
      </c>
      <c r="AL112">
        <v>1</v>
      </c>
      <c r="AM112">
        <f t="shared" si="77"/>
        <v>10.027209756564</v>
      </c>
      <c r="AN112">
        <f t="shared" si="91"/>
        <v>752.18847610530815</v>
      </c>
      <c r="AO112">
        <f t="shared" si="92"/>
        <v>-1720.1007999861524</v>
      </c>
      <c r="AQ112">
        <f t="shared" si="78"/>
        <v>1.6433853738701725</v>
      </c>
      <c r="AR112">
        <f t="shared" si="79"/>
        <v>-128.18405916187345</v>
      </c>
      <c r="AT112">
        <f t="shared" si="104"/>
        <v>-228866.08329327122</v>
      </c>
      <c r="AU112">
        <f t="shared" si="105"/>
        <v>-651360.40258958412</v>
      </c>
      <c r="AV112">
        <f t="shared" si="93"/>
        <v>-1.9086878055353467</v>
      </c>
      <c r="AW112">
        <f t="shared" si="94"/>
        <v>-213257.81532741312</v>
      </c>
      <c r="AX112">
        <f t="shared" si="95"/>
        <v>-105829.20603199895</v>
      </c>
      <c r="AY112">
        <f t="shared" si="103"/>
        <v>-2.680949485208608</v>
      </c>
      <c r="BA112">
        <f t="shared" si="80"/>
        <v>2.8999453999528586</v>
      </c>
      <c r="BB112">
        <f t="shared" si="96"/>
        <v>9.247796421962482</v>
      </c>
      <c r="BC112">
        <f t="shared" si="97"/>
        <v>0.77226167967326131</v>
      </c>
      <c r="BD112">
        <f t="shared" si="81"/>
        <v>-135.75266502447826</v>
      </c>
      <c r="BF112">
        <f t="shared" si="82"/>
        <v>-4.7793023101010839</v>
      </c>
      <c r="BG112">
        <f t="shared" si="83"/>
        <v>-115.39151731937481</v>
      </c>
      <c r="BH112">
        <f t="shared" si="98"/>
        <v>64.608482680625187</v>
      </c>
      <c r="BI112">
        <f t="shared" si="99"/>
        <v>64.608482680625187</v>
      </c>
      <c r="BJ112">
        <f t="shared" si="84"/>
        <v>0</v>
      </c>
      <c r="BK112">
        <f t="shared" si="100"/>
        <v>0</v>
      </c>
      <c r="BM112">
        <f t="shared" si="101"/>
        <v>-14.027098732063568</v>
      </c>
      <c r="BN112">
        <f t="shared" si="85"/>
        <v>-159.63885229489654</v>
      </c>
      <c r="BQ112" s="56">
        <f t="shared" si="102"/>
        <v>26.149757222247622</v>
      </c>
      <c r="BR112" s="59"/>
      <c r="BS112" s="59"/>
      <c r="BT112" s="59">
        <v>1047.1289999999999</v>
      </c>
      <c r="BU112" s="59">
        <v>14.586600000000001</v>
      </c>
      <c r="BV112" s="59">
        <v>-260.40769999999998</v>
      </c>
      <c r="BW112" s="61"/>
      <c r="BY112" s="59"/>
      <c r="BZ112" s="59"/>
      <c r="CA112" s="59"/>
      <c r="CC112" s="59"/>
    </row>
    <row r="113" spans="1:81" x14ac:dyDescent="0.25">
      <c r="A113">
        <f t="shared" si="106"/>
        <v>39500</v>
      </c>
      <c r="B113">
        <f t="shared" si="86"/>
        <v>39.5</v>
      </c>
      <c r="C113">
        <f t="shared" si="55"/>
        <v>1.0522952154667495</v>
      </c>
      <c r="D113">
        <f t="shared" si="56"/>
        <v>0.316586479584266</v>
      </c>
      <c r="F113">
        <f t="shared" si="57"/>
        <v>1.2295684069060986E-2</v>
      </c>
      <c r="G113">
        <f t="shared" si="58"/>
        <v>4.1980998138701667E-2</v>
      </c>
      <c r="H113">
        <f t="shared" si="59"/>
        <v>-3.0996116518612986</v>
      </c>
      <c r="J113">
        <f t="shared" si="60"/>
        <v>15</v>
      </c>
      <c r="M113">
        <f t="shared" si="61"/>
        <v>4.6153941239652697E-2</v>
      </c>
      <c r="N113">
        <f t="shared" si="62"/>
        <v>-1.5707963250000001</v>
      </c>
      <c r="O113">
        <f t="shared" si="63"/>
        <v>6.6083507822041296</v>
      </c>
      <c r="P113">
        <f t="shared" si="64"/>
        <v>1.4188890838566621</v>
      </c>
      <c r="Q113">
        <f t="shared" si="65"/>
        <v>10.204878093095417</v>
      </c>
      <c r="R113">
        <f t="shared" si="66"/>
        <v>1.4726464652213886</v>
      </c>
      <c r="S113">
        <f t="shared" si="67"/>
        <v>0.95030366507600839</v>
      </c>
      <c r="T113">
        <f t="shared" si="68"/>
        <v>-0.31658647958426595</v>
      </c>
      <c r="U113">
        <f t="shared" si="69"/>
        <v>0.98019646497849366</v>
      </c>
      <c r="V113">
        <f t="shared" si="70"/>
        <v>-0.19934515668834937</v>
      </c>
      <c r="X113">
        <f t="shared" si="87"/>
        <v>-4.9946642304577029</v>
      </c>
      <c r="Y113">
        <f t="shared" si="71"/>
        <v>-113.34351867830078</v>
      </c>
      <c r="Z113">
        <f t="shared" si="88"/>
        <v>66.656481321699218</v>
      </c>
      <c r="AC113">
        <v>1</v>
      </c>
      <c r="AD113">
        <f t="shared" si="72"/>
        <v>6.5322507652919999</v>
      </c>
      <c r="AE113">
        <f t="shared" si="73"/>
        <v>-2.4318180125754892E-4</v>
      </c>
      <c r="AF113">
        <f t="shared" si="74"/>
        <v>1.2037012238474999E-3</v>
      </c>
      <c r="AG113">
        <f t="shared" si="89"/>
        <v>5052.7350937204164</v>
      </c>
      <c r="AH113">
        <f t="shared" si="90"/>
        <v>-1851.5667984819836</v>
      </c>
      <c r="AJ113">
        <f t="shared" si="75"/>
        <v>18000</v>
      </c>
      <c r="AK113">
        <f t="shared" si="76"/>
        <v>5896.8950677560006</v>
      </c>
      <c r="AL113">
        <v>1</v>
      </c>
      <c r="AM113">
        <f t="shared" si="77"/>
        <v>10.155763727802</v>
      </c>
      <c r="AN113">
        <f t="shared" si="91"/>
        <v>747.9145323485327</v>
      </c>
      <c r="AO113">
        <f t="shared" si="92"/>
        <v>-1698.7482113652238</v>
      </c>
      <c r="AQ113">
        <f t="shared" si="78"/>
        <v>1.6020506247997437</v>
      </c>
      <c r="AR113">
        <f t="shared" si="79"/>
        <v>-126.56199935917975</v>
      </c>
      <c r="AT113">
        <f t="shared" si="104"/>
        <v>-226243.25854911294</v>
      </c>
      <c r="AU113">
        <f t="shared" si="105"/>
        <v>-642450.55943991488</v>
      </c>
      <c r="AV113">
        <f t="shared" si="93"/>
        <v>-1.9093911745874284</v>
      </c>
      <c r="AW113">
        <f t="shared" si="94"/>
        <v>-207808.90309777818</v>
      </c>
      <c r="AX113">
        <f t="shared" si="95"/>
        <v>-103905.95109611283</v>
      </c>
      <c r="AY113">
        <f t="shared" si="103"/>
        <v>-2.6779392718126598</v>
      </c>
      <c r="BA113">
        <f t="shared" si="80"/>
        <v>2.9316034602492342</v>
      </c>
      <c r="BB113">
        <f t="shared" si="96"/>
        <v>9.3421045126129449</v>
      </c>
      <c r="BC113">
        <f t="shared" si="97"/>
        <v>0.76854809722523143</v>
      </c>
      <c r="BD113">
        <f t="shared" si="81"/>
        <v>-135.96543762586737</v>
      </c>
      <c r="BF113">
        <f t="shared" si="82"/>
        <v>-4.8982644773932247</v>
      </c>
      <c r="BG113">
        <f t="shared" si="83"/>
        <v>-115.42103445821473</v>
      </c>
      <c r="BH113">
        <f t="shared" si="98"/>
        <v>64.578965541785266</v>
      </c>
      <c r="BI113">
        <f t="shared" si="99"/>
        <v>64.578965541785266</v>
      </c>
      <c r="BJ113">
        <f t="shared" si="84"/>
        <v>0</v>
      </c>
      <c r="BK113">
        <f t="shared" si="100"/>
        <v>0</v>
      </c>
      <c r="BM113">
        <f t="shared" si="101"/>
        <v>-14.240368990006171</v>
      </c>
      <c r="BN113">
        <f t="shared" si="85"/>
        <v>-159.45559683234737</v>
      </c>
      <c r="BQ113" s="56">
        <f t="shared" si="102"/>
        <v>26.24406531289808</v>
      </c>
      <c r="BR113" s="59"/>
      <c r="BS113" s="59"/>
      <c r="BT113" s="59">
        <v>1071.519</v>
      </c>
      <c r="BU113" s="59">
        <v>14.3581</v>
      </c>
      <c r="BV113" s="59">
        <v>-260.5301</v>
      </c>
      <c r="BW113" s="61"/>
      <c r="BY113" s="59"/>
      <c r="BZ113" s="59"/>
      <c r="CA113" s="59"/>
      <c r="CC113" s="59"/>
    </row>
    <row r="114" spans="1:81" x14ac:dyDescent="0.25">
      <c r="A114">
        <f t="shared" si="106"/>
        <v>40000</v>
      </c>
      <c r="B114">
        <f t="shared" si="86"/>
        <v>40</v>
      </c>
      <c r="C114">
        <f t="shared" si="55"/>
        <v>1.0535936178065095</v>
      </c>
      <c r="D114">
        <f t="shared" si="56"/>
        <v>0.32032684548512702</v>
      </c>
      <c r="F114">
        <f t="shared" si="57"/>
        <v>1.1986795442663159E-2</v>
      </c>
      <c r="G114">
        <f t="shared" si="58"/>
        <v>4.1444109438420355E-2</v>
      </c>
      <c r="H114">
        <f t="shared" si="59"/>
        <v>-3.1001485405615798</v>
      </c>
      <c r="J114">
        <f t="shared" si="60"/>
        <v>15</v>
      </c>
      <c r="M114">
        <f t="shared" si="61"/>
        <v>4.5577016974157038E-2</v>
      </c>
      <c r="N114">
        <f t="shared" si="62"/>
        <v>-1.5707963250000001</v>
      </c>
      <c r="O114">
        <f t="shared" si="63"/>
        <v>6.6900970034156808</v>
      </c>
      <c r="P114">
        <f t="shared" si="64"/>
        <v>1.4207593805561032</v>
      </c>
      <c r="Q114">
        <f t="shared" si="65"/>
        <v>10.332821034682995</v>
      </c>
      <c r="R114">
        <f t="shared" si="66"/>
        <v>1.4738656200872873</v>
      </c>
      <c r="S114">
        <f t="shared" si="67"/>
        <v>0.94913255272171559</v>
      </c>
      <c r="T114">
        <f t="shared" si="68"/>
        <v>-0.32032684548512691</v>
      </c>
      <c r="U114">
        <f t="shared" si="69"/>
        <v>0.97970719134567408</v>
      </c>
      <c r="V114">
        <f t="shared" si="70"/>
        <v>-0.20180096882864582</v>
      </c>
      <c r="X114">
        <f t="shared" si="87"/>
        <v>-5.1142426308062667</v>
      </c>
      <c r="Y114">
        <f t="shared" si="71"/>
        <v>-113.33797527010076</v>
      </c>
      <c r="Z114">
        <f t="shared" si="88"/>
        <v>66.662024729899244</v>
      </c>
      <c r="AC114">
        <v>1</v>
      </c>
      <c r="AD114">
        <f t="shared" si="72"/>
        <v>6.6149374838400004</v>
      </c>
      <c r="AE114">
        <f t="shared" si="73"/>
        <v>-2.4937726775329486E-4</v>
      </c>
      <c r="AF114">
        <f t="shared" si="74"/>
        <v>1.2189379481999999E-3</v>
      </c>
      <c r="AG114">
        <f t="shared" si="89"/>
        <v>5047.6921188870228</v>
      </c>
      <c r="AH114">
        <f t="shared" si="90"/>
        <v>-1853.0719077237814</v>
      </c>
      <c r="AJ114">
        <f t="shared" si="75"/>
        <v>18000</v>
      </c>
      <c r="AK114">
        <f t="shared" si="76"/>
        <v>5971.5393091200003</v>
      </c>
      <c r="AL114">
        <v>1</v>
      </c>
      <c r="AM114">
        <f t="shared" si="77"/>
        <v>10.284317699039999</v>
      </c>
      <c r="AN114">
        <f t="shared" si="91"/>
        <v>743.79785596607167</v>
      </c>
      <c r="AO114">
        <f t="shared" si="92"/>
        <v>-1677.9141454998737</v>
      </c>
      <c r="AQ114">
        <f t="shared" si="78"/>
        <v>1.562255897516013</v>
      </c>
      <c r="AR114">
        <f t="shared" si="79"/>
        <v>-124.98047180128106</v>
      </c>
      <c r="AT114">
        <f t="shared" si="104"/>
        <v>-223712.01452744179</v>
      </c>
      <c r="AU114">
        <f t="shared" si="105"/>
        <v>-633757.91504247091</v>
      </c>
      <c r="AV114">
        <f t="shared" si="93"/>
        <v>-1.910134892842974</v>
      </c>
      <c r="AW114">
        <f t="shared" si="94"/>
        <v>-202560.35494730997</v>
      </c>
      <c r="AX114">
        <f t="shared" si="95"/>
        <v>-102053.21811635203</v>
      </c>
      <c r="AY114">
        <f t="shared" si="103"/>
        <v>-2.6748966298128245</v>
      </c>
      <c r="BA114">
        <f t="shared" si="80"/>
        <v>2.9631201630972201</v>
      </c>
      <c r="BB114">
        <f t="shared" si="96"/>
        <v>9.4349852747031946</v>
      </c>
      <c r="BC114">
        <f t="shared" si="97"/>
        <v>0.7647617369698505</v>
      </c>
      <c r="BD114">
        <f t="shared" si="81"/>
        <v>-136.18238008846464</v>
      </c>
      <c r="BF114">
        <f t="shared" si="82"/>
        <v>-5.015665038952239</v>
      </c>
      <c r="BG114">
        <f t="shared" si="83"/>
        <v>-115.45443119724271</v>
      </c>
      <c r="BH114">
        <f t="shared" si="98"/>
        <v>64.545568802757288</v>
      </c>
      <c r="BI114">
        <f t="shared" si="99"/>
        <v>64.545568802757288</v>
      </c>
      <c r="BJ114">
        <f t="shared" si="84"/>
        <v>0</v>
      </c>
      <c r="BK114">
        <f t="shared" si="100"/>
        <v>0</v>
      </c>
      <c r="BM114">
        <f t="shared" si="101"/>
        <v>-14.45065031365543</v>
      </c>
      <c r="BN114">
        <f t="shared" si="85"/>
        <v>-159.27205110877807</v>
      </c>
      <c r="BQ114" s="56">
        <f t="shared" si="102"/>
        <v>26.336946074988333</v>
      </c>
      <c r="BR114" s="59"/>
      <c r="BS114" s="59"/>
      <c r="BT114" s="59">
        <v>1096.4780000000001</v>
      </c>
      <c r="BU114" s="59">
        <v>14.1501</v>
      </c>
      <c r="BV114" s="59">
        <v>-260.5471</v>
      </c>
      <c r="BW114" s="61"/>
      <c r="BY114" s="59"/>
      <c r="BZ114" s="59"/>
      <c r="CA114" s="59"/>
      <c r="CC114" s="59"/>
    </row>
    <row r="115" spans="1:81" x14ac:dyDescent="0.25">
      <c r="A115">
        <f t="shared" si="106"/>
        <v>40500</v>
      </c>
      <c r="B115">
        <f t="shared" si="86"/>
        <v>40.5</v>
      </c>
      <c r="C115">
        <f t="shared" si="55"/>
        <v>1.0549067238710461</v>
      </c>
      <c r="D115">
        <f t="shared" si="56"/>
        <v>0.32405795175938035</v>
      </c>
      <c r="F115">
        <f t="shared" si="57"/>
        <v>1.1689442667829937E-2</v>
      </c>
      <c r="G115">
        <f t="shared" si="58"/>
        <v>4.092092436539263E-2</v>
      </c>
      <c r="H115">
        <f t="shared" si="59"/>
        <v>-3.1006717256346077</v>
      </c>
      <c r="J115">
        <f t="shared" si="60"/>
        <v>15</v>
      </c>
      <c r="M115">
        <f t="shared" si="61"/>
        <v>4.5014337752253865E-2</v>
      </c>
      <c r="N115">
        <f t="shared" si="62"/>
        <v>-1.5707963250000001</v>
      </c>
      <c r="O115">
        <f t="shared" si="63"/>
        <v>6.77186606161208</v>
      </c>
      <c r="P115">
        <f t="shared" si="64"/>
        <v>1.4225845165231286</v>
      </c>
      <c r="Q115">
        <f t="shared" si="65"/>
        <v>10.460778958647301</v>
      </c>
      <c r="R115">
        <f t="shared" si="66"/>
        <v>1.4750549508898345</v>
      </c>
      <c r="S115">
        <f t="shared" si="67"/>
        <v>0.94795111015165168</v>
      </c>
      <c r="T115">
        <f t="shared" si="68"/>
        <v>-0.32405795175938029</v>
      </c>
      <c r="U115">
        <f t="shared" si="69"/>
        <v>0.97921250913287483</v>
      </c>
      <c r="V115">
        <f t="shared" si="70"/>
        <v>-0.20425431573299413</v>
      </c>
      <c r="X115">
        <f t="shared" si="87"/>
        <v>-5.2322946511653647</v>
      </c>
      <c r="Y115">
        <f t="shared" si="71"/>
        <v>-113.33580176660867</v>
      </c>
      <c r="Z115">
        <f t="shared" si="88"/>
        <v>66.664198233391332</v>
      </c>
      <c r="AC115">
        <v>1</v>
      </c>
      <c r="AD115">
        <f t="shared" si="72"/>
        <v>6.6976242023880008</v>
      </c>
      <c r="AE115">
        <f t="shared" si="73"/>
        <v>-2.5565066464521366E-4</v>
      </c>
      <c r="AF115">
        <f t="shared" si="74"/>
        <v>1.2341746725525E-3</v>
      </c>
      <c r="AG115">
        <f t="shared" si="89"/>
        <v>5042.5959572487936</v>
      </c>
      <c r="AH115">
        <f t="shared" si="90"/>
        <v>-1854.7966174622211</v>
      </c>
      <c r="AJ115">
        <f t="shared" si="75"/>
        <v>18000</v>
      </c>
      <c r="AK115">
        <f t="shared" si="76"/>
        <v>6046.1835504840001</v>
      </c>
      <c r="AL115">
        <v>1</v>
      </c>
      <c r="AM115">
        <f t="shared" si="77"/>
        <v>10.412871670277999</v>
      </c>
      <c r="AN115">
        <f t="shared" si="91"/>
        <v>739.83084801489019</v>
      </c>
      <c r="AO115">
        <f t="shared" si="92"/>
        <v>-1657.5801276079976</v>
      </c>
      <c r="AQ115">
        <f t="shared" si="78"/>
        <v>1.5239256324291375</v>
      </c>
      <c r="AR115">
        <f t="shared" si="79"/>
        <v>-123.43797622676013</v>
      </c>
      <c r="AT115">
        <f t="shared" si="104"/>
        <v>-221267.79953854176</v>
      </c>
      <c r="AU115">
        <f t="shared" si="105"/>
        <v>-625274.41200032691</v>
      </c>
      <c r="AV115">
        <f t="shared" si="93"/>
        <v>-1.9109174009554339</v>
      </c>
      <c r="AW115">
        <f t="shared" si="94"/>
        <v>-197502.51555919065</v>
      </c>
      <c r="AX115">
        <f t="shared" si="95"/>
        <v>-100267.33607954399</v>
      </c>
      <c r="AY115">
        <f t="shared" si="103"/>
        <v>-2.6718229208476387</v>
      </c>
      <c r="BA115">
        <f t="shared" si="80"/>
        <v>2.9944932276391762</v>
      </c>
      <c r="BB115">
        <f t="shared" si="96"/>
        <v>9.526466704375423</v>
      </c>
      <c r="BC115">
        <f t="shared" si="97"/>
        <v>0.76090551989220478</v>
      </c>
      <c r="BD115">
        <f t="shared" si="81"/>
        <v>-136.4033250521525</v>
      </c>
      <c r="BF115">
        <f t="shared" si="82"/>
        <v>-5.1315507996647272</v>
      </c>
      <c r="BG115">
        <f t="shared" si="83"/>
        <v>-115.49157581487974</v>
      </c>
      <c r="BH115">
        <f t="shared" si="98"/>
        <v>64.508424185120262</v>
      </c>
      <c r="BI115">
        <f t="shared" si="99"/>
        <v>64.508424185120262</v>
      </c>
      <c r="BJ115">
        <f t="shared" si="84"/>
        <v>0</v>
      </c>
      <c r="BK115">
        <f t="shared" si="100"/>
        <v>0</v>
      </c>
      <c r="BM115">
        <f t="shared" si="101"/>
        <v>-14.658017504040151</v>
      </c>
      <c r="BN115">
        <f t="shared" si="85"/>
        <v>-159.08825076272726</v>
      </c>
      <c r="BQ115" s="56">
        <f t="shared" si="102"/>
        <v>26.428427504660558</v>
      </c>
      <c r="BR115" s="59"/>
      <c r="BS115" s="59"/>
      <c r="BT115" s="59">
        <v>1122.018</v>
      </c>
      <c r="BU115" s="59">
        <v>13.9679</v>
      </c>
      <c r="BV115" s="59">
        <v>-259.93099999999998</v>
      </c>
      <c r="BW115" s="61"/>
      <c r="BY115" s="59"/>
      <c r="BZ115" s="59"/>
      <c r="CA115" s="59"/>
      <c r="CC115" s="59"/>
    </row>
    <row r="116" spans="1:81" x14ac:dyDescent="0.25">
      <c r="A116">
        <f t="shared" si="106"/>
        <v>41000</v>
      </c>
      <c r="B116">
        <f t="shared" si="86"/>
        <v>41</v>
      </c>
      <c r="C116">
        <f t="shared" si="55"/>
        <v>1.0562344788215428</v>
      </c>
      <c r="D116">
        <f t="shared" si="56"/>
        <v>0.32777972925403748</v>
      </c>
      <c r="F116">
        <f t="shared" si="57"/>
        <v>1.1403056453943841E-2</v>
      </c>
      <c r="G116">
        <f t="shared" si="58"/>
        <v>4.0410919780983455E-2</v>
      </c>
      <c r="H116">
        <f t="shared" si="59"/>
        <v>-3.1011817302190168</v>
      </c>
      <c r="J116">
        <f t="shared" si="60"/>
        <v>15</v>
      </c>
      <c r="M116">
        <f t="shared" si="61"/>
        <v>4.4465382413811746E-2</v>
      </c>
      <c r="N116">
        <f t="shared" si="62"/>
        <v>-1.5707963250000001</v>
      </c>
      <c r="O116">
        <f t="shared" si="63"/>
        <v>6.8536571394084191</v>
      </c>
      <c r="P116">
        <f t="shared" si="64"/>
        <v>1.4243660962105507</v>
      </c>
      <c r="Q116">
        <f t="shared" si="65"/>
        <v>10.58875132183257</v>
      </c>
      <c r="R116">
        <f t="shared" si="66"/>
        <v>1.4762155355349813</v>
      </c>
      <c r="S116">
        <f t="shared" si="67"/>
        <v>0.94675947438841002</v>
      </c>
      <c r="T116">
        <f t="shared" si="68"/>
        <v>-0.32777972925403742</v>
      </c>
      <c r="U116">
        <f t="shared" si="69"/>
        <v>0.97871244437965432</v>
      </c>
      <c r="V116">
        <f t="shared" si="70"/>
        <v>-0.2067051716233945</v>
      </c>
      <c r="X116">
        <f t="shared" si="87"/>
        <v>-5.3488640152923033</v>
      </c>
      <c r="Y116">
        <f t="shared" si="71"/>
        <v>-113.33687297665347</v>
      </c>
      <c r="Z116">
        <f t="shared" si="88"/>
        <v>66.663127023346533</v>
      </c>
      <c r="AC116">
        <v>1</v>
      </c>
      <c r="AD116">
        <f t="shared" si="72"/>
        <v>6.7803109209359995</v>
      </c>
      <c r="AE116">
        <f t="shared" si="73"/>
        <v>-2.6200199193330539E-4</v>
      </c>
      <c r="AF116">
        <f t="shared" si="74"/>
        <v>1.2494113969049999E-3</v>
      </c>
      <c r="AG116">
        <f t="shared" si="89"/>
        <v>5037.4469612807397</v>
      </c>
      <c r="AH116">
        <f t="shared" si="90"/>
        <v>-1856.7312126818383</v>
      </c>
      <c r="AJ116">
        <f t="shared" si="75"/>
        <v>18000</v>
      </c>
      <c r="AK116">
        <f t="shared" si="76"/>
        <v>6120.8277918479998</v>
      </c>
      <c r="AL116">
        <v>1</v>
      </c>
      <c r="AM116">
        <f t="shared" si="77"/>
        <v>10.541425641516</v>
      </c>
      <c r="AN116">
        <f t="shared" si="91"/>
        <v>736.00636165568017</v>
      </c>
      <c r="AO116">
        <f t="shared" si="92"/>
        <v>-1637.7285412280844</v>
      </c>
      <c r="AQ116">
        <f t="shared" si="78"/>
        <v>1.486988847583643</v>
      </c>
      <c r="AR116">
        <f t="shared" si="79"/>
        <v>-121.93308550185874</v>
      </c>
      <c r="AT116">
        <f t="shared" si="104"/>
        <v>-218906.33825818589</v>
      </c>
      <c r="AU116">
        <f t="shared" si="105"/>
        <v>-616992.38964714122</v>
      </c>
      <c r="AV116">
        <f t="shared" si="93"/>
        <v>-1.9117372115543851</v>
      </c>
      <c r="AW116">
        <f t="shared" si="94"/>
        <v>-192626.30235031043</v>
      </c>
      <c r="AX116">
        <f t="shared" si="95"/>
        <v>-98544.875149208965</v>
      </c>
      <c r="AY116">
        <f t="shared" si="103"/>
        <v>-2.6687194460631862</v>
      </c>
      <c r="BA116">
        <f t="shared" si="80"/>
        <v>3.0257204180252608</v>
      </c>
      <c r="BB116">
        <f t="shared" si="96"/>
        <v>9.6165759190939823</v>
      </c>
      <c r="BC116">
        <f t="shared" si="97"/>
        <v>0.75698223450880109</v>
      </c>
      <c r="BD116">
        <f t="shared" si="81"/>
        <v>-136.62811274670375</v>
      </c>
      <c r="BF116">
        <f t="shared" si="82"/>
        <v>-5.2459666088788044</v>
      </c>
      <c r="BG116">
        <f t="shared" si="83"/>
        <v>-115.53234247670906</v>
      </c>
      <c r="BH116">
        <f t="shared" si="98"/>
        <v>64.467657523290939</v>
      </c>
      <c r="BI116">
        <f t="shared" si="99"/>
        <v>64.467657523290939</v>
      </c>
      <c r="BJ116">
        <f t="shared" si="84"/>
        <v>0</v>
      </c>
      <c r="BK116">
        <f t="shared" si="100"/>
        <v>0</v>
      </c>
      <c r="BM116">
        <f t="shared" si="101"/>
        <v>-14.862542527972789</v>
      </c>
      <c r="BN116">
        <f t="shared" si="85"/>
        <v>-158.90422973000534</v>
      </c>
      <c r="BQ116" s="56">
        <f t="shared" si="102"/>
        <v>26.518536719379121</v>
      </c>
      <c r="BR116" s="59"/>
      <c r="BS116" s="59"/>
      <c r="BT116" s="59">
        <v>1148.154</v>
      </c>
      <c r="BU116" s="59">
        <v>13.7508</v>
      </c>
      <c r="BV116" s="59">
        <v>-259.94799999999998</v>
      </c>
      <c r="BW116" s="61"/>
      <c r="BY116" s="59"/>
      <c r="BZ116" s="59"/>
      <c r="CA116" s="59"/>
      <c r="CC116" s="59"/>
    </row>
    <row r="117" spans="1:81" x14ac:dyDescent="0.25">
      <c r="A117">
        <f t="shared" si="106"/>
        <v>41500</v>
      </c>
      <c r="B117">
        <f t="shared" si="86"/>
        <v>41.5</v>
      </c>
      <c r="C117">
        <f t="shared" si="55"/>
        <v>1.0575768274843333</v>
      </c>
      <c r="D117">
        <f t="shared" si="56"/>
        <v>0.33149211019518821</v>
      </c>
      <c r="F117">
        <f t="shared" si="57"/>
        <v>1.1127102313080979E-2</v>
      </c>
      <c r="G117">
        <f t="shared" si="58"/>
        <v>3.9913599073228258E-2</v>
      </c>
      <c r="H117">
        <f t="shared" si="59"/>
        <v>-3.101679050926772</v>
      </c>
      <c r="J117">
        <f t="shared" si="60"/>
        <v>15</v>
      </c>
      <c r="M117">
        <f t="shared" si="61"/>
        <v>4.3929654914850159E-2</v>
      </c>
      <c r="N117">
        <f t="shared" si="62"/>
        <v>-1.5707963250000001</v>
      </c>
      <c r="O117">
        <f t="shared" si="63"/>
        <v>6.9354694577629692</v>
      </c>
      <c r="P117">
        <f t="shared" si="64"/>
        <v>1.4261056495021094</v>
      </c>
      <c r="Q117">
        <f t="shared" si="65"/>
        <v>10.716737606967243</v>
      </c>
      <c r="R117">
        <f t="shared" si="66"/>
        <v>1.4773484007550044</v>
      </c>
      <c r="S117">
        <f t="shared" si="67"/>
        <v>0.94555778267070034</v>
      </c>
      <c r="T117">
        <f t="shared" si="68"/>
        <v>-0.33149211019518815</v>
      </c>
      <c r="U117">
        <f t="shared" si="69"/>
        <v>0.97820702333638365</v>
      </c>
      <c r="V117">
        <f t="shared" si="70"/>
        <v>-0.20915351089386752</v>
      </c>
      <c r="X117">
        <f t="shared" si="87"/>
        <v>-5.4639926052657302</v>
      </c>
      <c r="Y117">
        <f t="shared" si="71"/>
        <v>-113.34106940358247</v>
      </c>
      <c r="Z117">
        <f t="shared" si="88"/>
        <v>66.658930596417534</v>
      </c>
      <c r="AC117">
        <v>1</v>
      </c>
      <c r="AD117">
        <f t="shared" si="72"/>
        <v>6.862997639484</v>
      </c>
      <c r="AE117">
        <f t="shared" si="73"/>
        <v>-2.6843124961757007E-4</v>
      </c>
      <c r="AF117">
        <f t="shared" si="74"/>
        <v>1.2646481212574999E-3</v>
      </c>
      <c r="AG117">
        <f t="shared" si="89"/>
        <v>5032.2454859961535</v>
      </c>
      <c r="AH117">
        <f t="shared" si="90"/>
        <v>-1858.866434602219</v>
      </c>
      <c r="AJ117">
        <f t="shared" si="75"/>
        <v>18000</v>
      </c>
      <c r="AK117">
        <f t="shared" si="76"/>
        <v>6195.4720332120005</v>
      </c>
      <c r="AL117">
        <v>1</v>
      </c>
      <c r="AM117">
        <f t="shared" si="77"/>
        <v>10.669979612754</v>
      </c>
      <c r="AN117">
        <f t="shared" si="91"/>
        <v>732.31767035109112</v>
      </c>
      <c r="AO117">
        <f t="shared" si="92"/>
        <v>-1618.3425794936447</v>
      </c>
      <c r="AQ117">
        <f t="shared" si="78"/>
        <v>1.4513788098693758</v>
      </c>
      <c r="AR117">
        <f t="shared" si="79"/>
        <v>-120.4644412191582</v>
      </c>
      <c r="AT117">
        <f t="shared" si="104"/>
        <v>-216623.61188096958</v>
      </c>
      <c r="AU117">
        <f t="shared" si="105"/>
        <v>-608904.559901717</v>
      </c>
      <c r="AV117">
        <f t="shared" si="93"/>
        <v>-1.9125929051273654</v>
      </c>
      <c r="AW117">
        <f t="shared" si="94"/>
        <v>-187923.16532371347</v>
      </c>
      <c r="AX117">
        <f t="shared" si="95"/>
        <v>-96882.62782210164</v>
      </c>
      <c r="AY117">
        <f t="shared" si="103"/>
        <v>-2.6655874497544927</v>
      </c>
      <c r="BA117">
        <f t="shared" si="80"/>
        <v>3.056799542102663</v>
      </c>
      <c r="BB117">
        <f t="shared" si="96"/>
        <v>9.7053391924928007</v>
      </c>
      <c r="BC117">
        <f t="shared" si="97"/>
        <v>0.75299454462712734</v>
      </c>
      <c r="BD117">
        <f t="shared" si="81"/>
        <v>-136.85659054719176</v>
      </c>
      <c r="BF117">
        <f t="shared" si="82"/>
        <v>-5.3589554699927202</v>
      </c>
      <c r="BG117">
        <f t="shared" si="83"/>
        <v>-115.57661089473268</v>
      </c>
      <c r="BH117">
        <f t="shared" si="98"/>
        <v>64.423389105267319</v>
      </c>
      <c r="BI117">
        <f t="shared" si="99"/>
        <v>64.423389105267319</v>
      </c>
      <c r="BJ117">
        <f t="shared" si="84"/>
        <v>0</v>
      </c>
      <c r="BK117">
        <f t="shared" si="100"/>
        <v>0</v>
      </c>
      <c r="BM117">
        <f t="shared" si="101"/>
        <v>-15.064294662485523</v>
      </c>
      <c r="BN117">
        <f t="shared" si="85"/>
        <v>-158.72002034754095</v>
      </c>
      <c r="BQ117" s="56">
        <f t="shared" si="102"/>
        <v>26.607299992777939</v>
      </c>
      <c r="BR117" s="59"/>
      <c r="BS117" s="59"/>
      <c r="BT117" s="59">
        <v>1174.8979999999999</v>
      </c>
      <c r="BU117" s="59">
        <v>13.6038</v>
      </c>
      <c r="BV117" s="59">
        <v>-260.19870000000003</v>
      </c>
      <c r="BW117" s="61"/>
      <c r="BY117" s="59"/>
      <c r="BZ117" s="59"/>
      <c r="CA117" s="59"/>
      <c r="CC117" s="59"/>
    </row>
    <row r="118" spans="1:81" x14ac:dyDescent="0.25">
      <c r="A118">
        <f t="shared" si="106"/>
        <v>42000</v>
      </c>
      <c r="B118">
        <f t="shared" si="86"/>
        <v>42</v>
      </c>
      <c r="C118">
        <f t="shared" si="55"/>
        <v>1.0589337143606188</v>
      </c>
      <c r="D118">
        <f t="shared" si="56"/>
        <v>0.33519502818668184</v>
      </c>
      <c r="F118">
        <f t="shared" si="57"/>
        <v>1.0861078029892028E-2</v>
      </c>
      <c r="G118">
        <f t="shared" si="58"/>
        <v>3.9428490483444149E-2</v>
      </c>
      <c r="H118">
        <f t="shared" si="59"/>
        <v>-3.1021641595165561</v>
      </c>
      <c r="J118">
        <f t="shared" si="60"/>
        <v>15</v>
      </c>
      <c r="M118">
        <f t="shared" si="61"/>
        <v>4.3406682832530512E-2</v>
      </c>
      <c r="N118">
        <f t="shared" si="62"/>
        <v>-1.5707963250000001</v>
      </c>
      <c r="O118">
        <f t="shared" si="63"/>
        <v>7.017302273766636</v>
      </c>
      <c r="P118">
        <f t="shared" si="64"/>
        <v>1.4278046359635401</v>
      </c>
      <c r="Q118">
        <f t="shared" si="65"/>
        <v>10.844737321143517</v>
      </c>
      <c r="R118">
        <f t="shared" si="66"/>
        <v>1.4784545251009475</v>
      </c>
      <c r="S118">
        <f t="shared" si="67"/>
        <v>0.94434617241721985</v>
      </c>
      <c r="T118">
        <f t="shared" si="68"/>
        <v>-0.33519502818668179</v>
      </c>
      <c r="U118">
        <f t="shared" si="69"/>
        <v>0.97769627246065227</v>
      </c>
      <c r="V118">
        <f t="shared" si="70"/>
        <v>-0.21159930811167477</v>
      </c>
      <c r="X118">
        <f t="shared" si="87"/>
        <v>-5.577720563879196</v>
      </c>
      <c r="Y118">
        <f t="shared" si="71"/>
        <v>-113.34827692618703</v>
      </c>
      <c r="Z118">
        <f t="shared" si="88"/>
        <v>66.651723073812974</v>
      </c>
      <c r="AC118">
        <v>1</v>
      </c>
      <c r="AD118">
        <f t="shared" si="72"/>
        <v>6.9456843580320005</v>
      </c>
      <c r="AE118">
        <f t="shared" si="73"/>
        <v>-2.7493843769800763E-4</v>
      </c>
      <c r="AF118">
        <f t="shared" si="74"/>
        <v>1.27988484561E-3</v>
      </c>
      <c r="AG118">
        <f t="shared" si="89"/>
        <v>5026.9918888892762</v>
      </c>
      <c r="AH118">
        <f t="shared" si="90"/>
        <v>-1861.193453787982</v>
      </c>
      <c r="AJ118">
        <f t="shared" si="75"/>
        <v>18000</v>
      </c>
      <c r="AK118">
        <f t="shared" si="76"/>
        <v>6270.1162745760003</v>
      </c>
      <c r="AL118">
        <v>1</v>
      </c>
      <c r="AM118">
        <f t="shared" si="77"/>
        <v>10.798533583991999</v>
      </c>
      <c r="AN118">
        <f t="shared" si="91"/>
        <v>728.75843863576483</v>
      </c>
      <c r="AO118">
        <f t="shared" si="92"/>
        <v>-1599.4061996498795</v>
      </c>
      <c r="AQ118">
        <f t="shared" si="78"/>
        <v>1.4170327334561428</v>
      </c>
      <c r="AR118">
        <f t="shared" si="79"/>
        <v>-119.03074961031599</v>
      </c>
      <c r="AT118">
        <f t="shared" si="104"/>
        <v>-214415.83991682189</v>
      </c>
      <c r="AU118">
        <f t="shared" si="105"/>
        <v>-601003.98486678069</v>
      </c>
      <c r="AV118">
        <f t="shared" si="93"/>
        <v>-1.9134831261796179</v>
      </c>
      <c r="AW118">
        <f t="shared" si="94"/>
        <v>-183385.05015472177</v>
      </c>
      <c r="AX118">
        <f t="shared" si="95"/>
        <v>-95277.591775361143</v>
      </c>
      <c r="AY118">
        <f t="shared" si="103"/>
        <v>-2.6624281227496334</v>
      </c>
      <c r="BA118">
        <f t="shared" si="80"/>
        <v>3.0877284502268951</v>
      </c>
      <c r="BB118">
        <f t="shared" si="96"/>
        <v>9.7927819877192448</v>
      </c>
      <c r="BC118">
        <f t="shared" si="97"/>
        <v>0.74894499657001545</v>
      </c>
      <c r="BD118">
        <f t="shared" si="81"/>
        <v>-137.0886125600648</v>
      </c>
      <c r="BF118">
        <f t="shared" si="82"/>
        <v>-5.4705586423807953</v>
      </c>
      <c r="BG118">
        <f t="shared" si="83"/>
        <v>-115.62426600939958</v>
      </c>
      <c r="BH118">
        <f t="shared" si="98"/>
        <v>64.375733990600423</v>
      </c>
      <c r="BI118">
        <f t="shared" si="99"/>
        <v>64.375733990600423</v>
      </c>
      <c r="BJ118">
        <f t="shared" si="84"/>
        <v>0</v>
      </c>
      <c r="BK118">
        <f t="shared" si="100"/>
        <v>0</v>
      </c>
      <c r="BM118">
        <f t="shared" si="101"/>
        <v>-15.263340630100039</v>
      </c>
      <c r="BN118">
        <f t="shared" si="85"/>
        <v>-158.53565344933477</v>
      </c>
      <c r="BQ118" s="56">
        <f t="shared" si="102"/>
        <v>26.69474278800438</v>
      </c>
      <c r="BR118" s="59"/>
      <c r="BS118" s="59"/>
      <c r="BT118" s="59">
        <v>1202.2639999999999</v>
      </c>
      <c r="BU118" s="59">
        <v>13.412800000000001</v>
      </c>
      <c r="BV118" s="59">
        <v>-259.34100000000001</v>
      </c>
      <c r="BW118" s="61"/>
      <c r="BY118" s="59"/>
      <c r="BZ118" s="59"/>
      <c r="CA118" s="59"/>
      <c r="CC118" s="59"/>
    </row>
    <row r="119" spans="1:81" x14ac:dyDescent="0.25">
      <c r="A119">
        <f t="shared" si="106"/>
        <v>42500</v>
      </c>
      <c r="B119">
        <f t="shared" si="86"/>
        <v>42.5</v>
      </c>
      <c r="C119">
        <f t="shared" si="55"/>
        <v>1.0603050836361505</v>
      </c>
      <c r="D119">
        <f t="shared" si="56"/>
        <v>0.33888841820840349</v>
      </c>
      <c r="F119">
        <f t="shared" si="57"/>
        <v>1.0604511344133235E-2</v>
      </c>
      <c r="G119">
        <f t="shared" si="58"/>
        <v>3.8955145558800329E-2</v>
      </c>
      <c r="H119">
        <f t="shared" si="59"/>
        <v>-3.1026375044412</v>
      </c>
      <c r="J119">
        <f t="shared" si="60"/>
        <v>15</v>
      </c>
      <c r="M119">
        <f t="shared" si="61"/>
        <v>4.2896015975677215E-2</v>
      </c>
      <c r="N119">
        <f t="shared" si="62"/>
        <v>-1.5707963250000001</v>
      </c>
      <c r="O119">
        <f t="shared" si="63"/>
        <v>7.0991548785828247</v>
      </c>
      <c r="P119">
        <f t="shared" si="64"/>
        <v>1.4294644488082431</v>
      </c>
      <c r="Q119">
        <f t="shared" si="65"/>
        <v>10.972749994402603</v>
      </c>
      <c r="R119">
        <f t="shared" si="66"/>
        <v>1.4795348417281118</v>
      </c>
      <c r="S119">
        <f t="shared" si="67"/>
        <v>0.94312478119095344</v>
      </c>
      <c r="T119">
        <f t="shared" si="68"/>
        <v>-0.33888841820840337</v>
      </c>
      <c r="U119">
        <f t="shared" si="69"/>
        <v>0.9771802184136642</v>
      </c>
      <c r="V119">
        <f t="shared" si="70"/>
        <v>-0.21404253801851095</v>
      </c>
      <c r="X119">
        <f t="shared" si="87"/>
        <v>-5.6900863899978447</v>
      </c>
      <c r="Y119">
        <f t="shared" si="71"/>
        <v>-113.35838650061903</v>
      </c>
      <c r="Z119">
        <f t="shared" si="88"/>
        <v>66.641613499380966</v>
      </c>
      <c r="AC119">
        <v>1</v>
      </c>
      <c r="AD119">
        <f t="shared" si="72"/>
        <v>7.0283710765800009</v>
      </c>
      <c r="AE119">
        <f t="shared" si="73"/>
        <v>-2.8152355617461807E-4</v>
      </c>
      <c r="AF119">
        <f t="shared" si="74"/>
        <v>1.2951215699624999E-3</v>
      </c>
      <c r="AG119">
        <f t="shared" si="89"/>
        <v>5021.6865298778812</v>
      </c>
      <c r="AH119">
        <f t="shared" si="90"/>
        <v>-1863.7038451573994</v>
      </c>
      <c r="AJ119">
        <f t="shared" si="75"/>
        <v>18000</v>
      </c>
      <c r="AK119">
        <f t="shared" si="76"/>
        <v>6344.76051594</v>
      </c>
      <c r="AL119">
        <v>1</v>
      </c>
      <c r="AM119">
        <f t="shared" si="77"/>
        <v>10.927087555229999</v>
      </c>
      <c r="AN119">
        <f t="shared" si="91"/>
        <v>725.3226952239047</v>
      </c>
      <c r="AO119">
        <f t="shared" si="92"/>
        <v>-1580.9040805670097</v>
      </c>
      <c r="AQ119">
        <f t="shared" si="78"/>
        <v>1.3838915029061722</v>
      </c>
      <c r="AR119">
        <f t="shared" si="79"/>
        <v>-117.63077774702464</v>
      </c>
      <c r="AT119">
        <f t="shared" si="104"/>
        <v>-212279.46347702891</v>
      </c>
      <c r="AU119">
        <f t="shared" si="105"/>
        <v>-593284.0560265393</v>
      </c>
      <c r="AV119">
        <f t="shared" si="93"/>
        <v>-1.9144065796503025</v>
      </c>
      <c r="AW119">
        <f t="shared" si="94"/>
        <v>-179004.36421753259</v>
      </c>
      <c r="AX119">
        <f t="shared" si="95"/>
        <v>-93726.954234033241</v>
      </c>
      <c r="AY119">
        <f t="shared" si="103"/>
        <v>-2.6592426055572504</v>
      </c>
      <c r="BA119">
        <f t="shared" si="80"/>
        <v>3.1185050341849467</v>
      </c>
      <c r="BB119">
        <f t="shared" si="96"/>
        <v>9.8789289893365861</v>
      </c>
      <c r="BC119">
        <f t="shared" si="97"/>
        <v>0.74483602590694797</v>
      </c>
      <c r="BD119">
        <f t="shared" si="81"/>
        <v>-137.32403923747063</v>
      </c>
      <c r="BF119">
        <f t="shared" si="82"/>
        <v>-5.5808157362876409</v>
      </c>
      <c r="BG119">
        <f t="shared" si="83"/>
        <v>-115.67519769269028</v>
      </c>
      <c r="BH119">
        <f t="shared" si="98"/>
        <v>64.324802307309724</v>
      </c>
      <c r="BI119">
        <f t="shared" si="99"/>
        <v>64.324802307309724</v>
      </c>
      <c r="BJ119">
        <f t="shared" si="84"/>
        <v>0</v>
      </c>
      <c r="BK119">
        <f t="shared" si="100"/>
        <v>0</v>
      </c>
      <c r="BM119">
        <f t="shared" si="101"/>
        <v>-15.459744725624224</v>
      </c>
      <c r="BN119">
        <f t="shared" si="85"/>
        <v>-158.35115845521963</v>
      </c>
      <c r="BQ119" s="56">
        <f t="shared" si="102"/>
        <v>26.780889789621725</v>
      </c>
      <c r="BR119" s="59"/>
      <c r="BS119" s="59"/>
      <c r="BT119" s="59">
        <v>1230.269</v>
      </c>
      <c r="BU119" s="59">
        <v>13.1837</v>
      </c>
      <c r="BV119" s="59">
        <v>-259.55099999999999</v>
      </c>
      <c r="BW119" s="61"/>
      <c r="BY119" s="59"/>
      <c r="BZ119" s="59"/>
      <c r="CA119" s="59"/>
      <c r="CC119" s="59"/>
    </row>
    <row r="120" spans="1:81" x14ac:dyDescent="0.25">
      <c r="A120">
        <f t="shared" si="106"/>
        <v>43000</v>
      </c>
      <c r="B120">
        <f t="shared" si="86"/>
        <v>43</v>
      </c>
      <c r="C120">
        <f t="shared" si="55"/>
        <v>1.0616908791908737</v>
      </c>
      <c r="D120">
        <f t="shared" si="56"/>
        <v>0.34257221661415121</v>
      </c>
      <c r="F120">
        <f t="shared" si="57"/>
        <v>1.0356957825607343E-2</v>
      </c>
      <c r="G120">
        <f t="shared" si="58"/>
        <v>3.8493137719858392E-2</v>
      </c>
      <c r="H120">
        <f t="shared" si="59"/>
        <v>-3.1030995122801417</v>
      </c>
      <c r="J120">
        <f t="shared" si="60"/>
        <v>15</v>
      </c>
      <c r="M120">
        <f t="shared" si="61"/>
        <v>4.2397225092239109E-2</v>
      </c>
      <c r="N120">
        <f t="shared" si="62"/>
        <v>-1.5707963250000001</v>
      </c>
      <c r="O120">
        <f t="shared" si="63"/>
        <v>7.1810265955259283</v>
      </c>
      <c r="P120">
        <f t="shared" si="64"/>
        <v>1.4310864185994885</v>
      </c>
      <c r="Q120">
        <f t="shared" si="65"/>
        <v>11.100775178417212</v>
      </c>
      <c r="R120">
        <f t="shared" si="66"/>
        <v>1.4805902409910505</v>
      </c>
      <c r="S120">
        <f t="shared" si="67"/>
        <v>0.9418937466639169</v>
      </c>
      <c r="T120">
        <f t="shared" si="68"/>
        <v>-0.34257221661415116</v>
      </c>
      <c r="U120">
        <f t="shared" si="69"/>
        <v>0.97665888805662027</v>
      </c>
      <c r="V120">
        <f t="shared" si="70"/>
        <v>-0.21648317553166885</v>
      </c>
      <c r="X120">
        <f t="shared" si="87"/>
        <v>-5.8011270274499847</v>
      </c>
      <c r="Y120">
        <f t="shared" si="71"/>
        <v>-113.37129388172872</v>
      </c>
      <c r="Z120">
        <f t="shared" si="88"/>
        <v>66.628706118271282</v>
      </c>
      <c r="AC120">
        <v>1</v>
      </c>
      <c r="AD120">
        <f t="shared" si="72"/>
        <v>7.1110577951279996</v>
      </c>
      <c r="AE120">
        <f t="shared" si="73"/>
        <v>-2.881866050474014E-4</v>
      </c>
      <c r="AF120">
        <f t="shared" si="74"/>
        <v>1.3103582943149999E-3</v>
      </c>
      <c r="AG120">
        <f t="shared" si="89"/>
        <v>5016.3297712457343</v>
      </c>
      <c r="AH120">
        <f t="shared" si="90"/>
        <v>-1866.3895647350353</v>
      </c>
      <c r="AJ120">
        <f t="shared" si="75"/>
        <v>18000</v>
      </c>
      <c r="AK120">
        <f t="shared" si="76"/>
        <v>6419.4047573039998</v>
      </c>
      <c r="AL120">
        <v>1</v>
      </c>
      <c r="AM120">
        <f t="shared" si="77"/>
        <v>11.055641526467999</v>
      </c>
      <c r="AN120">
        <f t="shared" si="91"/>
        <v>722.00480824377246</v>
      </c>
      <c r="AO120">
        <f t="shared" si="92"/>
        <v>-1562.8215830254144</v>
      </c>
      <c r="AQ120">
        <f t="shared" si="78"/>
        <v>1.35189941868325</v>
      </c>
      <c r="AR120">
        <f t="shared" si="79"/>
        <v>-116.2633500067595</v>
      </c>
      <c r="AT120">
        <f t="shared" si="104"/>
        <v>-210211.12991208234</v>
      </c>
      <c r="AU120">
        <f t="shared" si="105"/>
        <v>-585738.47491127241</v>
      </c>
      <c r="AV120">
        <f t="shared" si="93"/>
        <v>-1.9153620275655896</v>
      </c>
      <c r="AW120">
        <f t="shared" si="94"/>
        <v>-174773.94528855255</v>
      </c>
      <c r="AX120">
        <f t="shared" si="95"/>
        <v>-92228.077707659002</v>
      </c>
      <c r="AY120">
        <f t="shared" si="103"/>
        <v>-2.6560319912962989</v>
      </c>
      <c r="BA120">
        <f t="shared" si="80"/>
        <v>3.1491272262208434</v>
      </c>
      <c r="BB120">
        <f t="shared" si="96"/>
        <v>9.9638041338456063</v>
      </c>
      <c r="BC120">
        <f t="shared" si="97"/>
        <v>0.74066996373070926</v>
      </c>
      <c r="BD120">
        <f t="shared" si="81"/>
        <v>-137.56273701763095</v>
      </c>
      <c r="BF120">
        <f t="shared" si="82"/>
        <v>-5.6897648012627355</v>
      </c>
      <c r="BG120">
        <f t="shared" si="83"/>
        <v>-115.7293004706866</v>
      </c>
      <c r="BH120">
        <f t="shared" si="98"/>
        <v>64.270699529313404</v>
      </c>
      <c r="BI120">
        <f t="shared" si="99"/>
        <v>64.270699529313404</v>
      </c>
      <c r="BJ120">
        <f t="shared" si="84"/>
        <v>0</v>
      </c>
      <c r="BK120">
        <f t="shared" si="100"/>
        <v>0</v>
      </c>
      <c r="BM120">
        <f t="shared" si="101"/>
        <v>-15.653568935108343</v>
      </c>
      <c r="BN120">
        <f t="shared" si="85"/>
        <v>-158.16656345305566</v>
      </c>
      <c r="BQ120" s="56">
        <f t="shared" si="102"/>
        <v>26.865764934130745</v>
      </c>
      <c r="BR120" s="59"/>
      <c r="BS120" s="59"/>
      <c r="BT120" s="59">
        <v>1258.925</v>
      </c>
      <c r="BU120" s="59">
        <v>13.0792</v>
      </c>
      <c r="BV120" s="59">
        <v>-259.27199999999999</v>
      </c>
      <c r="BW120" s="61"/>
      <c r="BY120" s="59"/>
      <c r="BZ120" s="59"/>
      <c r="CA120" s="59"/>
      <c r="CC120" s="59"/>
    </row>
    <row r="121" spans="1:81" x14ac:dyDescent="0.25">
      <c r="A121">
        <f t="shared" si="106"/>
        <v>43500</v>
      </c>
      <c r="B121">
        <f t="shared" si="86"/>
        <v>43.5</v>
      </c>
      <c r="C121">
        <f t="shared" si="55"/>
        <v>1.0630910446085295</v>
      </c>
      <c r="D121">
        <f t="shared" si="56"/>
        <v>0.34624636112912227</v>
      </c>
      <c r="F121">
        <f t="shared" si="57"/>
        <v>1.0117998923421887E-2</v>
      </c>
      <c r="G121">
        <f t="shared" si="58"/>
        <v>3.8042060933180903E-2</v>
      </c>
      <c r="H121">
        <f t="shared" si="59"/>
        <v>-3.1035505890668191</v>
      </c>
      <c r="J121">
        <f t="shared" si="60"/>
        <v>15</v>
      </c>
      <c r="M121">
        <f t="shared" si="61"/>
        <v>4.1909900665891529E-2</v>
      </c>
      <c r="N121">
        <f t="shared" si="62"/>
        <v>-1.5707963250000001</v>
      </c>
      <c r="O121">
        <f t="shared" si="63"/>
        <v>7.2629167782677753</v>
      </c>
      <c r="P121">
        <f t="shared" si="64"/>
        <v>1.4326718167092094</v>
      </c>
      <c r="Q121">
        <f t="shared" si="65"/>
        <v>11.228812445263619</v>
      </c>
      <c r="R121">
        <f t="shared" si="66"/>
        <v>1.4816215728630555</v>
      </c>
      <c r="S121">
        <f t="shared" si="67"/>
        <v>0.94065320658235618</v>
      </c>
      <c r="T121">
        <f t="shared" si="68"/>
        <v>-0.34624636112912222</v>
      </c>
      <c r="U121">
        <f t="shared" si="69"/>
        <v>0.97613230844709176</v>
      </c>
      <c r="V121">
        <f t="shared" si="70"/>
        <v>-0.21892119574517541</v>
      </c>
      <c r="X121">
        <f t="shared" si="87"/>
        <v>-5.9108779479715334</v>
      </c>
      <c r="Y121">
        <f t="shared" si="71"/>
        <v>-113.38689936238269</v>
      </c>
      <c r="Z121">
        <f t="shared" si="88"/>
        <v>66.613100637617308</v>
      </c>
      <c r="AC121">
        <v>1</v>
      </c>
      <c r="AD121">
        <f t="shared" si="72"/>
        <v>7.1937445136760001</v>
      </c>
      <c r="AE121">
        <f t="shared" si="73"/>
        <v>-2.9492758431635756E-4</v>
      </c>
      <c r="AF121">
        <f t="shared" si="74"/>
        <v>1.3255950186675E-3</v>
      </c>
      <c r="AG121">
        <f t="shared" si="89"/>
        <v>5010.9219775849888</v>
      </c>
      <c r="AH121">
        <f t="shared" si="90"/>
        <v>-1869.2429280080214</v>
      </c>
      <c r="AJ121">
        <f t="shared" si="75"/>
        <v>18000</v>
      </c>
      <c r="AK121">
        <f t="shared" si="76"/>
        <v>6494.0489986680004</v>
      </c>
      <c r="AL121">
        <v>1</v>
      </c>
      <c r="AM121">
        <f t="shared" si="77"/>
        <v>11.184195497705998</v>
      </c>
      <c r="AN121">
        <f t="shared" si="91"/>
        <v>718.79946240956031</v>
      </c>
      <c r="AO121">
        <f t="shared" si="92"/>
        <v>-1545.1447125664968</v>
      </c>
      <c r="AQ121">
        <f t="shared" si="78"/>
        <v>1.321003963011889</v>
      </c>
      <c r="AR121">
        <f t="shared" si="79"/>
        <v>-114.92734478203434</v>
      </c>
      <c r="AT121">
        <f t="shared" si="104"/>
        <v>-208207.67867782415</v>
      </c>
      <c r="AU121">
        <f t="shared" si="105"/>
        <v>-578361.23510951397</v>
      </c>
      <c r="AV121">
        <f t="shared" si="93"/>
        <v>-1.9163482859107286</v>
      </c>
      <c r="AW121">
        <f t="shared" si="94"/>
        <v>-170687.03268895159</v>
      </c>
      <c r="AX121">
        <f t="shared" si="95"/>
        <v>-90778.486961259056</v>
      </c>
      <c r="AY121">
        <f t="shared" si="103"/>
        <v>-2.652797328425152</v>
      </c>
      <c r="BA121">
        <f t="shared" si="80"/>
        <v>3.1795929981551065</v>
      </c>
      <c r="BB121">
        <f t="shared" si="96"/>
        <v>10.047430638884752</v>
      </c>
      <c r="BC121">
        <f t="shared" si="97"/>
        <v>0.73644904251442345</v>
      </c>
      <c r="BD121">
        <f t="shared" si="81"/>
        <v>-137.80457798925769</v>
      </c>
      <c r="BF121">
        <f t="shared" si="82"/>
        <v>-5.7974424086536462</v>
      </c>
      <c r="BG121">
        <f t="shared" si="83"/>
        <v>-115.78647326418628</v>
      </c>
      <c r="BH121">
        <f t="shared" si="98"/>
        <v>64.213526735813716</v>
      </c>
      <c r="BI121">
        <f t="shared" si="99"/>
        <v>64.213526735813716</v>
      </c>
      <c r="BJ121">
        <f t="shared" si="84"/>
        <v>0</v>
      </c>
      <c r="BK121">
        <f t="shared" si="100"/>
        <v>0</v>
      </c>
      <c r="BM121">
        <f t="shared" si="101"/>
        <v>-15.844873047538394</v>
      </c>
      <c r="BN121">
        <f t="shared" si="85"/>
        <v>-157.9818952749286</v>
      </c>
      <c r="BQ121" s="56">
        <f t="shared" si="102"/>
        <v>26.949391439169887</v>
      </c>
      <c r="BR121" s="59"/>
      <c r="BS121" s="59"/>
      <c r="BT121" s="59">
        <v>1288.25</v>
      </c>
      <c r="BU121" s="59">
        <v>12.807</v>
      </c>
      <c r="BV121" s="59">
        <v>-258.86099999999999</v>
      </c>
      <c r="BW121" s="61"/>
      <c r="BY121" s="59"/>
      <c r="BZ121" s="59"/>
      <c r="CA121" s="59"/>
      <c r="CC121" s="59"/>
    </row>
    <row r="122" spans="1:81" x14ac:dyDescent="0.25">
      <c r="A122">
        <f t="shared" si="106"/>
        <v>44000</v>
      </c>
      <c r="B122">
        <f t="shared" si="86"/>
        <v>44</v>
      </c>
      <c r="C122">
        <f t="shared" si="55"/>
        <v>1.0645055231862148</v>
      </c>
      <c r="D122">
        <f t="shared" si="56"/>
        <v>0.34991079084701454</v>
      </c>
      <c r="F122">
        <f t="shared" si="57"/>
        <v>9.8872401733687606E-3</v>
      </c>
      <c r="G122">
        <f t="shared" si="58"/>
        <v>3.7601528480074239E-2</v>
      </c>
      <c r="H122">
        <f t="shared" si="59"/>
        <v>-3.1039911215199258</v>
      </c>
      <c r="J122">
        <f t="shared" si="60"/>
        <v>15</v>
      </c>
      <c r="M122">
        <f t="shared" si="61"/>
        <v>4.143365179468822E-2</v>
      </c>
      <c r="N122">
        <f t="shared" si="62"/>
        <v>-1.5707963250000001</v>
      </c>
      <c r="O122">
        <f t="shared" si="63"/>
        <v>7.3448248091622235</v>
      </c>
      <c r="P122">
        <f t="shared" si="64"/>
        <v>1.4342218585517121</v>
      </c>
      <c r="Q122">
        <f t="shared" si="65"/>
        <v>11.356861386276259</v>
      </c>
      <c r="R122">
        <f t="shared" si="66"/>
        <v>1.4826296491937927</v>
      </c>
      <c r="S122">
        <f t="shared" si="67"/>
        <v>0.9394032987324098</v>
      </c>
      <c r="T122">
        <f t="shared" si="68"/>
        <v>-0.34991079084701449</v>
      </c>
      <c r="U122">
        <f t="shared" si="69"/>
        <v>0.97560050683538346</v>
      </c>
      <c r="V122">
        <f t="shared" si="70"/>
        <v>-0.22135657393090061</v>
      </c>
      <c r="X122">
        <f t="shared" si="87"/>
        <v>-6.0193732286742252</v>
      </c>
      <c r="Y122">
        <f t="shared" si="71"/>
        <v>-113.405107529443</v>
      </c>
      <c r="Z122">
        <f t="shared" si="88"/>
        <v>66.594892470556999</v>
      </c>
      <c r="AC122">
        <v>1</v>
      </c>
      <c r="AD122">
        <f t="shared" si="72"/>
        <v>7.2764312322240006</v>
      </c>
      <c r="AE122">
        <f t="shared" si="73"/>
        <v>-3.0174649398148677E-4</v>
      </c>
      <c r="AF122">
        <f t="shared" si="74"/>
        <v>1.3408317430199999E-3</v>
      </c>
      <c r="AG122">
        <f t="shared" si="89"/>
        <v>5005.4635157385146</v>
      </c>
      <c r="AH122">
        <f t="shared" si="90"/>
        <v>-1872.2565897583306</v>
      </c>
      <c r="AJ122">
        <f t="shared" si="75"/>
        <v>18000</v>
      </c>
      <c r="AK122">
        <f t="shared" si="76"/>
        <v>6568.6932400320011</v>
      </c>
      <c r="AL122">
        <v>1</v>
      </c>
      <c r="AM122">
        <f t="shared" si="77"/>
        <v>11.312749468944</v>
      </c>
      <c r="AN122">
        <f t="shared" si="91"/>
        <v>715.70163795981864</v>
      </c>
      <c r="AO122">
        <f t="shared" si="92"/>
        <v>-1527.8600847202883</v>
      </c>
      <c r="AQ122">
        <f t="shared" si="78"/>
        <v>1.2911555842479019</v>
      </c>
      <c r="AR122">
        <f t="shared" si="79"/>
        <v>-113.62169141381537</v>
      </c>
      <c r="AT122">
        <f t="shared" si="104"/>
        <v>-206266.12831890845</v>
      </c>
      <c r="AU122">
        <f t="shared" si="105"/>
        <v>-571146.60551936424</v>
      </c>
      <c r="AV122">
        <f t="shared" si="93"/>
        <v>-1.9173642217046909</v>
      </c>
      <c r="AW122">
        <f t="shared" si="94"/>
        <v>-166737.24065228566</v>
      </c>
      <c r="AX122">
        <f t="shared" si="95"/>
        <v>-89375.857100678244</v>
      </c>
      <c r="AY122">
        <f t="shared" si="103"/>
        <v>-2.6495396232856656</v>
      </c>
      <c r="BA122">
        <f t="shared" si="80"/>
        <v>3.2099003605902929</v>
      </c>
      <c r="BB122">
        <f t="shared" si="96"/>
        <v>10.129831031166407</v>
      </c>
      <c r="BC122">
        <f t="shared" si="97"/>
        <v>0.73217540158097472</v>
      </c>
      <c r="BD122">
        <f t="shared" si="81"/>
        <v>-138.04943957817846</v>
      </c>
      <c r="BF122">
        <f t="shared" si="82"/>
        <v>-5.9038837286288555</v>
      </c>
      <c r="BG122">
        <f t="shared" si="83"/>
        <v>-115.84661914604001</v>
      </c>
      <c r="BH122">
        <f t="shared" si="98"/>
        <v>64.153380853959987</v>
      </c>
      <c r="BI122">
        <f t="shared" si="99"/>
        <v>64.153380853959987</v>
      </c>
      <c r="BJ122">
        <f t="shared" si="84"/>
        <v>0</v>
      </c>
      <c r="BK122">
        <f t="shared" si="100"/>
        <v>0</v>
      </c>
      <c r="BM122">
        <f t="shared" si="101"/>
        <v>-16.033714759795259</v>
      </c>
      <c r="BN122">
        <f t="shared" si="85"/>
        <v>-157.79717956786155</v>
      </c>
      <c r="BQ122" s="56">
        <f t="shared" si="102"/>
        <v>27.031791831451542</v>
      </c>
      <c r="BR122" s="59"/>
      <c r="BS122" s="59"/>
      <c r="BT122" s="59">
        <v>1318.2570000000001</v>
      </c>
      <c r="BU122" s="59">
        <v>12.682600000000001</v>
      </c>
      <c r="BV122" s="59">
        <v>-258.68299999999999</v>
      </c>
      <c r="BW122" s="61"/>
      <c r="BY122" s="59"/>
      <c r="BZ122" s="59"/>
      <c r="CA122" s="59"/>
      <c r="CC122" s="59"/>
    </row>
    <row r="123" spans="1:81" x14ac:dyDescent="0.25">
      <c r="A123">
        <f t="shared" si="106"/>
        <v>44500</v>
      </c>
      <c r="B123">
        <f t="shared" si="86"/>
        <v>44.5</v>
      </c>
      <c r="C123">
        <f t="shared" si="55"/>
        <v>1.0659342579438931</v>
      </c>
      <c r="D123">
        <f t="shared" si="56"/>
        <v>0.35356544622675123</v>
      </c>
      <c r="F123">
        <f t="shared" si="57"/>
        <v>9.6643095489068222E-3</v>
      </c>
      <c r="G123">
        <f t="shared" si="58"/>
        <v>3.7171171813393841E-2</v>
      </c>
      <c r="H123">
        <f t="shared" si="59"/>
        <v>-3.1044214781866062</v>
      </c>
      <c r="J123">
        <f t="shared" si="60"/>
        <v>15</v>
      </c>
      <c r="M123">
        <f t="shared" si="61"/>
        <v>4.0968105145309699E-2</v>
      </c>
      <c r="N123">
        <f t="shared" si="62"/>
        <v>-1.5707963250000001</v>
      </c>
      <c r="O123">
        <f t="shared" si="63"/>
        <v>7.4267500976789771</v>
      </c>
      <c r="P123">
        <f t="shared" si="64"/>
        <v>1.4357377066090942</v>
      </c>
      <c r="Q123">
        <f t="shared" si="65"/>
        <v>11.484921610978477</v>
      </c>
      <c r="R123">
        <f t="shared" si="66"/>
        <v>1.483615245817542</v>
      </c>
      <c r="S123">
        <f t="shared" si="67"/>
        <v>0.93814416090625019</v>
      </c>
      <c r="T123">
        <f t="shared" si="68"/>
        <v>-0.35356544622675118</v>
      </c>
      <c r="U123">
        <f t="shared" si="69"/>
        <v>0.97506351066088959</v>
      </c>
      <c r="V123">
        <f t="shared" si="70"/>
        <v>-0.22378928553963767</v>
      </c>
      <c r="X123">
        <f t="shared" si="87"/>
        <v>-6.12664562446533</v>
      </c>
      <c r="Y123">
        <f t="shared" si="71"/>
        <v>-113.42582703519162</v>
      </c>
      <c r="Z123">
        <f t="shared" si="88"/>
        <v>66.574172964808383</v>
      </c>
      <c r="AC123">
        <v>1</v>
      </c>
      <c r="AD123">
        <f t="shared" si="72"/>
        <v>7.3591179507719993</v>
      </c>
      <c r="AE123">
        <f t="shared" si="73"/>
        <v>-3.0864333404278881E-4</v>
      </c>
      <c r="AF123">
        <f t="shared" si="74"/>
        <v>1.3560684673724998E-3</v>
      </c>
      <c r="AG123">
        <f t="shared" si="89"/>
        <v>4999.9547547421662</v>
      </c>
      <c r="AH123">
        <f t="shared" si="90"/>
        <v>-1875.4235252548806</v>
      </c>
      <c r="AJ123">
        <f t="shared" si="75"/>
        <v>18000</v>
      </c>
      <c r="AK123">
        <f t="shared" si="76"/>
        <v>6643.3374813959999</v>
      </c>
      <c r="AL123">
        <v>1</v>
      </c>
      <c r="AM123">
        <f t="shared" si="77"/>
        <v>11.441303440181999</v>
      </c>
      <c r="AN123">
        <f t="shared" si="91"/>
        <v>712.70659120833727</v>
      </c>
      <c r="AO123">
        <f t="shared" si="92"/>
        <v>-1510.9548924363351</v>
      </c>
      <c r="AQ123">
        <f t="shared" si="78"/>
        <v>1.2623074981065388</v>
      </c>
      <c r="AR123">
        <f t="shared" si="79"/>
        <v>-112.34536733148195</v>
      </c>
      <c r="AT123">
        <f t="shared" si="104"/>
        <v>-204383.6644697579</v>
      </c>
      <c r="AU123">
        <f t="shared" si="105"/>
        <v>-564089.11474035296</v>
      </c>
      <c r="AV123">
        <f t="shared" si="93"/>
        <v>-1.9184087502623739</v>
      </c>
      <c r="AW123">
        <f t="shared" si="94"/>
        <v>-162918.53372389177</v>
      </c>
      <c r="AX123">
        <f t="shared" si="95"/>
        <v>-88018.002665159438</v>
      </c>
      <c r="AY123">
        <f t="shared" si="103"/>
        <v>-2.6462598424764443</v>
      </c>
      <c r="BA123">
        <f t="shared" si="80"/>
        <v>3.2400473621954289</v>
      </c>
      <c r="BB123">
        <f t="shared" si="96"/>
        <v>10.211027173205006</v>
      </c>
      <c r="BC123">
        <f t="shared" si="97"/>
        <v>0.72785109221407041</v>
      </c>
      <c r="BD123">
        <f t="shared" si="81"/>
        <v>-138.29720425449409</v>
      </c>
      <c r="BF123">
        <f t="shared" si="82"/>
        <v>-6.009122602158401</v>
      </c>
      <c r="BG123">
        <f t="shared" si="83"/>
        <v>-115.90964511399693</v>
      </c>
      <c r="BH123">
        <f t="shared" si="98"/>
        <v>64.09035488600307</v>
      </c>
      <c r="BI123">
        <f t="shared" si="99"/>
        <v>64.09035488600307</v>
      </c>
      <c r="BJ123">
        <f t="shared" si="84"/>
        <v>0</v>
      </c>
      <c r="BK123">
        <f t="shared" si="100"/>
        <v>0</v>
      </c>
      <c r="BM123">
        <f t="shared" si="101"/>
        <v>-16.22014977536341</v>
      </c>
      <c r="BN123">
        <f t="shared" si="85"/>
        <v>-157.61244085950284</v>
      </c>
      <c r="BQ123" s="56">
        <f t="shared" si="102"/>
        <v>27.112987973490142</v>
      </c>
      <c r="BR123" s="59"/>
      <c r="BS123" s="59"/>
      <c r="BT123" s="59">
        <v>1348.963</v>
      </c>
      <c r="BU123" s="59">
        <v>12.475899999999999</v>
      </c>
      <c r="BV123" s="59">
        <v>-258.79700000000003</v>
      </c>
      <c r="BW123" s="61"/>
      <c r="BY123" s="59"/>
      <c r="BZ123" s="59"/>
      <c r="CA123" s="59"/>
      <c r="CC123" s="59"/>
    </row>
    <row r="124" spans="1:81" x14ac:dyDescent="0.25">
      <c r="A124">
        <f t="shared" si="106"/>
        <v>45000</v>
      </c>
      <c r="B124">
        <f t="shared" si="86"/>
        <v>45</v>
      </c>
      <c r="C124">
        <f t="shared" si="55"/>
        <v>1.0673771916338559</v>
      </c>
      <c r="D124">
        <f t="shared" si="56"/>
        <v>0.35721026908883591</v>
      </c>
      <c r="F124">
        <f t="shared" si="57"/>
        <v>9.448855942715547E-3</v>
      </c>
      <c r="G124">
        <f t="shared" si="58"/>
        <v>3.6750639495108858E-2</v>
      </c>
      <c r="H124">
        <f t="shared" si="59"/>
        <v>-3.1048420105048913</v>
      </c>
      <c r="J124">
        <f t="shared" si="60"/>
        <v>15</v>
      </c>
      <c r="M124">
        <f t="shared" si="61"/>
        <v>4.0512903977028482E-2</v>
      </c>
      <c r="N124">
        <f t="shared" si="62"/>
        <v>-1.5707963250000001</v>
      </c>
      <c r="O124">
        <f t="shared" si="63"/>
        <v>7.5086920789384459</v>
      </c>
      <c r="P124">
        <f t="shared" si="64"/>
        <v>1.4372204732637472</v>
      </c>
      <c r="Q124">
        <f t="shared" si="65"/>
        <v>11.612992746083599</v>
      </c>
      <c r="R124">
        <f t="shared" si="66"/>
        <v>1.4845791045234231</v>
      </c>
      <c r="S124">
        <f t="shared" si="67"/>
        <v>0.93687593086871168</v>
      </c>
      <c r="T124">
        <f t="shared" si="68"/>
        <v>-0.3572102690888358</v>
      </c>
      <c r="U124">
        <f t="shared" si="69"/>
        <v>0.97452134754844078</v>
      </c>
      <c r="V124">
        <f t="shared" si="70"/>
        <v>-0.22621930620215552</v>
      </c>
      <c r="X124">
        <f t="shared" si="87"/>
        <v>-6.2327266358084534</v>
      </c>
      <c r="Y124">
        <f t="shared" si="71"/>
        <v>-113.44897038308825</v>
      </c>
      <c r="Z124">
        <f t="shared" si="88"/>
        <v>66.551029616911748</v>
      </c>
      <c r="AC124">
        <v>1</v>
      </c>
      <c r="AD124">
        <f t="shared" si="72"/>
        <v>7.4418046693199997</v>
      </c>
      <c r="AE124">
        <f t="shared" si="73"/>
        <v>-3.1561810450026379E-4</v>
      </c>
      <c r="AF124">
        <f t="shared" si="74"/>
        <v>1.371305191725E-3</v>
      </c>
      <c r="AG124">
        <f t="shared" si="89"/>
        <v>4994.3960657670304</v>
      </c>
      <c r="AH124">
        <f t="shared" si="90"/>
        <v>-1878.7370126996627</v>
      </c>
      <c r="AJ124">
        <f t="shared" si="75"/>
        <v>18000</v>
      </c>
      <c r="AK124">
        <f t="shared" si="76"/>
        <v>6717.9817227600006</v>
      </c>
      <c r="AL124">
        <v>1</v>
      </c>
      <c r="AM124">
        <f t="shared" si="77"/>
        <v>11.569857411419999</v>
      </c>
      <c r="AN124">
        <f t="shared" si="91"/>
        <v>709.80983656829505</v>
      </c>
      <c r="AO124">
        <f t="shared" si="92"/>
        <v>-1494.4168755585063</v>
      </c>
      <c r="AQ124">
        <f t="shared" si="78"/>
        <v>1.2344155042587335</v>
      </c>
      <c r="AR124">
        <f t="shared" si="79"/>
        <v>-111.09739538328601</v>
      </c>
      <c r="AT124">
        <f t="shared" si="104"/>
        <v>-202557.62878311641</v>
      </c>
      <c r="AU124">
        <f t="shared" si="105"/>
        <v>-557183.53651614906</v>
      </c>
      <c r="AV124">
        <f t="shared" si="93"/>
        <v>-1.9194808326305939</v>
      </c>
      <c r="AW124">
        <f t="shared" si="94"/>
        <v>-159225.20401737824</v>
      </c>
      <c r="AX124">
        <f t="shared" si="95"/>
        <v>-86702.867631400528</v>
      </c>
      <c r="AY124">
        <f t="shared" si="103"/>
        <v>-2.642958915068303</v>
      </c>
      <c r="BA124">
        <f t="shared" si="80"/>
        <v>3.2700320890628376</v>
      </c>
      <c r="BB124">
        <f t="shared" si="96"/>
        <v>10.291040288890992</v>
      </c>
      <c r="BC124">
        <f t="shared" si="97"/>
        <v>0.72347808243770917</v>
      </c>
      <c r="BD124">
        <f t="shared" si="81"/>
        <v>-138.54775925873531</v>
      </c>
      <c r="BF124">
        <f t="shared" si="82"/>
        <v>-6.1131916083419489</v>
      </c>
      <c r="BG124">
        <f t="shared" si="83"/>
        <v>-115.97546187794343</v>
      </c>
      <c r="BH124">
        <f t="shared" si="98"/>
        <v>64.024538122056569</v>
      </c>
      <c r="BI124">
        <f t="shared" si="99"/>
        <v>64.024538122056569</v>
      </c>
      <c r="BJ124">
        <f t="shared" si="84"/>
        <v>0</v>
      </c>
      <c r="BK124">
        <f t="shared" si="100"/>
        <v>0</v>
      </c>
      <c r="BM124">
        <f t="shared" si="101"/>
        <v>-16.40423189723294</v>
      </c>
      <c r="BN124">
        <f t="shared" si="85"/>
        <v>-157.42770261920811</v>
      </c>
      <c r="BQ124" s="56">
        <f t="shared" si="102"/>
        <v>27.193001089176128</v>
      </c>
      <c r="BR124" s="59"/>
      <c r="BS124" s="59"/>
      <c r="BT124" s="59">
        <v>1380.384</v>
      </c>
      <c r="BU124" s="59">
        <v>12.2584</v>
      </c>
      <c r="BV124" s="59">
        <v>-258.41000000000003</v>
      </c>
      <c r="BW124" s="61"/>
      <c r="BY124" s="59"/>
      <c r="BZ124" s="59"/>
      <c r="CA124" s="59"/>
      <c r="CC124" s="59"/>
    </row>
    <row r="125" spans="1:81" x14ac:dyDescent="0.25">
      <c r="A125">
        <f t="shared" si="106"/>
        <v>45500</v>
      </c>
      <c r="B125">
        <f t="shared" si="86"/>
        <v>45.5</v>
      </c>
      <c r="C125">
        <f t="shared" si="55"/>
        <v>1.0688342667501332</v>
      </c>
      <c r="D125">
        <f t="shared" si="56"/>
        <v>0.36084520261134512</v>
      </c>
      <c r="F125">
        <f t="shared" si="57"/>
        <v>9.240547767106571E-3</v>
      </c>
      <c r="G125">
        <f t="shared" si="58"/>
        <v>3.6339596208011124E-2</v>
      </c>
      <c r="H125">
        <f t="shared" si="59"/>
        <v>-3.1052530537919889</v>
      </c>
      <c r="J125">
        <f t="shared" si="60"/>
        <v>15</v>
      </c>
      <c r="M125">
        <f t="shared" si="61"/>
        <v>4.0067707230028164E-2</v>
      </c>
      <c r="N125">
        <f t="shared" si="62"/>
        <v>-1.5707963250000001</v>
      </c>
      <c r="O125">
        <f t="shared" si="63"/>
        <v>7.5906502123401598</v>
      </c>
      <c r="P125">
        <f t="shared" si="64"/>
        <v>1.4386712234520511</v>
      </c>
      <c r="Q125">
        <f t="shared" si="65"/>
        <v>11.741074434561014</v>
      </c>
      <c r="R125">
        <f t="shared" si="66"/>
        <v>1.4855219348980049</v>
      </c>
      <c r="S125">
        <f t="shared" si="67"/>
        <v>0.93559874632441509</v>
      </c>
      <c r="T125">
        <f t="shared" si="68"/>
        <v>-0.36084520261134501</v>
      </c>
      <c r="U125">
        <f t="shared" si="69"/>
        <v>0.97397404530464415</v>
      </c>
      <c r="V125">
        <f t="shared" si="70"/>
        <v>-0.22864661173022305</v>
      </c>
      <c r="X125">
        <f t="shared" si="87"/>
        <v>-6.3376465721804678</v>
      </c>
      <c r="Y125">
        <f t="shared" si="71"/>
        <v>-113.47445372683441</v>
      </c>
      <c r="Z125">
        <f t="shared" si="88"/>
        <v>66.525546273165588</v>
      </c>
      <c r="AC125">
        <v>1</v>
      </c>
      <c r="AD125">
        <f t="shared" si="72"/>
        <v>7.5244913878680002</v>
      </c>
      <c r="AE125">
        <f t="shared" si="73"/>
        <v>-3.2267080535391165E-4</v>
      </c>
      <c r="AF125">
        <f t="shared" si="74"/>
        <v>1.3865419160774999E-3</v>
      </c>
      <c r="AG125">
        <f t="shared" si="89"/>
        <v>4988.7878220616476</v>
      </c>
      <c r="AH125">
        <f t="shared" si="90"/>
        <v>-1882.1906168313408</v>
      </c>
      <c r="AJ125">
        <f t="shared" si="75"/>
        <v>18000</v>
      </c>
      <c r="AK125">
        <f t="shared" si="76"/>
        <v>6792.6259641240003</v>
      </c>
      <c r="AL125">
        <v>1</v>
      </c>
      <c r="AM125">
        <f t="shared" si="77"/>
        <v>11.698411382658</v>
      </c>
      <c r="AN125">
        <f t="shared" si="91"/>
        <v>707.00712992382955</v>
      </c>
      <c r="AO125">
        <f t="shared" si="92"/>
        <v>-1478.2342921972902</v>
      </c>
      <c r="AQ125">
        <f t="shared" si="78"/>
        <v>1.2074378169524269</v>
      </c>
      <c r="AR125">
        <f t="shared" si="79"/>
        <v>-109.87684134267086</v>
      </c>
      <c r="AT125">
        <f t="shared" si="104"/>
        <v>-200785.50870513206</v>
      </c>
      <c r="AU125">
        <f t="shared" si="105"/>
        <v>-550424.87614639127</v>
      </c>
      <c r="AV125">
        <f t="shared" si="93"/>
        <v>-1.9205794731852315</v>
      </c>
      <c r="AW125">
        <f t="shared" si="94"/>
        <v>-155651.85017020087</v>
      </c>
      <c r="AX125">
        <f t="shared" si="95"/>
        <v>-85428.516243416103</v>
      </c>
      <c r="AY125">
        <f t="shared" si="103"/>
        <v>-2.6396377346738049</v>
      </c>
      <c r="BA125">
        <f t="shared" si="80"/>
        <v>3.2998526641312838</v>
      </c>
      <c r="BB125">
        <f t="shared" si="96"/>
        <v>10.369890987962373</v>
      </c>
      <c r="BC125">
        <f t="shared" si="97"/>
        <v>0.71905826148857344</v>
      </c>
      <c r="BD125">
        <f t="shared" si="81"/>
        <v>-138.80099634561367</v>
      </c>
      <c r="BF125">
        <f t="shared" si="82"/>
        <v>-6.2161221274396459</v>
      </c>
      <c r="BG125">
        <f t="shared" si="83"/>
        <v>-116.0439836605082</v>
      </c>
      <c r="BH125">
        <f t="shared" si="98"/>
        <v>63.956016339491796</v>
      </c>
      <c r="BI125">
        <f t="shared" si="99"/>
        <v>63.956016339491796</v>
      </c>
      <c r="BJ125">
        <f t="shared" si="84"/>
        <v>0</v>
      </c>
      <c r="BK125">
        <f t="shared" si="100"/>
        <v>0</v>
      </c>
      <c r="BM125">
        <f t="shared" si="101"/>
        <v>-16.586013115402018</v>
      </c>
      <c r="BN125">
        <f t="shared" si="85"/>
        <v>-157.24298731489452</v>
      </c>
      <c r="BQ125" s="56">
        <f t="shared" si="102"/>
        <v>27.27185178824751</v>
      </c>
      <c r="BR125" s="59"/>
      <c r="BS125" s="59"/>
      <c r="BT125" s="59">
        <v>1412.538</v>
      </c>
      <c r="BU125" s="59">
        <v>12.0929</v>
      </c>
      <c r="BV125" s="59">
        <v>-258.13599999999997</v>
      </c>
      <c r="BW125" s="61"/>
      <c r="BY125" s="59"/>
      <c r="BZ125" s="59"/>
      <c r="CA125" s="59"/>
      <c r="CC125" s="59"/>
    </row>
    <row r="126" spans="1:81" x14ac:dyDescent="0.25">
      <c r="A126">
        <f t="shared" si="106"/>
        <v>46000</v>
      </c>
      <c r="B126">
        <f t="shared" si="86"/>
        <v>46</v>
      </c>
      <c r="C126">
        <f t="shared" si="55"/>
        <v>1.0703054255378466</v>
      </c>
      <c r="D126">
        <f t="shared" si="56"/>
        <v>0.36447019132556685</v>
      </c>
      <c r="F126">
        <f t="shared" si="57"/>
        <v>9.0390716627517537E-3</v>
      </c>
      <c r="G126">
        <f t="shared" si="58"/>
        <v>3.593772183556776E-2</v>
      </c>
      <c r="H126">
        <f t="shared" si="59"/>
        <v>-3.1056549281644323</v>
      </c>
      <c r="J126">
        <f t="shared" si="60"/>
        <v>15</v>
      </c>
      <c r="M126">
        <f t="shared" si="61"/>
        <v>3.9632188673180038E-2</v>
      </c>
      <c r="N126">
        <f t="shared" si="62"/>
        <v>-1.5707963250000001</v>
      </c>
      <c r="O126">
        <f t="shared" si="63"/>
        <v>7.672623980277864</v>
      </c>
      <c r="P126">
        <f t="shared" si="64"/>
        <v>1.4400909771522061</v>
      </c>
      <c r="Q126">
        <f t="shared" si="65"/>
        <v>11.869166334762369</v>
      </c>
      <c r="R126">
        <f t="shared" si="66"/>
        <v>1.4864444160498169</v>
      </c>
      <c r="S126">
        <f t="shared" si="67"/>
        <v>0.93431274488539862</v>
      </c>
      <c r="T126">
        <f t="shared" si="68"/>
        <v>-0.36447019132556679</v>
      </c>
      <c r="U126">
        <f t="shared" si="69"/>
        <v>0.97342163191421893</v>
      </c>
      <c r="V126">
        <f t="shared" si="70"/>
        <v>-0.23107117811760522</v>
      </c>
      <c r="X126">
        <f t="shared" si="87"/>
        <v>-6.4414346115484324</v>
      </c>
      <c r="Y126">
        <f t="shared" si="71"/>
        <v>-113.50219668180171</v>
      </c>
      <c r="Z126">
        <f t="shared" si="88"/>
        <v>66.497803318198294</v>
      </c>
      <c r="AC126">
        <v>1</v>
      </c>
      <c r="AD126">
        <f t="shared" si="72"/>
        <v>7.6071781064160007</v>
      </c>
      <c r="AE126">
        <f t="shared" si="73"/>
        <v>-3.2980143660373251E-4</v>
      </c>
      <c r="AF126">
        <f t="shared" si="74"/>
        <v>1.4017786404299998E-3</v>
      </c>
      <c r="AG126">
        <f t="shared" si="89"/>
        <v>4983.1303988942273</v>
      </c>
      <c r="AH126">
        <f t="shared" si="90"/>
        <v>-1885.7781735981953</v>
      </c>
      <c r="AJ126">
        <f t="shared" si="75"/>
        <v>18000</v>
      </c>
      <c r="AK126">
        <f t="shared" si="76"/>
        <v>6867.270205488001</v>
      </c>
      <c r="AL126">
        <v>1</v>
      </c>
      <c r="AM126">
        <f t="shared" si="77"/>
        <v>11.826965353896</v>
      </c>
      <c r="AN126">
        <f t="shared" si="91"/>
        <v>704.29445323511277</v>
      </c>
      <c r="AO126">
        <f t="shared" si="92"/>
        <v>-1462.3958918648048</v>
      </c>
      <c r="AQ126">
        <f t="shared" si="78"/>
        <v>1.1813349084465445</v>
      </c>
      <c r="AR126">
        <f t="shared" si="79"/>
        <v>-108.68281157708211</v>
      </c>
      <c r="AT126">
        <f t="shared" si="104"/>
        <v>-199064.92802379178</v>
      </c>
      <c r="AU126">
        <f t="shared" si="105"/>
        <v>-543808.35779310938</v>
      </c>
      <c r="AV126">
        <f t="shared" si="93"/>
        <v>-1.9217037173779221</v>
      </c>
      <c r="AW126">
        <f t="shared" si="94"/>
        <v>-152193.35785522638</v>
      </c>
      <c r="AX126">
        <f t="shared" si="95"/>
        <v>-84193.12459143353</v>
      </c>
      <c r="AY126">
        <f t="shared" si="103"/>
        <v>-2.6362971613817461</v>
      </c>
      <c r="BA126">
        <f t="shared" si="80"/>
        <v>3.329507246669952</v>
      </c>
      <c r="BB126">
        <f t="shared" si="96"/>
        <v>10.447599289423932</v>
      </c>
      <c r="BC126">
        <f t="shared" si="97"/>
        <v>0.71459344400382396</v>
      </c>
      <c r="BD126">
        <f t="shared" si="81"/>
        <v>-139.05681154407836</v>
      </c>
      <c r="BF126">
        <f t="shared" si="82"/>
        <v>-6.3179443999298766</v>
      </c>
      <c r="BG126">
        <f t="shared" si="83"/>
        <v>-116.11512801008985</v>
      </c>
      <c r="BH126">
        <f t="shared" si="98"/>
        <v>63.884871989910152</v>
      </c>
      <c r="BI126">
        <f t="shared" si="99"/>
        <v>63.884871989910152</v>
      </c>
      <c r="BJ126">
        <f t="shared" si="84"/>
        <v>0</v>
      </c>
      <c r="BK126">
        <f t="shared" si="100"/>
        <v>0</v>
      </c>
      <c r="BM126">
        <f t="shared" si="101"/>
        <v>-16.765543689353809</v>
      </c>
      <c r="BN126">
        <f t="shared" si="85"/>
        <v>-157.05831646601152</v>
      </c>
      <c r="BQ126" s="56">
        <f t="shared" si="102"/>
        <v>27.349560089709072</v>
      </c>
      <c r="BR126" s="59"/>
      <c r="BS126" s="59"/>
      <c r="BT126" s="59">
        <v>1445.44</v>
      </c>
      <c r="BU126" s="59">
        <v>11.918900000000001</v>
      </c>
      <c r="BV126" s="59">
        <v>-257.92899999999997</v>
      </c>
      <c r="BW126" s="61"/>
      <c r="BY126" s="59"/>
      <c r="BZ126" s="59"/>
      <c r="CA126" s="59"/>
      <c r="CC126" s="59"/>
    </row>
    <row r="127" spans="1:81" x14ac:dyDescent="0.25">
      <c r="A127">
        <f t="shared" si="106"/>
        <v>46500</v>
      </c>
      <c r="B127">
        <f t="shared" si="86"/>
        <v>46.5</v>
      </c>
      <c r="C127">
        <f t="shared" si="55"/>
        <v>1.0717906100025063</v>
      </c>
      <c r="D127">
        <f t="shared" si="56"/>
        <v>0.36808518111129224</v>
      </c>
      <c r="F127">
        <f t="shared" si="57"/>
        <v>8.8441313062290767E-3</v>
      </c>
      <c r="G127">
        <f t="shared" si="58"/>
        <v>3.554471060446876E-2</v>
      </c>
      <c r="H127">
        <f t="shared" si="59"/>
        <v>-3.1060479393955314</v>
      </c>
      <c r="J127">
        <f t="shared" si="60"/>
        <v>15</v>
      </c>
      <c r="M127">
        <f t="shared" si="61"/>
        <v>3.9206036106801755E-2</v>
      </c>
      <c r="N127">
        <f t="shared" si="62"/>
        <v>-1.5707963250000001</v>
      </c>
      <c r="O127">
        <f t="shared" si="63"/>
        <v>7.754612886935015</v>
      </c>
      <c r="P127">
        <f t="shared" si="64"/>
        <v>1.4414807117180959</v>
      </c>
      <c r="Q127">
        <f t="shared" si="65"/>
        <v>11.997268119603417</v>
      </c>
      <c r="R127">
        <f t="shared" si="66"/>
        <v>1.487347198224477</v>
      </c>
      <c r="S127">
        <f t="shared" si="67"/>
        <v>0.93301806403926379</v>
      </c>
      <c r="T127">
        <f t="shared" si="68"/>
        <v>-0.36808518111129213</v>
      </c>
      <c r="U127">
        <f t="shared" si="69"/>
        <v>0.972864135536325</v>
      </c>
      <c r="V127">
        <f t="shared" si="70"/>
        <v>-0.23349298154103118</v>
      </c>
      <c r="X127">
        <f t="shared" si="87"/>
        <v>-6.5441188561625507</v>
      </c>
      <c r="Y127">
        <f t="shared" si="71"/>
        <v>-113.53212214795515</v>
      </c>
      <c r="Z127">
        <f t="shared" si="88"/>
        <v>66.46787785204485</v>
      </c>
      <c r="AC127">
        <v>1</v>
      </c>
      <c r="AD127">
        <f t="shared" si="72"/>
        <v>7.6898648249639994</v>
      </c>
      <c r="AE127">
        <f t="shared" si="73"/>
        <v>-3.3700999824972614E-4</v>
      </c>
      <c r="AF127">
        <f t="shared" si="74"/>
        <v>1.4170153647825E-3</v>
      </c>
      <c r="AG127">
        <f t="shared" si="89"/>
        <v>4977.4241734948773</v>
      </c>
      <c r="AH127">
        <f t="shared" si="90"/>
        <v>-1889.4937758198676</v>
      </c>
      <c r="AJ127">
        <f t="shared" si="75"/>
        <v>18000</v>
      </c>
      <c r="AK127">
        <f t="shared" si="76"/>
        <v>6941.9144468519999</v>
      </c>
      <c r="AL127">
        <v>1</v>
      </c>
      <c r="AM127">
        <f t="shared" si="77"/>
        <v>11.955519325133999</v>
      </c>
      <c r="AN127">
        <f t="shared" si="91"/>
        <v>701.66800027371266</v>
      </c>
      <c r="AO127">
        <f t="shared" si="92"/>
        <v>-1446.8908902485007</v>
      </c>
      <c r="AQ127">
        <f t="shared" si="78"/>
        <v>1.1560693641618498</v>
      </c>
      <c r="AR127">
        <f t="shared" si="79"/>
        <v>-107.51445086705202</v>
      </c>
      <c r="AT127">
        <f t="shared" si="104"/>
        <v>-197393.63812456973</v>
      </c>
      <c r="AU127">
        <f t="shared" si="105"/>
        <v>-537329.41261369188</v>
      </c>
      <c r="AV127">
        <f t="shared" si="93"/>
        <v>-1.9228526496216272</v>
      </c>
      <c r="AW127">
        <f t="shared" si="94"/>
        <v>-148844.88171856714</v>
      </c>
      <c r="AX127">
        <f t="shared" si="95"/>
        <v>-82994.972870951693</v>
      </c>
      <c r="AY127">
        <f t="shared" si="103"/>
        <v>-2.6329380235665432</v>
      </c>
      <c r="BA127">
        <f t="shared" si="80"/>
        <v>3.358994031818137</v>
      </c>
      <c r="BB127">
        <f t="shared" si="96"/>
        <v>10.524184643961881</v>
      </c>
      <c r="BC127">
        <f t="shared" si="97"/>
        <v>0.710085373944916</v>
      </c>
      <c r="BD127">
        <f t="shared" si="81"/>
        <v>-139.3151049324982</v>
      </c>
      <c r="BF127">
        <f t="shared" si="82"/>
        <v>-6.4186875818900742</v>
      </c>
      <c r="BG127">
        <f t="shared" si="83"/>
        <v>-116.18881562543703</v>
      </c>
      <c r="BH127">
        <f t="shared" si="98"/>
        <v>63.81118437456297</v>
      </c>
      <c r="BI127">
        <f t="shared" si="99"/>
        <v>63.81118437456297</v>
      </c>
      <c r="BJ127">
        <f t="shared" si="84"/>
        <v>0</v>
      </c>
      <c r="BK127">
        <f t="shared" si="100"/>
        <v>0</v>
      </c>
      <c r="BM127">
        <f t="shared" si="101"/>
        <v>-16.942872225851954</v>
      </c>
      <c r="BN127">
        <f t="shared" si="85"/>
        <v>-156.87371069293883</v>
      </c>
      <c r="BQ127" s="56">
        <f t="shared" si="102"/>
        <v>27.426145444247013</v>
      </c>
      <c r="BR127" s="59"/>
      <c r="BS127" s="59"/>
      <c r="BT127" s="59">
        <v>1479.1079999999999</v>
      </c>
      <c r="BU127" s="59">
        <v>11.714700000000001</v>
      </c>
      <c r="BV127" s="59">
        <v>-257.745</v>
      </c>
      <c r="BW127" s="61"/>
      <c r="BY127" s="59"/>
      <c r="BZ127" s="59"/>
      <c r="CA127" s="59"/>
      <c r="CC127" s="59"/>
    </row>
    <row r="128" spans="1:81" x14ac:dyDescent="0.25">
      <c r="A128">
        <f t="shared" si="106"/>
        <v>47000</v>
      </c>
      <c r="B128">
        <f t="shared" si="86"/>
        <v>47</v>
      </c>
      <c r="C128">
        <f t="shared" si="55"/>
        <v>1.0732897619192485</v>
      </c>
      <c r="D128">
        <f t="shared" si="56"/>
        <v>0.37169011919176737</v>
      </c>
      <c r="F128">
        <f t="shared" si="57"/>
        <v>8.6554463078168057E-3</v>
      </c>
      <c r="G128">
        <f t="shared" si="58"/>
        <v>3.5160270284914912E-2</v>
      </c>
      <c r="H128">
        <f t="shared" si="59"/>
        <v>-3.1064323797150855</v>
      </c>
      <c r="J128">
        <f t="shared" si="60"/>
        <v>15</v>
      </c>
      <c r="M128">
        <f t="shared" si="61"/>
        <v>3.8788950616303865E-2</v>
      </c>
      <c r="N128">
        <f t="shared" si="62"/>
        <v>-1.5707963250000001</v>
      </c>
      <c r="O128">
        <f t="shared" si="63"/>
        <v>7.8366164571548849</v>
      </c>
      <c r="P128">
        <f t="shared" si="64"/>
        <v>1.4428413640701174</v>
      </c>
      <c r="Q128">
        <f t="shared" si="65"/>
        <v>12.125379475797482</v>
      </c>
      <c r="R128">
        <f t="shared" si="66"/>
        <v>1.488230904318429</v>
      </c>
      <c r="S128">
        <f t="shared" si="67"/>
        <v>0.93171484111784286</v>
      </c>
      <c r="T128">
        <f t="shared" si="68"/>
        <v>-0.37169011919176725</v>
      </c>
      <c r="U128">
        <f t="shared" si="69"/>
        <v>0.97230158450088855</v>
      </c>
      <c r="V128">
        <f t="shared" si="70"/>
        <v>-0.23591199836113438</v>
      </c>
      <c r="X128">
        <f t="shared" si="87"/>
        <v>-6.6457263849355943</v>
      </c>
      <c r="Y128">
        <f t="shared" si="71"/>
        <v>-113.5641561434711</v>
      </c>
      <c r="Z128">
        <f t="shared" si="88"/>
        <v>66.435843856528905</v>
      </c>
      <c r="AC128">
        <v>1</v>
      </c>
      <c r="AD128">
        <f t="shared" si="72"/>
        <v>7.7725515435119998</v>
      </c>
      <c r="AE128">
        <f t="shared" si="73"/>
        <v>-3.4429649029189271E-4</v>
      </c>
      <c r="AF128">
        <f t="shared" si="74"/>
        <v>1.4322520891349999E-3</v>
      </c>
      <c r="AG128">
        <f t="shared" si="89"/>
        <v>4971.6695249978693</v>
      </c>
      <c r="AH128">
        <f t="shared" si="90"/>
        <v>-1893.3317597642044</v>
      </c>
      <c r="AJ128">
        <f t="shared" si="75"/>
        <v>18000</v>
      </c>
      <c r="AK128">
        <f t="shared" si="76"/>
        <v>7016.5586882160005</v>
      </c>
      <c r="AL128">
        <v>1</v>
      </c>
      <c r="AM128">
        <f t="shared" si="77"/>
        <v>12.084073296371999</v>
      </c>
      <c r="AN128">
        <f t="shared" si="91"/>
        <v>699.12416339461345</v>
      </c>
      <c r="AO128">
        <f t="shared" si="92"/>
        <v>-1431.7089455092619</v>
      </c>
      <c r="AQ128">
        <f t="shared" si="78"/>
        <v>1.1316057485572026</v>
      </c>
      <c r="AR128">
        <f t="shared" si="79"/>
        <v>-106.37094036437705</v>
      </c>
      <c r="AT128">
        <f t="shared" si="104"/>
        <v>-195769.50989344501</v>
      </c>
      <c r="AU128">
        <f t="shared" si="105"/>
        <v>-530983.66765821422</v>
      </c>
      <c r="AV128">
        <f t="shared" si="93"/>
        <v>-1.9240253913052687</v>
      </c>
      <c r="AW128">
        <f t="shared" si="94"/>
        <v>-145601.82862596787</v>
      </c>
      <c r="AX128">
        <f t="shared" si="95"/>
        <v>-81832.43826009956</v>
      </c>
      <c r="AY128">
        <f t="shared" si="103"/>
        <v>-2.6295611195816457</v>
      </c>
      <c r="BA128">
        <f t="shared" si="80"/>
        <v>3.3883112501759953</v>
      </c>
      <c r="BB128">
        <f t="shared" si="96"/>
        <v>10.599665955399981</v>
      </c>
      <c r="BC128">
        <f t="shared" si="97"/>
        <v>0.70553572827637701</v>
      </c>
      <c r="BD128">
        <f t="shared" si="81"/>
        <v>-139.57578042788333</v>
      </c>
      <c r="BF128">
        <f t="shared" si="82"/>
        <v>-6.51837979697134</v>
      </c>
      <c r="BG128">
        <f t="shared" si="83"/>
        <v>-116.2649701909792</v>
      </c>
      <c r="BH128">
        <f t="shared" si="98"/>
        <v>63.735029809020801</v>
      </c>
      <c r="BI128">
        <f t="shared" si="99"/>
        <v>63.735029809020801</v>
      </c>
      <c r="BJ128">
        <f t="shared" si="84"/>
        <v>0</v>
      </c>
      <c r="BK128">
        <f t="shared" si="100"/>
        <v>0</v>
      </c>
      <c r="BM128">
        <f t="shared" si="101"/>
        <v>-17.118045752371323</v>
      </c>
      <c r="BN128">
        <f t="shared" si="85"/>
        <v>-156.68918976309587</v>
      </c>
      <c r="BQ128" s="56">
        <f t="shared" si="102"/>
        <v>27.501626755685116</v>
      </c>
      <c r="BR128" s="59"/>
      <c r="BS128" s="59"/>
      <c r="BT128" s="59">
        <v>1513.5609999999999</v>
      </c>
      <c r="BU128" s="59">
        <v>11.5252</v>
      </c>
      <c r="BV128" s="59">
        <v>-257.61</v>
      </c>
      <c r="BW128" s="61"/>
      <c r="BY128" s="59"/>
      <c r="BZ128" s="59"/>
      <c r="CA128" s="59"/>
      <c r="CC128" s="59"/>
    </row>
    <row r="129" spans="1:81" x14ac:dyDescent="0.25">
      <c r="A129">
        <f t="shared" si="106"/>
        <v>47500</v>
      </c>
      <c r="B129">
        <f t="shared" si="86"/>
        <v>47.5</v>
      </c>
      <c r="C129">
        <f t="shared" si="55"/>
        <v>1.0748028228420077</v>
      </c>
      <c r="D129">
        <f t="shared" si="56"/>
        <v>0.37528495412831453</v>
      </c>
      <c r="F129">
        <f t="shared" si="57"/>
        <v>8.4727511917952643E-3</v>
      </c>
      <c r="G129">
        <f t="shared" si="58"/>
        <v>3.4784121444136375E-2</v>
      </c>
      <c r="H129">
        <f t="shared" si="59"/>
        <v>-3.106808528555864</v>
      </c>
      <c r="J129">
        <f t="shared" si="60"/>
        <v>15</v>
      </c>
      <c r="M129">
        <f t="shared" si="61"/>
        <v>3.838064587297435E-2</v>
      </c>
      <c r="N129">
        <f t="shared" si="62"/>
        <v>-1.5707963250000001</v>
      </c>
      <c r="O129">
        <f t="shared" si="63"/>
        <v>7.918634235379951</v>
      </c>
      <c r="P129">
        <f t="shared" si="64"/>
        <v>1.4441738327530378</v>
      </c>
      <c r="Q129">
        <f t="shared" si="65"/>
        <v>12.253500103136707</v>
      </c>
      <c r="R129">
        <f t="shared" si="66"/>
        <v>1.489096131298616</v>
      </c>
      <c r="S129">
        <f t="shared" si="67"/>
        <v>0.93040321326639885</v>
      </c>
      <c r="T129">
        <f t="shared" si="68"/>
        <v>-0.37528495412831442</v>
      </c>
      <c r="U129">
        <f t="shared" si="69"/>
        <v>0.97173400730492399</v>
      </c>
      <c r="V129">
        <f t="shared" si="70"/>
        <v>-0.2383282051233642</v>
      </c>
      <c r="X129">
        <f t="shared" si="87"/>
        <v>-6.7462833026568099</v>
      </c>
      <c r="Y129">
        <f t="shared" si="71"/>
        <v>-113.59822764831183</v>
      </c>
      <c r="Z129">
        <f t="shared" si="88"/>
        <v>66.401772351688166</v>
      </c>
      <c r="AC129">
        <v>1</v>
      </c>
      <c r="AD129">
        <f t="shared" si="72"/>
        <v>7.8552382620600003</v>
      </c>
      <c r="AE129">
        <f t="shared" si="73"/>
        <v>-3.5166091273023222E-4</v>
      </c>
      <c r="AF129">
        <f t="shared" si="74"/>
        <v>1.4474888134875E-3</v>
      </c>
      <c r="AG129">
        <f t="shared" si="89"/>
        <v>4965.8668343839217</v>
      </c>
      <c r="AH129">
        <f t="shared" si="90"/>
        <v>-1897.286692571704</v>
      </c>
      <c r="AJ129">
        <f t="shared" si="75"/>
        <v>18000</v>
      </c>
      <c r="AK129">
        <f t="shared" si="76"/>
        <v>7091.2029295800003</v>
      </c>
      <c r="AL129">
        <v>1</v>
      </c>
      <c r="AM129">
        <f t="shared" si="77"/>
        <v>12.212627267609999</v>
      </c>
      <c r="AN129">
        <f t="shared" si="91"/>
        <v>696.65952125988076</v>
      </c>
      <c r="AO129">
        <f t="shared" si="92"/>
        <v>-1416.8401359985471</v>
      </c>
      <c r="AQ129">
        <f t="shared" si="78"/>
        <v>1.1079104808331486</v>
      </c>
      <c r="AR129">
        <f t="shared" si="79"/>
        <v>-105.25149567914913</v>
      </c>
      <c r="AT129">
        <f t="shared" si="104"/>
        <v>-194190.52621308216</v>
      </c>
      <c r="AU129">
        <f t="shared" si="105"/>
        <v>-524766.93547423475</v>
      </c>
      <c r="AV129">
        <f t="shared" si="93"/>
        <v>-1.925221098928394</v>
      </c>
      <c r="AW129">
        <f t="shared" si="94"/>
        <v>-142459.8421108188</v>
      </c>
      <c r="AX129">
        <f t="shared" si="95"/>
        <v>-80703.988359661889</v>
      </c>
      <c r="AY129">
        <f t="shared" si="103"/>
        <v>-2.6261672193453514</v>
      </c>
      <c r="BA129">
        <f t="shared" si="80"/>
        <v>3.4174571674419818</v>
      </c>
      <c r="BB129">
        <f t="shared" si="96"/>
        <v>10.674061601240997</v>
      </c>
      <c r="BC129">
        <f t="shared" si="97"/>
        <v>0.70094612041695736</v>
      </c>
      <c r="BD129">
        <f t="shared" si="81"/>
        <v>-139.83874558814864</v>
      </c>
      <c r="BF129">
        <f t="shared" si="82"/>
        <v>-6.6170481852149834</v>
      </c>
      <c r="BG129">
        <f t="shared" si="83"/>
        <v>-116.34351822216877</v>
      </c>
      <c r="BH129">
        <f t="shared" si="98"/>
        <v>63.656481777831232</v>
      </c>
      <c r="BI129">
        <f t="shared" si="99"/>
        <v>63.656481777831232</v>
      </c>
      <c r="BJ129">
        <f t="shared" si="84"/>
        <v>0</v>
      </c>
      <c r="BK129">
        <f t="shared" si="100"/>
        <v>0</v>
      </c>
      <c r="BM129">
        <f t="shared" si="101"/>
        <v>-17.291109786455976</v>
      </c>
      <c r="BN129">
        <f t="shared" si="85"/>
        <v>-156.50477263402013</v>
      </c>
      <c r="BQ129" s="56">
        <f t="shared" si="102"/>
        <v>27.576022401526131</v>
      </c>
      <c r="BR129" s="59"/>
      <c r="BS129" s="59"/>
      <c r="BT129" s="59">
        <v>1548.817</v>
      </c>
      <c r="BU129" s="59">
        <v>11.3354</v>
      </c>
      <c r="BV129" s="59">
        <v>-257.471</v>
      </c>
      <c r="BW129" s="61"/>
      <c r="BY129" s="59"/>
      <c r="BZ129" s="59"/>
      <c r="CA129" s="59"/>
      <c r="CC129" s="59"/>
    </row>
    <row r="130" spans="1:81" x14ac:dyDescent="0.25">
      <c r="A130">
        <f t="shared" si="106"/>
        <v>48000</v>
      </c>
      <c r="B130">
        <f t="shared" si="86"/>
        <v>48</v>
      </c>
      <c r="C130">
        <f t="shared" si="55"/>
        <v>1.0763297341126266</v>
      </c>
      <c r="D130">
        <f t="shared" si="56"/>
        <v>0.37886963581463001</v>
      </c>
      <c r="F130">
        <f t="shared" si="57"/>
        <v>8.2957944522562676E-3</v>
      </c>
      <c r="G130">
        <f t="shared" si="58"/>
        <v>3.4415996749032077E-2</v>
      </c>
      <c r="H130">
        <f t="shared" si="59"/>
        <v>-3.1071766532509679</v>
      </c>
      <c r="J130">
        <f t="shared" si="60"/>
        <v>15</v>
      </c>
      <c r="M130">
        <f t="shared" si="61"/>
        <v>3.7980847478464197E-2</v>
      </c>
      <c r="N130">
        <f t="shared" si="62"/>
        <v>-1.5707963250000001</v>
      </c>
      <c r="O130">
        <f t="shared" si="63"/>
        <v>8.0006657846557072</v>
      </c>
      <c r="P130">
        <f t="shared" si="64"/>
        <v>1.4454789798701477</v>
      </c>
      <c r="Q130">
        <f t="shared" si="65"/>
        <v>12.38162971381772</v>
      </c>
      <c r="R130">
        <f t="shared" si="66"/>
        <v>1.4899434515348315</v>
      </c>
      <c r="S130">
        <f t="shared" si="67"/>
        <v>0.92908331741336136</v>
      </c>
      <c r="T130">
        <f t="shared" si="68"/>
        <v>-0.3788696358146299</v>
      </c>
      <c r="U130">
        <f t="shared" si="69"/>
        <v>0.9711614326088529</v>
      </c>
      <c r="V130">
        <f t="shared" si="70"/>
        <v>-0.2407415785588701</v>
      </c>
      <c r="X130">
        <f t="shared" si="87"/>
        <v>-6.845814786267149</v>
      </c>
      <c r="Y130">
        <f t="shared" si="71"/>
        <v>-113.63426845707525</v>
      </c>
      <c r="Z130">
        <f t="shared" si="88"/>
        <v>66.365731542924749</v>
      </c>
      <c r="AC130">
        <v>1</v>
      </c>
      <c r="AD130">
        <f t="shared" si="72"/>
        <v>7.9379249806080008</v>
      </c>
      <c r="AE130">
        <f t="shared" si="73"/>
        <v>-3.5910326556474467E-4</v>
      </c>
      <c r="AF130">
        <f t="shared" si="74"/>
        <v>1.46272553784E-3</v>
      </c>
      <c r="AG130">
        <f t="shared" si="89"/>
        <v>4960.0164844225646</v>
      </c>
      <c r="AH130">
        <f t="shared" si="90"/>
        <v>-1901.3533604657173</v>
      </c>
      <c r="AJ130">
        <f t="shared" si="75"/>
        <v>18000</v>
      </c>
      <c r="AK130">
        <f t="shared" si="76"/>
        <v>7165.8471709440009</v>
      </c>
      <c r="AL130">
        <v>1</v>
      </c>
      <c r="AM130">
        <f t="shared" si="77"/>
        <v>12.341181238847998</v>
      </c>
      <c r="AN130">
        <f t="shared" si="91"/>
        <v>694.27082743670667</v>
      </c>
      <c r="AO130">
        <f t="shared" si="92"/>
        <v>-1402.2749392973599</v>
      </c>
      <c r="AQ130">
        <f t="shared" si="78"/>
        <v>1.0849517196484757</v>
      </c>
      <c r="AR130">
        <f t="shared" si="79"/>
        <v>-104.15536508625367</v>
      </c>
      <c r="AT130">
        <f t="shared" si="104"/>
        <v>-192654.77500302298</v>
      </c>
      <c r="AU130">
        <f t="shared" si="105"/>
        <v>-518675.20436696534</v>
      </c>
      <c r="AV130">
        <f t="shared" si="93"/>
        <v>-1.9264389623475457</v>
      </c>
      <c r="AW130">
        <f t="shared" si="94"/>
        <v>-139414.78792656679</v>
      </c>
      <c r="AX130">
        <f t="shared" si="95"/>
        <v>-79608.175145683403</v>
      </c>
      <c r="AY130">
        <f t="shared" si="103"/>
        <v>-2.6227570658267099</v>
      </c>
      <c r="BA130">
        <f t="shared" si="80"/>
        <v>3.4464300840930195</v>
      </c>
      <c r="BB130">
        <f t="shared" si="96"/>
        <v>10.74738945233551</v>
      </c>
      <c r="BC130">
        <f t="shared" si="97"/>
        <v>0.69631810347916412</v>
      </c>
      <c r="BD130">
        <f t="shared" si="81"/>
        <v>-140.10391142650224</v>
      </c>
      <c r="BF130">
        <f t="shared" si="82"/>
        <v>-6.7147189489381223</v>
      </c>
      <c r="BG130">
        <f t="shared" si="83"/>
        <v>-116.42438892015208</v>
      </c>
      <c r="BH130">
        <f t="shared" si="98"/>
        <v>63.575611079847917</v>
      </c>
      <c r="BI130">
        <f t="shared" si="99"/>
        <v>63.575611079847917</v>
      </c>
      <c r="BJ130">
        <f t="shared" si="84"/>
        <v>0</v>
      </c>
      <c r="BK130">
        <f t="shared" si="100"/>
        <v>0</v>
      </c>
      <c r="BM130">
        <f t="shared" si="101"/>
        <v>-17.462108401273632</v>
      </c>
      <c r="BN130">
        <f t="shared" si="85"/>
        <v>-156.32047749364986</v>
      </c>
      <c r="BQ130" s="56">
        <f t="shared" si="102"/>
        <v>27.649350252620643</v>
      </c>
      <c r="BR130" s="59"/>
      <c r="BS130" s="59"/>
      <c r="BT130" s="59">
        <v>1584.893</v>
      </c>
      <c r="BU130" s="59">
        <v>11.160399999999999</v>
      </c>
      <c r="BV130" s="59">
        <v>-256.94200000000001</v>
      </c>
      <c r="BW130" s="61"/>
      <c r="BY130" s="59"/>
      <c r="BZ130" s="59"/>
      <c r="CA130" s="59"/>
      <c r="CC130" s="59"/>
    </row>
    <row r="131" spans="1:81" x14ac:dyDescent="0.25">
      <c r="A131">
        <f t="shared" si="106"/>
        <v>48500</v>
      </c>
      <c r="B131">
        <f t="shared" si="86"/>
        <v>48.5</v>
      </c>
      <c r="C131">
        <f t="shared" si="55"/>
        <v>1.0778704368698979</v>
      </c>
      <c r="D131">
        <f t="shared" si="56"/>
        <v>0.38244411547076557</v>
      </c>
      <c r="F131">
        <f t="shared" si="57"/>
        <v>8.1243376780827815E-3</v>
      </c>
      <c r="G131">
        <f t="shared" si="58"/>
        <v>3.4055640314180319E-2</v>
      </c>
      <c r="H131">
        <f t="shared" si="59"/>
        <v>-3.1075370096858199</v>
      </c>
      <c r="J131">
        <f t="shared" si="60"/>
        <v>15</v>
      </c>
      <c r="M131">
        <f t="shared" si="61"/>
        <v>3.7589292349820239E-2</v>
      </c>
      <c r="N131">
        <f t="shared" si="62"/>
        <v>-1.5707963250000001</v>
      </c>
      <c r="O131">
        <f t="shared" si="63"/>
        <v>8.08271068569438</v>
      </c>
      <c r="P131">
        <f t="shared" si="64"/>
        <v>1.4467576329022462</v>
      </c>
      <c r="Q131">
        <f t="shared" si="65"/>
        <v>12.509768031808523</v>
      </c>
      <c r="R131">
        <f t="shared" si="66"/>
        <v>1.4907734140509292</v>
      </c>
      <c r="S131">
        <f t="shared" si="67"/>
        <v>0.9277552902406051</v>
      </c>
      <c r="T131">
        <f t="shared" si="68"/>
        <v>-0.38244411547076551</v>
      </c>
      <c r="U131">
        <f t="shared" si="69"/>
        <v>0.97058388923282213</v>
      </c>
      <c r="V131">
        <f t="shared" si="70"/>
        <v>-0.24315209558535739</v>
      </c>
      <c r="X131">
        <f t="shared" si="87"/>
        <v>-6.9443451284043309</v>
      </c>
      <c r="Y131">
        <f t="shared" si="71"/>
        <v>-113.67221304049092</v>
      </c>
      <c r="Z131">
        <f t="shared" si="88"/>
        <v>66.327786959509083</v>
      </c>
      <c r="AC131">
        <v>1</v>
      </c>
      <c r="AD131">
        <f t="shared" si="72"/>
        <v>8.0206116991559995</v>
      </c>
      <c r="AE131">
        <f t="shared" si="73"/>
        <v>-3.6662354879542984E-4</v>
      </c>
      <c r="AF131">
        <f t="shared" si="74"/>
        <v>1.4779622621924999E-3</v>
      </c>
      <c r="AG131">
        <f t="shared" si="89"/>
        <v>4954.1188596145485</v>
      </c>
      <c r="AH131">
        <f t="shared" si="90"/>
        <v>-1905.5267576916253</v>
      </c>
      <c r="AJ131">
        <f t="shared" si="75"/>
        <v>18000</v>
      </c>
      <c r="AK131">
        <f t="shared" si="76"/>
        <v>7240.4914123079998</v>
      </c>
      <c r="AL131">
        <v>1</v>
      </c>
      <c r="AM131">
        <f t="shared" si="77"/>
        <v>12.469735210086</v>
      </c>
      <c r="AN131">
        <f t="shared" si="91"/>
        <v>691.95499979953343</v>
      </c>
      <c r="AO131">
        <f t="shared" si="92"/>
        <v>-1388.0042124872914</v>
      </c>
      <c r="AQ131">
        <f t="shared" si="78"/>
        <v>1.0626992561105206</v>
      </c>
      <c r="AR131">
        <f t="shared" si="79"/>
        <v>-103.08182784272051</v>
      </c>
      <c r="AT131">
        <f t="shared" si="104"/>
        <v>-191160.44275927005</v>
      </c>
      <c r="AU131">
        <f t="shared" si="105"/>
        <v>-512704.62926705932</v>
      </c>
      <c r="AV131">
        <f t="shared" si="93"/>
        <v>-1.9276782031266608</v>
      </c>
      <c r="AW131">
        <f t="shared" si="94"/>
        <v>-136462.74061503526</v>
      </c>
      <c r="AX131">
        <f t="shared" si="95"/>
        <v>-78543.629389501555</v>
      </c>
      <c r="AY131">
        <f t="shared" si="103"/>
        <v>-2.6193313764385882</v>
      </c>
      <c r="BA131">
        <f t="shared" si="80"/>
        <v>3.475228335103675</v>
      </c>
      <c r="BB131">
        <f t="shared" si="96"/>
        <v>10.819666891718281</v>
      </c>
      <c r="BC131">
        <f t="shared" si="97"/>
        <v>0.69165317331192733</v>
      </c>
      <c r="BD131">
        <f t="shared" si="81"/>
        <v>-140.37119223711358</v>
      </c>
      <c r="BF131">
        <f t="shared" si="82"/>
        <v>-6.8114173958969371</v>
      </c>
      <c r="BG131">
        <f t="shared" si="83"/>
        <v>-116.50751403513846</v>
      </c>
      <c r="BH131">
        <f t="shared" si="98"/>
        <v>63.492485964861544</v>
      </c>
      <c r="BI131">
        <f t="shared" si="99"/>
        <v>63.492485964861544</v>
      </c>
      <c r="BJ131">
        <f t="shared" si="84"/>
        <v>0</v>
      </c>
      <c r="BK131">
        <f t="shared" si="100"/>
        <v>0</v>
      </c>
      <c r="BM131">
        <f t="shared" si="101"/>
        <v>-17.631084287615217</v>
      </c>
      <c r="BN131">
        <f t="shared" si="85"/>
        <v>-156.13632179802488</v>
      </c>
      <c r="BQ131" s="56">
        <f t="shared" si="102"/>
        <v>27.72162769200342</v>
      </c>
      <c r="BR131" s="59"/>
      <c r="BS131" s="59"/>
      <c r="BT131" s="59">
        <v>1621.81</v>
      </c>
      <c r="BU131" s="59">
        <v>10.9787</v>
      </c>
      <c r="BV131" s="59">
        <v>-256.75299999999999</v>
      </c>
      <c r="BW131" s="61"/>
      <c r="BY131" s="59"/>
      <c r="BZ131" s="59"/>
      <c r="CA131" s="59"/>
      <c r="CC131" s="59"/>
    </row>
    <row r="132" spans="1:81" x14ac:dyDescent="0.25">
      <c r="A132">
        <f t="shared" si="106"/>
        <v>49000</v>
      </c>
      <c r="B132">
        <f t="shared" si="86"/>
        <v>49</v>
      </c>
      <c r="C132">
        <f t="shared" si="55"/>
        <v>1.0794248720585378</v>
      </c>
      <c r="D132">
        <f t="shared" si="56"/>
        <v>0.38600834563680336</v>
      </c>
      <c r="F132">
        <f t="shared" si="57"/>
        <v>7.9581547413548181E-3</v>
      </c>
      <c r="G132">
        <f t="shared" si="58"/>
        <v>3.3702807091796252E-2</v>
      </c>
      <c r="H132">
        <f t="shared" si="59"/>
        <v>-3.1078898429082038</v>
      </c>
      <c r="J132">
        <f t="shared" si="60"/>
        <v>15</v>
      </c>
      <c r="M132">
        <f t="shared" si="61"/>
        <v>3.7205728142169006E-2</v>
      </c>
      <c r="N132">
        <f t="shared" si="62"/>
        <v>-1.5707963250000001</v>
      </c>
      <c r="O132">
        <f t="shared" si="63"/>
        <v>8.1647685359944013</v>
      </c>
      <c r="P132">
        <f t="shared" si="64"/>
        <v>1.4480105864193398</v>
      </c>
      <c r="Q132">
        <f t="shared" si="65"/>
        <v>12.637914792253717</v>
      </c>
      <c r="R132">
        <f t="shared" si="66"/>
        <v>1.4915865457005906</v>
      </c>
      <c r="S132">
        <f t="shared" si="67"/>
        <v>0.92641926815428211</v>
      </c>
      <c r="T132">
        <f t="shared" si="68"/>
        <v>-0.38600834563680325</v>
      </c>
      <c r="U132">
        <f t="shared" si="69"/>
        <v>0.97000140615301966</v>
      </c>
      <c r="V132">
        <f t="shared" si="70"/>
        <v>-0.24555973330791497</v>
      </c>
      <c r="X132">
        <f t="shared" si="87"/>
        <v>-7.0418977784089467</v>
      </c>
      <c r="Y132">
        <f t="shared" si="71"/>
        <v>-113.71199841498034</v>
      </c>
      <c r="Z132">
        <f t="shared" si="88"/>
        <v>66.288001585019657</v>
      </c>
      <c r="AC132">
        <v>1</v>
      </c>
      <c r="AD132">
        <f t="shared" si="72"/>
        <v>8.1032984177039999</v>
      </c>
      <c r="AE132">
        <f t="shared" si="73"/>
        <v>-3.7422176242228806E-4</v>
      </c>
      <c r="AF132">
        <f t="shared" si="74"/>
        <v>1.493198986545E-3</v>
      </c>
      <c r="AG132">
        <f t="shared" si="89"/>
        <v>4948.1743461343685</v>
      </c>
      <c r="AH132">
        <f t="shared" si="90"/>
        <v>-1909.8020761328821</v>
      </c>
      <c r="AJ132">
        <f t="shared" si="75"/>
        <v>18000</v>
      </c>
      <c r="AK132">
        <f t="shared" si="76"/>
        <v>7315.1356536720004</v>
      </c>
      <c r="AL132">
        <v>1</v>
      </c>
      <c r="AM132">
        <f t="shared" si="77"/>
        <v>12.598289181323997</v>
      </c>
      <c r="AN132">
        <f t="shared" si="91"/>
        <v>689.70911067224358</v>
      </c>
      <c r="AO132">
        <f t="shared" si="92"/>
        <v>-1374.0191735707213</v>
      </c>
      <c r="AQ132">
        <f t="shared" si="78"/>
        <v>1.0411244143675169</v>
      </c>
      <c r="AR132">
        <f t="shared" si="79"/>
        <v>-102.03019260801666</v>
      </c>
      <c r="AT132">
        <f t="shared" si="104"/>
        <v>-189705.80855272055</v>
      </c>
      <c r="AU132">
        <f t="shared" si="105"/>
        <v>-506851.52316220821</v>
      </c>
      <c r="AV132">
        <f t="shared" si="93"/>
        <v>-1.9289380729844141</v>
      </c>
      <c r="AW132">
        <f t="shared" si="94"/>
        <v>-133599.97101004043</v>
      </c>
      <c r="AX132">
        <f t="shared" si="95"/>
        <v>-77509.055504466349</v>
      </c>
      <c r="AY132">
        <f t="shared" si="103"/>
        <v>-2.6158908443443987</v>
      </c>
      <c r="BA132">
        <f t="shared" si="80"/>
        <v>3.5038502897009316</v>
      </c>
      <c r="BB132">
        <f t="shared" si="96"/>
        <v>10.89091083265042</v>
      </c>
      <c r="BC132">
        <f t="shared" si="97"/>
        <v>0.68695277135998456</v>
      </c>
      <c r="BD132">
        <f t="shared" si="81"/>
        <v>-140.64050543128269</v>
      </c>
      <c r="BF132">
        <f t="shared" si="82"/>
        <v>-6.9071679799190475</v>
      </c>
      <c r="BG132">
        <f t="shared" si="83"/>
        <v>-116.59282773788473</v>
      </c>
      <c r="BH132">
        <f t="shared" si="98"/>
        <v>63.407172262115267</v>
      </c>
      <c r="BI132">
        <f t="shared" si="99"/>
        <v>63.407172262115267</v>
      </c>
      <c r="BJ132">
        <f t="shared" si="84"/>
        <v>0</v>
      </c>
      <c r="BK132">
        <f t="shared" si="100"/>
        <v>0</v>
      </c>
      <c r="BM132">
        <f t="shared" si="101"/>
        <v>-17.798078812569468</v>
      </c>
      <c r="BN132">
        <f t="shared" si="85"/>
        <v>-155.95232230660204</v>
      </c>
      <c r="BQ132" s="56">
        <f t="shared" si="102"/>
        <v>27.792871632935558</v>
      </c>
      <c r="BR132" s="59"/>
      <c r="BS132" s="59"/>
      <c r="BT132" s="59">
        <v>1659.587</v>
      </c>
      <c r="BU132" s="59">
        <v>10.7578</v>
      </c>
      <c r="BV132" s="59">
        <v>-256.85699999999997</v>
      </c>
      <c r="BW132" s="61"/>
      <c r="BY132" s="59"/>
      <c r="BZ132" s="59"/>
      <c r="CA132" s="59"/>
      <c r="CC132" s="59"/>
    </row>
    <row r="133" spans="1:81" x14ac:dyDescent="0.25">
      <c r="A133">
        <f t="shared" si="106"/>
        <v>49500</v>
      </c>
      <c r="B133">
        <f t="shared" si="86"/>
        <v>49.5</v>
      </c>
      <c r="C133">
        <f t="shared" si="55"/>
        <v>1.0809929804380853</v>
      </c>
      <c r="D133">
        <f t="shared" si="56"/>
        <v>0.3895622801662304</v>
      </c>
      <c r="F133">
        <f t="shared" si="57"/>
        <v>7.7970310439698818E-3</v>
      </c>
      <c r="G133">
        <f t="shared" si="58"/>
        <v>3.3357262300505196E-2</v>
      </c>
      <c r="H133">
        <f t="shared" si="59"/>
        <v>-3.1082353876994948</v>
      </c>
      <c r="J133">
        <f t="shared" si="60"/>
        <v>15</v>
      </c>
      <c r="M133">
        <f t="shared" si="61"/>
        <v>3.6829912706389523E-2</v>
      </c>
      <c r="N133">
        <f t="shared" si="62"/>
        <v>-1.5707963250000001</v>
      </c>
      <c r="O133">
        <f t="shared" si="63"/>
        <v>8.2468389490118383</v>
      </c>
      <c r="P133">
        <f t="shared" si="64"/>
        <v>1.4492386036923193</v>
      </c>
      <c r="Q133">
        <f t="shared" si="65"/>
        <v>12.76606974091534</v>
      </c>
      <c r="R133">
        <f t="shared" si="66"/>
        <v>1.4923833522728926</v>
      </c>
      <c r="S133">
        <f t="shared" si="67"/>
        <v>0.9250753872562042</v>
      </c>
      <c r="T133">
        <f t="shared" si="68"/>
        <v>-0.38956228016623035</v>
      </c>
      <c r="U133">
        <f t="shared" si="69"/>
        <v>0.96941401249799219</v>
      </c>
      <c r="V133">
        <f t="shared" si="70"/>
        <v>-0.2479644690198155</v>
      </c>
      <c r="X133">
        <f t="shared" si="87"/>
        <v>-7.1384953809675515</v>
      </c>
      <c r="Y133">
        <f t="shared" si="71"/>
        <v>-113.75356401974574</v>
      </c>
      <c r="Z133">
        <f t="shared" si="88"/>
        <v>66.246435980254262</v>
      </c>
      <c r="AC133">
        <v>1</v>
      </c>
      <c r="AD133">
        <f t="shared" si="72"/>
        <v>8.1859851362520004</v>
      </c>
      <c r="AE133">
        <f t="shared" si="73"/>
        <v>-3.8189790644531916E-4</v>
      </c>
      <c r="AF133">
        <f t="shared" si="74"/>
        <v>1.5084357108975E-3</v>
      </c>
      <c r="AG133">
        <f t="shared" si="89"/>
        <v>4942.1833317728551</v>
      </c>
      <c r="AH133">
        <f t="shared" si="90"/>
        <v>-1914.1746955559902</v>
      </c>
      <c r="AJ133">
        <f t="shared" si="75"/>
        <v>18000</v>
      </c>
      <c r="AK133">
        <f t="shared" si="76"/>
        <v>7389.7798950360002</v>
      </c>
      <c r="AL133">
        <v>1</v>
      </c>
      <c r="AM133">
        <f t="shared" si="77"/>
        <v>12.726843152562001</v>
      </c>
      <c r="AN133">
        <f t="shared" si="91"/>
        <v>687.53037765206068</v>
      </c>
      <c r="AO133">
        <f t="shared" si="92"/>
        <v>-1360.3113839634946</v>
      </c>
      <c r="AQ133">
        <f t="shared" si="78"/>
        <v>1.0201999591920017</v>
      </c>
      <c r="AR133">
        <f t="shared" si="79"/>
        <v>-100.99979596000816</v>
      </c>
      <c r="AT133">
        <f t="shared" si="104"/>
        <v>-188289.23844957168</v>
      </c>
      <c r="AU133">
        <f t="shared" si="105"/>
        <v>-501112.34905230423</v>
      </c>
      <c r="AV133">
        <f t="shared" si="93"/>
        <v>-1.9302178523319675</v>
      </c>
      <c r="AW133">
        <f t="shared" si="94"/>
        <v>-130822.9346027948</v>
      </c>
      <c r="AX133">
        <f t="shared" si="95"/>
        <v>-76503.226782540398</v>
      </c>
      <c r="AY133">
        <f t="shared" si="103"/>
        <v>-2.6124361396844824</v>
      </c>
      <c r="BA133">
        <f t="shared" si="80"/>
        <v>3.5322943511513714</v>
      </c>
      <c r="BB133">
        <f t="shared" si="96"/>
        <v>10.961137735903906</v>
      </c>
      <c r="BC133">
        <f t="shared" si="97"/>
        <v>0.68221828735251488</v>
      </c>
      <c r="BD133">
        <f t="shared" si="81"/>
        <v>-140.91177138339285</v>
      </c>
      <c r="BF133">
        <f t="shared" si="82"/>
        <v>-7.0019943391811026</v>
      </c>
      <c r="BG133">
        <f t="shared" si="83"/>
        <v>-116.68026649875657</v>
      </c>
      <c r="BH133">
        <f t="shared" si="98"/>
        <v>63.319733501243434</v>
      </c>
      <c r="BI133">
        <f t="shared" si="99"/>
        <v>63.319733501243434</v>
      </c>
      <c r="BJ133">
        <f t="shared" si="84"/>
        <v>0</v>
      </c>
      <c r="BK133">
        <f t="shared" si="100"/>
        <v>0</v>
      </c>
      <c r="BM133">
        <f t="shared" si="101"/>
        <v>-17.963132075085007</v>
      </c>
      <c r="BN133">
        <f t="shared" si="85"/>
        <v>-155.76849511536372</v>
      </c>
      <c r="BQ133" s="56">
        <f t="shared" si="102"/>
        <v>27.863098536189042</v>
      </c>
      <c r="BR133" s="59"/>
      <c r="BS133" s="59"/>
      <c r="BT133" s="59">
        <v>1698.2439999999999</v>
      </c>
      <c r="BU133" s="59">
        <v>10.580500000000001</v>
      </c>
      <c r="BV133" s="59">
        <v>-256.31299999999999</v>
      </c>
      <c r="BW133" s="61"/>
      <c r="BY133" s="59"/>
      <c r="BZ133" s="59"/>
      <c r="CA133" s="59"/>
      <c r="CC133" s="59"/>
    </row>
    <row r="134" spans="1:81" x14ac:dyDescent="0.25">
      <c r="A134">
        <f t="shared" si="106"/>
        <v>50000</v>
      </c>
      <c r="B134">
        <f t="shared" si="86"/>
        <v>50</v>
      </c>
      <c r="C134">
        <f t="shared" si="55"/>
        <v>1.0825747025917321</v>
      </c>
      <c r="D134">
        <f t="shared" si="56"/>
        <v>0.3931058742190221</v>
      </c>
      <c r="F134">
        <f t="shared" si="57"/>
        <v>7.6407628177440051E-3</v>
      </c>
      <c r="G134">
        <f t="shared" si="58"/>
        <v>3.3018780890066504E-2</v>
      </c>
      <c r="H134">
        <f t="shared" si="59"/>
        <v>-3.1085738691099336</v>
      </c>
      <c r="J134">
        <f t="shared" si="60"/>
        <v>15</v>
      </c>
      <c r="M134">
        <f t="shared" si="61"/>
        <v>3.6461613579325633E-2</v>
      </c>
      <c r="N134">
        <f t="shared" si="62"/>
        <v>-1.5707963250000001</v>
      </c>
      <c r="O134">
        <f t="shared" si="63"/>
        <v>8.3289215533802263</v>
      </c>
      <c r="P134">
        <f t="shared" si="64"/>
        <v>1.4504424182113378</v>
      </c>
      <c r="Q134">
        <f t="shared" si="65"/>
        <v>12.894232633646924</v>
      </c>
      <c r="R134">
        <f t="shared" si="66"/>
        <v>1.4931643195325062</v>
      </c>
      <c r="S134">
        <f t="shared" si="67"/>
        <v>0.9237237833157893</v>
      </c>
      <c r="T134">
        <f t="shared" si="68"/>
        <v>-0.39310587421902204</v>
      </c>
      <c r="U134">
        <f t="shared" si="69"/>
        <v>0.96882173754496148</v>
      </c>
      <c r="V134">
        <f t="shared" si="70"/>
        <v>-0.25036628020328733</v>
      </c>
      <c r="X134">
        <f t="shared" si="87"/>
        <v>-7.2341598125546334</v>
      </c>
      <c r="Y134">
        <f t="shared" si="71"/>
        <v>-113.79685160088714</v>
      </c>
      <c r="Z134">
        <f t="shared" si="88"/>
        <v>66.203148399112862</v>
      </c>
      <c r="AC134">
        <v>1</v>
      </c>
      <c r="AD134">
        <f t="shared" si="72"/>
        <v>8.2686718547999991</v>
      </c>
      <c r="AE134">
        <f t="shared" si="73"/>
        <v>-3.896519808645232E-4</v>
      </c>
      <c r="AF134">
        <f t="shared" si="74"/>
        <v>1.5236724352500001E-3</v>
      </c>
      <c r="AG134">
        <f t="shared" si="89"/>
        <v>4936.1462058798925</v>
      </c>
      <c r="AH134">
        <f t="shared" si="90"/>
        <v>-1918.640174440342</v>
      </c>
      <c r="AJ134">
        <f t="shared" si="75"/>
        <v>18000</v>
      </c>
      <c r="AK134">
        <f t="shared" si="76"/>
        <v>7464.4241364000009</v>
      </c>
      <c r="AL134">
        <v>1</v>
      </c>
      <c r="AM134">
        <f t="shared" si="77"/>
        <v>12.8553971238</v>
      </c>
      <c r="AN134">
        <f t="shared" si="91"/>
        <v>685.41615506192773</v>
      </c>
      <c r="AO134">
        <f t="shared" si="92"/>
        <v>-1346.8727319891582</v>
      </c>
      <c r="AQ134">
        <f t="shared" si="78"/>
        <v>0.99990000999900008</v>
      </c>
      <c r="AR134">
        <f t="shared" si="79"/>
        <v>-99.990000999900005</v>
      </c>
      <c r="AT134">
        <f t="shared" si="104"/>
        <v>-186909.18032012228</v>
      </c>
      <c r="AU134">
        <f t="shared" si="105"/>
        <v>-495483.71239119046</v>
      </c>
      <c r="AV134">
        <f t="shared" si="93"/>
        <v>-1.9315168488950774</v>
      </c>
      <c r="AW134">
        <f t="shared" si="94"/>
        <v>-128128.26070201158</v>
      </c>
      <c r="AX134">
        <f t="shared" si="95"/>
        <v>-75524.980987493691</v>
      </c>
      <c r="AY134">
        <f t="shared" si="103"/>
        <v>-2.6089679107276647</v>
      </c>
      <c r="BA134">
        <f t="shared" si="80"/>
        <v>3.5605589565778129</v>
      </c>
      <c r="BB134">
        <f t="shared" si="96"/>
        <v>11.030363626323245</v>
      </c>
      <c r="BC134">
        <f t="shared" si="97"/>
        <v>0.6774510618325873</v>
      </c>
      <c r="BD134">
        <f t="shared" si="81"/>
        <v>-141.18491328598387</v>
      </c>
      <c r="BF134">
        <f t="shared" si="82"/>
        <v>-7.09591933229364</v>
      </c>
      <c r="BG134">
        <f t="shared" si="83"/>
        <v>-116.76976897386687</v>
      </c>
      <c r="BH134">
        <f t="shared" si="98"/>
        <v>63.230231026133126</v>
      </c>
      <c r="BI134">
        <f t="shared" si="99"/>
        <v>63.230231026133126</v>
      </c>
      <c r="BJ134">
        <f t="shared" si="84"/>
        <v>0</v>
      </c>
      <c r="BK134">
        <f t="shared" si="100"/>
        <v>0</v>
      </c>
      <c r="BM134">
        <f t="shared" si="101"/>
        <v>-18.126282958616883</v>
      </c>
      <c r="BN134">
        <f t="shared" si="85"/>
        <v>-155.58485568788302</v>
      </c>
      <c r="BQ134" s="56">
        <f t="shared" si="102"/>
        <v>27.932324426608382</v>
      </c>
      <c r="BR134" s="59"/>
      <c r="BS134" s="59"/>
      <c r="BT134" s="59">
        <v>1737.8009999999999</v>
      </c>
      <c r="BU134" s="59">
        <v>10.4643</v>
      </c>
      <c r="BV134" s="59">
        <v>-256.37900000000002</v>
      </c>
      <c r="BW134" s="61"/>
      <c r="BY134" s="59"/>
      <c r="BZ134" s="59"/>
      <c r="CA134" s="59"/>
      <c r="CC134" s="59"/>
    </row>
    <row r="135" spans="1:81" x14ac:dyDescent="0.25">
      <c r="A135">
        <f t="shared" si="106"/>
        <v>50500</v>
      </c>
      <c r="B135">
        <f t="shared" si="86"/>
        <v>50.5</v>
      </c>
      <c r="C135">
        <f t="shared" si="55"/>
        <v>1.0841699789350734</v>
      </c>
      <c r="D135">
        <f t="shared" si="56"/>
        <v>0.39663908425444194</v>
      </c>
      <c r="F135">
        <f t="shared" si="57"/>
        <v>7.4891564736891758E-3</v>
      </c>
      <c r="G135">
        <f t="shared" si="58"/>
        <v>3.2687147039422611E-2</v>
      </c>
      <c r="H135">
        <f t="shared" si="59"/>
        <v>-3.1089055029605777</v>
      </c>
      <c r="J135">
        <f t="shared" si="60"/>
        <v>15</v>
      </c>
      <c r="M135">
        <f t="shared" si="61"/>
        <v>3.6100607504282803E-2</v>
      </c>
      <c r="N135">
        <f t="shared" si="62"/>
        <v>-1.5707963250000001</v>
      </c>
      <c r="O135">
        <f t="shared" si="63"/>
        <v>8.4110159921755692</v>
      </c>
      <c r="P135">
        <f t="shared" si="64"/>
        <v>1.4516227351170923</v>
      </c>
      <c r="Q135">
        <f t="shared" si="65"/>
        <v>13.022403235898452</v>
      </c>
      <c r="R135">
        <f t="shared" si="66"/>
        <v>1.4939299141989812</v>
      </c>
      <c r="S135">
        <f t="shared" si="67"/>
        <v>0.92236459174257024</v>
      </c>
      <c r="T135">
        <f t="shared" si="68"/>
        <v>-0.39663908425444183</v>
      </c>
      <c r="U135">
        <f t="shared" si="69"/>
        <v>0.96822461071614419</v>
      </c>
      <c r="V135">
        <f t="shared" si="70"/>
        <v>-0.25276514453025867</v>
      </c>
      <c r="X135">
        <f t="shared" si="87"/>
        <v>-7.3289122158224282</v>
      </c>
      <c r="Y135">
        <f t="shared" si="71"/>
        <v>-113.84180510208964</v>
      </c>
      <c r="Z135">
        <f t="shared" si="88"/>
        <v>66.158194897910363</v>
      </c>
      <c r="AC135">
        <v>1</v>
      </c>
      <c r="AD135">
        <f t="shared" si="72"/>
        <v>8.3513585733479996</v>
      </c>
      <c r="AE135">
        <f t="shared" si="73"/>
        <v>-3.9748398567990013E-4</v>
      </c>
      <c r="AF135">
        <f t="shared" si="74"/>
        <v>1.5389091596025E-3</v>
      </c>
      <c r="AG135">
        <f t="shared" si="89"/>
        <v>4930.0633593072771</v>
      </c>
      <c r="AH135">
        <f t="shared" si="90"/>
        <v>-1923.1942413523382</v>
      </c>
      <c r="AJ135">
        <f t="shared" si="75"/>
        <v>18000</v>
      </c>
      <c r="AK135">
        <f t="shared" si="76"/>
        <v>7539.0683777639997</v>
      </c>
      <c r="AL135">
        <v>1</v>
      </c>
      <c r="AM135">
        <f t="shared" si="77"/>
        <v>12.983951095038</v>
      </c>
      <c r="AN135">
        <f t="shared" si="91"/>
        <v>683.3639259827404</v>
      </c>
      <c r="AO135">
        <f t="shared" si="92"/>
        <v>-1333.6954173090699</v>
      </c>
      <c r="AQ135">
        <f t="shared" si="78"/>
        <v>0.98019996079200156</v>
      </c>
      <c r="AR135">
        <f t="shared" si="79"/>
        <v>-99.000196039992161</v>
      </c>
      <c r="AT135">
        <f t="shared" si="104"/>
        <v>-185564.1590053704</v>
      </c>
      <c r="AU135">
        <f t="shared" si="105"/>
        <v>-489962.35398097167</v>
      </c>
      <c r="AV135">
        <f t="shared" si="93"/>
        <v>-1.932834396414971</v>
      </c>
      <c r="AW135">
        <f t="shared" si="94"/>
        <v>-125512.74232742444</v>
      </c>
      <c r="AX135">
        <f t="shared" si="95"/>
        <v>-74573.216274558057</v>
      </c>
      <c r="AY135">
        <f t="shared" si="103"/>
        <v>-2.6054867849530803</v>
      </c>
      <c r="BA135">
        <f t="shared" si="80"/>
        <v>3.5886425768027062</v>
      </c>
      <c r="BB135">
        <f t="shared" si="96"/>
        <v>11.098604108697609</v>
      </c>
      <c r="BC135">
        <f t="shared" si="97"/>
        <v>0.67265238853810927</v>
      </c>
      <c r="BD135">
        <f t="shared" si="81"/>
        <v>-141.45985701333376</v>
      </c>
      <c r="BF135">
        <f t="shared" si="82"/>
        <v>-7.1889650723423024</v>
      </c>
      <c r="BG135">
        <f t="shared" si="83"/>
        <v>-116.86127589782996</v>
      </c>
      <c r="BH135">
        <f t="shared" si="98"/>
        <v>63.138724102170045</v>
      </c>
      <c r="BI135">
        <f t="shared" si="99"/>
        <v>63.138724102170045</v>
      </c>
      <c r="BJ135">
        <f t="shared" si="84"/>
        <v>0</v>
      </c>
      <c r="BK135">
        <f t="shared" si="100"/>
        <v>0</v>
      </c>
      <c r="BM135">
        <f t="shared" si="101"/>
        <v>-18.28756918103991</v>
      </c>
      <c r="BN135">
        <f t="shared" si="85"/>
        <v>-155.40141888449617</v>
      </c>
      <c r="BQ135" s="56">
        <f t="shared" si="102"/>
        <v>28.000564908982746</v>
      </c>
      <c r="BR135" s="59"/>
      <c r="BS135" s="59"/>
      <c r="BT135" s="59">
        <v>1778.279</v>
      </c>
      <c r="BU135" s="59">
        <v>10.213699999999999</v>
      </c>
      <c r="BV135" s="59">
        <v>-256.01499999999999</v>
      </c>
      <c r="BW135" s="61"/>
      <c r="BY135" s="59"/>
      <c r="BZ135" s="59"/>
      <c r="CA135" s="59"/>
      <c r="CC135" s="59"/>
    </row>
    <row r="136" spans="1:81" x14ac:dyDescent="0.25">
      <c r="A136">
        <f t="shared" si="106"/>
        <v>51000</v>
      </c>
      <c r="B136">
        <f t="shared" si="86"/>
        <v>51</v>
      </c>
      <c r="C136">
        <f t="shared" si="55"/>
        <v>1.0857787497247846</v>
      </c>
      <c r="D136">
        <f t="shared" si="56"/>
        <v>0.40016186802356551</v>
      </c>
      <c r="F136">
        <f t="shared" si="57"/>
        <v>7.3420279965494498E-3</v>
      </c>
      <c r="G136">
        <f t="shared" si="58"/>
        <v>3.2362153685666049E-2</v>
      </c>
      <c r="H136">
        <f t="shared" si="59"/>
        <v>-3.1092304963143342</v>
      </c>
      <c r="J136">
        <f t="shared" si="60"/>
        <v>15</v>
      </c>
      <c r="M136">
        <f t="shared" si="61"/>
        <v>3.5746679979731015E-2</v>
      </c>
      <c r="N136">
        <f t="shared" si="62"/>
        <v>-1.5707963250000001</v>
      </c>
      <c r="O136">
        <f t="shared" si="63"/>
        <v>8.4931219222234819</v>
      </c>
      <c r="P136">
        <f t="shared" si="64"/>
        <v>1.4527802325507537</v>
      </c>
      <c r="Q136">
        <f t="shared" si="65"/>
        <v>13.150581322250121</v>
      </c>
      <c r="R136">
        <f t="shared" si="66"/>
        <v>1.4946805848692333</v>
      </c>
      <c r="S136">
        <f t="shared" si="67"/>
        <v>0.92099794755927289</v>
      </c>
      <c r="T136">
        <f t="shared" si="68"/>
        <v>-0.4001618680235654</v>
      </c>
      <c r="U136">
        <f t="shared" si="69"/>
        <v>0.96762266157507237</v>
      </c>
      <c r="V136">
        <f t="shared" si="70"/>
        <v>-0.2551610398630742</v>
      </c>
      <c r="X136">
        <f t="shared" si="87"/>
        <v>-7.4227730320761118</v>
      </c>
      <c r="Y136">
        <f t="shared" si="71"/>
        <v>-113.8883705614526</v>
      </c>
      <c r="Z136">
        <f t="shared" si="88"/>
        <v>66.111629438547396</v>
      </c>
      <c r="AC136">
        <v>1</v>
      </c>
      <c r="AD136">
        <f t="shared" si="72"/>
        <v>8.4340452918960001</v>
      </c>
      <c r="AE136">
        <f t="shared" si="73"/>
        <v>-4.0539392089145E-4</v>
      </c>
      <c r="AF136">
        <f t="shared" si="74"/>
        <v>1.554145883955E-3</v>
      </c>
      <c r="AG136">
        <f t="shared" si="89"/>
        <v>4923.9351843516806</v>
      </c>
      <c r="AH136">
        <f t="shared" si="90"/>
        <v>-1927.8327868263652</v>
      </c>
      <c r="AJ136">
        <f t="shared" si="75"/>
        <v>18000</v>
      </c>
      <c r="AK136">
        <f t="shared" si="76"/>
        <v>7613.7126191280004</v>
      </c>
      <c r="AL136">
        <v>1</v>
      </c>
      <c r="AM136">
        <f t="shared" si="77"/>
        <v>13.112505066275999</v>
      </c>
      <c r="AN136">
        <f t="shared" si="91"/>
        <v>681.37129482101204</v>
      </c>
      <c r="AO136">
        <f t="shared" si="92"/>
        <v>-1320.7719362275561</v>
      </c>
      <c r="AQ136">
        <f t="shared" si="78"/>
        <v>0.96107640557424312</v>
      </c>
      <c r="AR136">
        <f t="shared" si="79"/>
        <v>-98.029793368572797</v>
      </c>
      <c r="AT136">
        <f t="shared" si="104"/>
        <v>-184252.77181349116</v>
      </c>
      <c r="AU136">
        <f t="shared" si="105"/>
        <v>-484545.14328755188</v>
      </c>
      <c r="AV136">
        <f t="shared" si="93"/>
        <v>-1.9341698534228176</v>
      </c>
      <c r="AW136">
        <f t="shared" si="94"/>
        <v>-122973.32678069289</v>
      </c>
      <c r="AX136">
        <f t="shared" si="95"/>
        <v>-73646.887409232673</v>
      </c>
      <c r="AY136">
        <f t="shared" si="103"/>
        <v>-2.6019933700669622</v>
      </c>
      <c r="BA136">
        <f t="shared" si="80"/>
        <v>3.6165437162156491</v>
      </c>
      <c r="BB136">
        <f t="shared" si="96"/>
        <v>11.165874382974755</v>
      </c>
      <c r="BC136">
        <f t="shared" si="97"/>
        <v>0.66782351664414463</v>
      </c>
      <c r="BD136">
        <f t="shared" si="81"/>
        <v>-141.73653099298343</v>
      </c>
      <c r="BF136">
        <f t="shared" si="82"/>
        <v>-7.2811529590232347</v>
      </c>
      <c r="BG136">
        <f t="shared" si="83"/>
        <v>-116.95472998270233</v>
      </c>
      <c r="BH136">
        <f t="shared" si="98"/>
        <v>63.045270017297668</v>
      </c>
      <c r="BI136">
        <f t="shared" si="99"/>
        <v>63.045270017297668</v>
      </c>
      <c r="BJ136">
        <f t="shared" si="84"/>
        <v>0</v>
      </c>
      <c r="BK136">
        <f t="shared" si="100"/>
        <v>0</v>
      </c>
      <c r="BM136">
        <f t="shared" si="101"/>
        <v>-18.447027341997988</v>
      </c>
      <c r="BN136">
        <f t="shared" si="85"/>
        <v>-155.2181989897189</v>
      </c>
      <c r="BQ136" s="56">
        <f t="shared" si="102"/>
        <v>28.067835183259891</v>
      </c>
      <c r="BR136" s="59"/>
      <c r="BS136" s="59"/>
      <c r="BT136" s="59">
        <v>1819.701</v>
      </c>
      <c r="BU136" s="59">
        <v>10.045199999999999</v>
      </c>
      <c r="BV136" s="59">
        <v>-255.833</v>
      </c>
      <c r="BW136" s="61"/>
      <c r="BY136" s="59"/>
      <c r="BZ136" s="59"/>
      <c r="CA136" s="59"/>
      <c r="CC136" s="59"/>
    </row>
    <row r="137" spans="1:81" x14ac:dyDescent="0.25">
      <c r="A137">
        <f t="shared" si="106"/>
        <v>51500</v>
      </c>
      <c r="B137">
        <f t="shared" si="86"/>
        <v>51.5</v>
      </c>
      <c r="C137">
        <f t="shared" ref="C137:C200" si="107">SQRT((A137/Fesr)^2+1)</f>
        <v>1.0874009550672161</v>
      </c>
      <c r="D137">
        <f t="shared" ref="D137:D200" si="108">ATAN(A137/Fesr)</f>
        <v>0.40367418456153753</v>
      </c>
      <c r="F137">
        <f t="shared" ref="F137:F200" si="109">(Ro/(Ro+Rdcr))/SQRT((A137/(Q*Fo))^2+(1-(A137^2/Fo^2))^2)</f>
        <v>7.1992023810264153E-3</v>
      </c>
      <c r="G137">
        <f t="shared" ref="G137:G200" si="110">-ATAN(A137*Fo/(Q*(Fo^2-A137^2)))</f>
        <v>3.2043602081714431E-2</v>
      </c>
      <c r="H137">
        <f t="shared" ref="H137:H200" si="111">IF(G137&gt;0,G137-Pi,G137)</f>
        <v>-3.1095490479182857</v>
      </c>
      <c r="J137">
        <f t="shared" ref="J137:J200" si="112">Vin/Vramp</f>
        <v>15</v>
      </c>
      <c r="M137">
        <f t="shared" ref="M137:M200" si="113">1/(2*Pi*_Rfb1*(Cc1ea_u+Cc2ea_u)*A137)</f>
        <v>3.5399624834296727E-2</v>
      </c>
      <c r="N137">
        <f t="shared" ref="N137:N200" si="114">-Pi/2</f>
        <v>-1.5707963250000001</v>
      </c>
      <c r="O137">
        <f t="shared" ref="O137:O200" si="115">SQRT(1+(A137/Fz1_u)^2)</f>
        <v>8.575239013445719</v>
      </c>
      <c r="P137">
        <f t="shared" ref="P137:P200" si="116">ATAN2(Fz1_u,A137)</f>
        <v>1.4539155629278655</v>
      </c>
      <c r="Q137">
        <f t="shared" ref="Q137:Q200" si="117">SQRT(1+(A137/Fz2_u)^2)</f>
        <v>13.278766675973005</v>
      </c>
      <c r="R137">
        <f t="shared" ref="R137:R200" si="118">ATAN2(Fz2_u,A137)</f>
        <v>1.4954167628870283</v>
      </c>
      <c r="S137">
        <f t="shared" ref="S137:S200" si="119">1/SQRT(1+(A137/Fp1_u)^2)</f>
        <v>0.91962398537546475</v>
      </c>
      <c r="T137">
        <f t="shared" ref="T137:T200" si="120">-ATAN2(Fp1_u,A137)</f>
        <v>-0.40367418456153742</v>
      </c>
      <c r="U137">
        <f t="shared" ref="U137:U200" si="121">1/SQRT(1+(A137/Fp2_u)^2)</f>
        <v>0.96701591982291801</v>
      </c>
      <c r="V137">
        <f t="shared" ref="V137:V200" si="122">-ATAN2(Fp2_u,A137)</f>
        <v>-0.25755394425518385</v>
      </c>
      <c r="X137">
        <f t="shared" si="87"/>
        <v>-7.5157620319611933</v>
      </c>
      <c r="Y137">
        <f t="shared" ref="Y137:Y200" si="123">(180/Pi)*(D137+H137+N137+P137+R137+T137+V137)</f>
        <v>-113.93649601406585</v>
      </c>
      <c r="Z137">
        <f t="shared" si="88"/>
        <v>66.063503985934148</v>
      </c>
      <c r="AC137">
        <v>1</v>
      </c>
      <c r="AD137">
        <f t="shared" ref="AD137:AD200" si="124">Rcea1_u*Cc1ea_u*A137*2*Pi</f>
        <v>8.5167320104440005</v>
      </c>
      <c r="AE137">
        <f t="shared" ref="AE137:AE200" si="125">-Rcea1_u*Cc1ea_u*Cc2ea_u*(A137*2*Pi)^2</f>
        <v>-4.1338178649917269E-4</v>
      </c>
      <c r="AF137">
        <f t="shared" ref="AF137:AF200" si="126">(Cc2ea_u+Cc1ea_u)*A137*2*Pi</f>
        <v>1.5693826083075001E-3</v>
      </c>
      <c r="AG137">
        <f t="shared" si="89"/>
        <v>4917.7620746978009</v>
      </c>
      <c r="AH137">
        <f t="shared" si="90"/>
        <v>-1932.5518557181535</v>
      </c>
      <c r="AJ137">
        <f t="shared" ref="AJ137:AJ200" si="127">_Rfb1</f>
        <v>18000</v>
      </c>
      <c r="AK137">
        <f t="shared" ref="AK137:AK200" si="128">_Rfb1*Rcea2_u*Cc3ea_u*A137*2*Pi</f>
        <v>7688.356860492001</v>
      </c>
      <c r="AL137">
        <v>1</v>
      </c>
      <c r="AM137">
        <f t="shared" ref="AM137:AM200" si="129">(_Rfb1+Rcea2_u)*Cc3ea_u*A137*2*Pi</f>
        <v>13.241059037513999</v>
      </c>
      <c r="AN137">
        <f t="shared" si="91"/>
        <v>679.43598037130937</v>
      </c>
      <c r="AO137">
        <f t="shared" si="92"/>
        <v>-1308.0950678157096</v>
      </c>
      <c r="AQ137">
        <f t="shared" ref="AQ137:AQ200" si="130">Eadcg/(1+(Eadcg*A137/GBP)^2)</f>
        <v>0.94250706880301605</v>
      </c>
      <c r="AR137">
        <f t="shared" ref="AR137:AR200" si="131">-(A137*Eadcg*Eadcg/GBP)/(1+(Eadcg*A137/GBP)^2)</f>
        <v>-97.078228086710652</v>
      </c>
      <c r="AT137">
        <f t="shared" si="104"/>
        <v>-182973.68432070877</v>
      </c>
      <c r="AU137">
        <f t="shared" si="105"/>
        <v>-479229.07214853127</v>
      </c>
      <c r="AV137">
        <f t="shared" si="93"/>
        <v>-1.9355226020830025</v>
      </c>
      <c r="AW137">
        <f t="shared" si="94"/>
        <v>-120507.10684241902</v>
      </c>
      <c r="AX137">
        <f t="shared" si="95"/>
        <v>-72745.002260464797</v>
      </c>
      <c r="AY137">
        <f t="shared" si="103"/>
        <v>-2.5984882549587445</v>
      </c>
      <c r="BA137">
        <f t="shared" ref="BA137:BA200" si="132">SQRT(AT137^2+AU137^2)/SQRT(AW137^2+AX137^2)</f>
        <v>3.6442609126627512</v>
      </c>
      <c r="BB137">
        <f t="shared" si="96"/>
        <v>11.232189258847134</v>
      </c>
      <c r="BC137">
        <f t="shared" si="97"/>
        <v>0.66296565287574194</v>
      </c>
      <c r="BD137">
        <f t="shared" ref="BD137:BD200" si="133">BC137*180/Pi-180</f>
        <v>-142.01486608468048</v>
      </c>
      <c r="BF137">
        <f t="shared" ref="BF137:BF200" si="134">20*LOG(BA137*J137*F137*C137)</f>
        <v>-7.3725037089994085</v>
      </c>
      <c r="BG137">
        <f t="shared" ref="BG137:BG200" si="135">(180/Pi)*(D137+H137+BC137)</f>
        <v>-117.05007582271399</v>
      </c>
      <c r="BH137">
        <f t="shared" si="98"/>
        <v>62.949924177286007</v>
      </c>
      <c r="BI137">
        <f t="shared" si="99"/>
        <v>62.949924177286007</v>
      </c>
      <c r="BJ137">
        <f t="shared" ref="BJ137:BJ200" si="136">SUM((BF138&lt;0)*(BF137&gt;0))*A137</f>
        <v>0</v>
      </c>
      <c r="BK137">
        <f t="shared" si="100"/>
        <v>0</v>
      </c>
      <c r="BM137">
        <f t="shared" si="101"/>
        <v>-18.604692967846542</v>
      </c>
      <c r="BN137">
        <f t="shared" ref="BN137:BN200" si="137">(H137+D137)*180/Pi</f>
        <v>-155.03520973803356</v>
      </c>
      <c r="BQ137" s="56">
        <f t="shared" si="102"/>
        <v>28.134150059132267</v>
      </c>
      <c r="BR137" s="59"/>
      <c r="BS137" s="59"/>
      <c r="BT137" s="59">
        <v>1862.087</v>
      </c>
      <c r="BU137" s="59">
        <v>9.8767200000000006</v>
      </c>
      <c r="BV137" s="59">
        <v>-255.47</v>
      </c>
      <c r="BW137" s="61"/>
      <c r="BY137" s="59"/>
      <c r="BZ137" s="59"/>
      <c r="CA137" s="59"/>
      <c r="CC137" s="59"/>
    </row>
    <row r="138" spans="1:81" x14ac:dyDescent="0.25">
      <c r="A138">
        <f t="shared" si="106"/>
        <v>52000</v>
      </c>
      <c r="B138">
        <f t="shared" ref="B138:B201" si="138">A138/1000</f>
        <v>52</v>
      </c>
      <c r="C138">
        <f t="shared" si="107"/>
        <v>1.0890365349269093</v>
      </c>
      <c r="D138">
        <f t="shared" si="108"/>
        <v>0.40717599417956951</v>
      </c>
      <c r="F138">
        <f t="shared" si="109"/>
        <v>7.0605131064388968E-3</v>
      </c>
      <c r="G138">
        <f t="shared" si="110"/>
        <v>3.1731301380663178E-2</v>
      </c>
      <c r="H138">
        <f t="shared" si="111"/>
        <v>-3.1098613486193369</v>
      </c>
      <c r="J138">
        <f t="shared" si="112"/>
        <v>15</v>
      </c>
      <c r="M138">
        <f t="shared" si="113"/>
        <v>3.5059243826274643E-2</v>
      </c>
      <c r="N138">
        <f t="shared" si="114"/>
        <v>-1.5707963250000001</v>
      </c>
      <c r="O138">
        <f t="shared" si="115"/>
        <v>8.6573669482434674</v>
      </c>
      <c r="P138">
        <f t="shared" si="116"/>
        <v>1.4550293541411301</v>
      </c>
      <c r="Q138">
        <f t="shared" si="117"/>
        <v>13.406959088614789</v>
      </c>
      <c r="R138">
        <f t="shared" si="118"/>
        <v>1.4961388631629782</v>
      </c>
      <c r="S138">
        <f t="shared" si="119"/>
        <v>0.91824283936178042</v>
      </c>
      <c r="T138">
        <f t="shared" si="120"/>
        <v>-0.4071759941795694</v>
      </c>
      <c r="U138">
        <f t="shared" si="121"/>
        <v>0.96640441529482202</v>
      </c>
      <c r="V138">
        <f t="shared" si="122"/>
        <v>-0.25994383595180387</v>
      </c>
      <c r="X138">
        <f t="shared" ref="X138:X201" si="139">20*LOG(C138*J138*O138*Q138*F138*M138*S138*U138)</f>
        <v>-7.607898344480172</v>
      </c>
      <c r="Y138">
        <f t="shared" si="123"/>
        <v>-113.9861313999655</v>
      </c>
      <c r="Z138">
        <f t="shared" ref="Z138:Z201" si="140">Y138+180</f>
        <v>66.013868600034499</v>
      </c>
      <c r="AC138">
        <v>1</v>
      </c>
      <c r="AD138">
        <f t="shared" si="124"/>
        <v>8.5994187289919992</v>
      </c>
      <c r="AE138">
        <f t="shared" si="125"/>
        <v>-4.2144758250306833E-4</v>
      </c>
      <c r="AF138">
        <f t="shared" si="126"/>
        <v>1.58461933266E-3</v>
      </c>
      <c r="AG138">
        <f t="shared" ref="AG138:AG201" si="141">AC138*AE138/(AE138^2+AF138^2)+AD138*AF138/(AE138^2+AF138^2)</f>
        <v>4911.5444253616624</v>
      </c>
      <c r="AH138">
        <f t="shared" ref="AH138:AH201" si="142">AD138*AE138/(AE138^2+AF138^2)-AC138*AF138/(AE138^2+AF138^2)</f>
        <v>-1937.3476399986548</v>
      </c>
      <c r="AJ138">
        <f t="shared" si="127"/>
        <v>18000</v>
      </c>
      <c r="AK138">
        <f t="shared" si="128"/>
        <v>7763.0011018560008</v>
      </c>
      <c r="AL138">
        <v>1</v>
      </c>
      <c r="AM138">
        <f t="shared" si="129"/>
        <v>13.369613008751998</v>
      </c>
      <c r="AN138">
        <f t="shared" ref="AN138:AN201" si="143">AJ138*AL138/(AL138^2+AM138^2)+AK138*AM138/(AL138^2+AM138^2)</f>
        <v>677.55580933625765</v>
      </c>
      <c r="AO138">
        <f t="shared" ref="AO138:AO201" si="144">AK138*AL138/(AL138^2+AM138^2)-AJ138*AM138/(AL138^2+AM138^2)</f>
        <v>-1295.6578608015168</v>
      </c>
      <c r="AQ138">
        <f t="shared" si="130"/>
        <v>0.92447074050106315</v>
      </c>
      <c r="AR138">
        <f t="shared" si="131"/>
        <v>-96.144957012110567</v>
      </c>
      <c r="AT138">
        <f t="shared" si="104"/>
        <v>-181725.62645326657</v>
      </c>
      <c r="AU138">
        <f t="shared" si="105"/>
        <v>-474011.24884682585</v>
      </c>
      <c r="AV138">
        <f t="shared" ref="AV138:AV201" si="145">ATAN2(AT138,AU138)</f>
        <v>-1.9368920471007642</v>
      </c>
      <c r="AW138">
        <f t="shared" ref="AW138:AW201" si="146">AG138-AH138*AO138/_Rfb2+AG138*AN138/_Rfb2+AN138-AO138*AR138+AQ138*AN138</f>
        <v>-118111.31254831848</v>
      </c>
      <c r="AX138">
        <f t="shared" ref="AX138:AX201" si="147">AH138+AH138*AN138/_Rfb2+AG138*AO138/_Rfb2+AO138+AO138*AQ138+AN138*AR138</f>
        <v>-71866.618545709774</v>
      </c>
      <c r="AY138">
        <f t="shared" si="103"/>
        <v>-2.5949720106004941</v>
      </c>
      <c r="BA138">
        <f t="shared" si="132"/>
        <v>3.6717927373555379</v>
      </c>
      <c r="BB138">
        <f t="shared" ref="BB138:BB201" si="148">20*LOG(BA138)</f>
        <v>11.297563169738556</v>
      </c>
      <c r="BC138">
        <f t="shared" ref="BC138:BC201" si="149">AV138-AY138</f>
        <v>0.65807996349972986</v>
      </c>
      <c r="BD138">
        <f t="shared" si="133"/>
        <v>-142.29479546625774</v>
      </c>
      <c r="BF138">
        <f t="shared" si="134"/>
        <v>-7.4630373845953422</v>
      </c>
      <c r="BG138">
        <f t="shared" si="135"/>
        <v>-117.14725980442012</v>
      </c>
      <c r="BH138">
        <f t="shared" ref="BH138:BH201" si="150">IF(BG138&gt;180,BG138-180,BG138+180)</f>
        <v>62.852740195579884</v>
      </c>
      <c r="BI138">
        <f t="shared" ref="BI138:BI201" si="151">IF(BH138&gt;180,BH138-360,BH138)</f>
        <v>62.852740195579884</v>
      </c>
      <c r="BJ138">
        <f t="shared" si="136"/>
        <v>0</v>
      </c>
      <c r="BK138">
        <f t="shared" ref="BK138:BK201" si="152">IF(BJ138&gt;0,BI138,0)</f>
        <v>0</v>
      </c>
      <c r="BM138">
        <f t="shared" ref="BM138:BM201" si="153">20*LOG(J138*F138*C138)</f>
        <v>-18.760600554333898</v>
      </c>
      <c r="BN138">
        <f t="shared" si="137"/>
        <v>-154.85246433816241</v>
      </c>
      <c r="BQ138" s="56">
        <f t="shared" ref="BQ138:BQ201" si="154">20*LOG(BA138*7)</f>
        <v>28.199523970023694</v>
      </c>
      <c r="BR138" s="59"/>
      <c r="BS138" s="59"/>
      <c r="BT138" s="59">
        <v>1905.461</v>
      </c>
      <c r="BU138" s="59">
        <v>9.7134199999999993</v>
      </c>
      <c r="BV138" s="59">
        <v>-255.059</v>
      </c>
      <c r="BW138" s="61"/>
      <c r="BY138" s="59"/>
      <c r="BZ138" s="59"/>
      <c r="CA138" s="59"/>
      <c r="CC138" s="59"/>
    </row>
    <row r="139" spans="1:81" x14ac:dyDescent="0.25">
      <c r="A139">
        <f t="shared" si="106"/>
        <v>52500</v>
      </c>
      <c r="B139">
        <f t="shared" si="138"/>
        <v>52.5</v>
      </c>
      <c r="C139">
        <f t="shared" si="107"/>
        <v>1.0906854291350294</v>
      </c>
      <c r="D139">
        <f t="shared" si="108"/>
        <v>0.41066725845668539</v>
      </c>
      <c r="F139">
        <f t="shared" si="109"/>
        <v>6.9258016468455117E-3</v>
      </c>
      <c r="G139">
        <f t="shared" si="110"/>
        <v>3.1425068244948673E-2</v>
      </c>
      <c r="H139">
        <f t="shared" si="111"/>
        <v>-3.1101675817550514</v>
      </c>
      <c r="J139">
        <f t="shared" si="112"/>
        <v>15</v>
      </c>
      <c r="M139">
        <f t="shared" si="113"/>
        <v>3.4725346266024408E-2</v>
      </c>
      <c r="N139">
        <f t="shared" si="114"/>
        <v>-1.5707963250000001</v>
      </c>
      <c r="O139">
        <f t="shared" si="115"/>
        <v>8.7395054209150622</v>
      </c>
      <c r="P139">
        <f t="shared" si="116"/>
        <v>1.456122210696654</v>
      </c>
      <c r="Q139">
        <f t="shared" si="117"/>
        <v>13.53515835960896</v>
      </c>
      <c r="R139">
        <f t="shared" si="118"/>
        <v>1.4968472849482999</v>
      </c>
      <c r="S139">
        <f t="shared" si="119"/>
        <v>0.91685464322472177</v>
      </c>
      <c r="T139">
        <f t="shared" si="120"/>
        <v>-0.41066725845668534</v>
      </c>
      <c r="U139">
        <f t="shared" si="121"/>
        <v>0.96578817795622618</v>
      </c>
      <c r="V139">
        <f t="shared" si="122"/>
        <v>-0.26233069339055043</v>
      </c>
      <c r="X139">
        <f t="shared" si="139"/>
        <v>-7.6992004844468536</v>
      </c>
      <c r="Y139">
        <f t="shared" si="123"/>
        <v>-114.03722847712818</v>
      </c>
      <c r="Z139">
        <f t="shared" si="140"/>
        <v>65.962771522871819</v>
      </c>
      <c r="AC139">
        <v>1</v>
      </c>
      <c r="AD139">
        <f t="shared" si="124"/>
        <v>8.6821054475399997</v>
      </c>
      <c r="AE139">
        <f t="shared" si="125"/>
        <v>-4.295913089031369E-4</v>
      </c>
      <c r="AF139">
        <f t="shared" si="126"/>
        <v>1.5998560570125E-3</v>
      </c>
      <c r="AG139">
        <f t="shared" si="141"/>
        <v>4905.2826326340992</v>
      </c>
      <c r="AH139">
        <f t="shared" si="142"/>
        <v>-1942.2164719590335</v>
      </c>
      <c r="AJ139">
        <f t="shared" si="127"/>
        <v>18000</v>
      </c>
      <c r="AK139">
        <f t="shared" si="128"/>
        <v>7837.6453432200015</v>
      </c>
      <c r="AL139">
        <v>1</v>
      </c>
      <c r="AM139">
        <f t="shared" si="129"/>
        <v>13.49816697999</v>
      </c>
      <c r="AN139">
        <f t="shared" si="143"/>
        <v>675.72871027000008</v>
      </c>
      <c r="AO139">
        <f t="shared" si="144"/>
        <v>-1283.4536211777427</v>
      </c>
      <c r="AQ139">
        <f t="shared" si="130"/>
        <v>0.90694721567204784</v>
      </c>
      <c r="AR139">
        <f t="shared" si="131"/>
        <v>-95.229457645565034</v>
      </c>
      <c r="AT139">
        <f t="shared" si="104"/>
        <v>-180507.38882918956</v>
      </c>
      <c r="AU139">
        <f t="shared" si="105"/>
        <v>-468888.89252543036</v>
      </c>
      <c r="AV139">
        <f t="shared" si="145"/>
        <v>-1.9382776146900766</v>
      </c>
      <c r="AW139">
        <f t="shared" si="146"/>
        <v>-115783.30350150318</v>
      </c>
      <c r="AX139">
        <f t="shared" si="147"/>
        <v>-71010.840807419285</v>
      </c>
      <c r="AY139">
        <f t="shared" ref="AY139:AY202" si="155">ATAN2(AW139,AX139)</f>
        <v>-2.5914451908933893</v>
      </c>
      <c r="BA139">
        <f t="shared" si="132"/>
        <v>3.6991377947974007</v>
      </c>
      <c r="BB139">
        <f t="shared" si="148"/>
        <v>11.362010186218836</v>
      </c>
      <c r="BC139">
        <f t="shared" si="149"/>
        <v>0.65316757620331267</v>
      </c>
      <c r="BD139">
        <f t="shared" si="133"/>
        <v>-142.57625452599774</v>
      </c>
      <c r="BF139">
        <f t="shared" si="134"/>
        <v>-7.5527734209384239</v>
      </c>
      <c r="BG139">
        <f t="shared" si="135"/>
        <v>-117.24623002193155</v>
      </c>
      <c r="BH139">
        <f t="shared" si="150"/>
        <v>62.753769978068448</v>
      </c>
      <c r="BI139">
        <f t="shared" si="151"/>
        <v>62.753769978068448</v>
      </c>
      <c r="BJ139">
        <f t="shared" si="136"/>
        <v>0</v>
      </c>
      <c r="BK139">
        <f t="shared" si="152"/>
        <v>0</v>
      </c>
      <c r="BM139">
        <f t="shared" si="153"/>
        <v>-18.914783607157261</v>
      </c>
      <c r="BN139">
        <f t="shared" si="137"/>
        <v>-154.66997549593384</v>
      </c>
      <c r="BQ139" s="56">
        <f t="shared" si="154"/>
        <v>28.263970986503971</v>
      </c>
      <c r="BR139" s="59"/>
      <c r="BS139" s="59"/>
      <c r="BT139" s="59">
        <v>1949.845</v>
      </c>
      <c r="BU139" s="59">
        <v>9.5268499999999996</v>
      </c>
      <c r="BV139" s="59">
        <v>-254.971</v>
      </c>
      <c r="BW139" s="61"/>
      <c r="BY139" s="59"/>
      <c r="BZ139" s="59"/>
      <c r="CA139" s="59"/>
      <c r="CC139" s="59"/>
    </row>
    <row r="140" spans="1:81" x14ac:dyDescent="0.25">
      <c r="A140">
        <f t="shared" si="106"/>
        <v>53000</v>
      </c>
      <c r="B140">
        <f t="shared" si="138"/>
        <v>53</v>
      </c>
      <c r="C140">
        <f t="shared" si="107"/>
        <v>1.0923475773977145</v>
      </c>
      <c r="D140">
        <f t="shared" si="108"/>
        <v>0.41414794023122498</v>
      </c>
      <c r="F140">
        <f t="shared" si="109"/>
        <v>6.7949170139150472E-3</v>
      </c>
      <c r="G140">
        <f t="shared" si="110"/>
        <v>3.1124726478603124E-2</v>
      </c>
      <c r="H140">
        <f t="shared" si="111"/>
        <v>-3.110467923521397</v>
      </c>
      <c r="J140">
        <f t="shared" si="112"/>
        <v>15</v>
      </c>
      <c r="M140">
        <f t="shared" si="113"/>
        <v>3.4397748659741163E-2</v>
      </c>
      <c r="N140">
        <f t="shared" si="114"/>
        <v>-1.5707963250000001</v>
      </c>
      <c r="O140">
        <f t="shared" si="115"/>
        <v>8.821654137105897</v>
      </c>
      <c r="P140">
        <f t="shared" si="116"/>
        <v>1.457194714787885</v>
      </c>
      <c r="Q140">
        <f t="shared" si="117"/>
        <v>13.663364295905899</v>
      </c>
      <c r="R140">
        <f t="shared" si="118"/>
        <v>1.4975424125653392</v>
      </c>
      <c r="S140">
        <f t="shared" si="119"/>
        <v>0.91545953018203885</v>
      </c>
      <c r="T140">
        <f t="shared" si="120"/>
        <v>-0.41414794023122492</v>
      </c>
      <c r="U140">
        <f t="shared" si="121"/>
        <v>0.96516723789921244</v>
      </c>
      <c r="V140">
        <f t="shared" si="122"/>
        <v>-0.2647144952020461</v>
      </c>
      <c r="X140">
        <f t="shared" si="139"/>
        <v>-7.7896863784783807</v>
      </c>
      <c r="Y140">
        <f t="shared" si="123"/>
        <v>-114.08974073918822</v>
      </c>
      <c r="Z140">
        <f t="shared" si="140"/>
        <v>65.910259260811785</v>
      </c>
      <c r="AC140">
        <v>1</v>
      </c>
      <c r="AD140">
        <f t="shared" si="124"/>
        <v>8.7647921660880002</v>
      </c>
      <c r="AE140">
        <f t="shared" si="125"/>
        <v>-4.3781296569937836E-4</v>
      </c>
      <c r="AF140">
        <f t="shared" si="126"/>
        <v>1.6150927813650001E-3</v>
      </c>
      <c r="AG140">
        <f t="shared" si="141"/>
        <v>4898.9770940244289</v>
      </c>
      <c r="AH140">
        <f t="shared" si="142"/>
        <v>-1947.1548177995637</v>
      </c>
      <c r="AJ140">
        <f t="shared" si="127"/>
        <v>18000</v>
      </c>
      <c r="AK140">
        <f t="shared" si="128"/>
        <v>7912.2895845840003</v>
      </c>
      <c r="AL140">
        <v>1</v>
      </c>
      <c r="AM140">
        <f t="shared" si="129"/>
        <v>13.626720951228</v>
      </c>
      <c r="AN140">
        <f t="shared" si="143"/>
        <v>673.9527079138486</v>
      </c>
      <c r="AO140">
        <f t="shared" si="144"/>
        <v>-1271.4759004824841</v>
      </c>
      <c r="AQ140">
        <f t="shared" si="130"/>
        <v>0.88991723769689424</v>
      </c>
      <c r="AR140">
        <f t="shared" si="131"/>
        <v>-94.331227195870781</v>
      </c>
      <c r="AT140">
        <f t="shared" si="104"/>
        <v>-179317.81934033046</v>
      </c>
      <c r="AU140">
        <f t="shared" si="105"/>
        <v>-463859.32792060962</v>
      </c>
      <c r="AV140">
        <f t="shared" si="145"/>
        <v>-1.9396787515979532</v>
      </c>
      <c r="AW140">
        <f t="shared" si="146"/>
        <v>-113520.5616813915</v>
      </c>
      <c r="AX140">
        <f t="shared" si="147"/>
        <v>-70176.817602353432</v>
      </c>
      <c r="AY140">
        <f t="shared" si="155"/>
        <v>-2.5879083334646831</v>
      </c>
      <c r="BA140">
        <f t="shared" si="132"/>
        <v>3.7262947227255951</v>
      </c>
      <c r="BB140">
        <f t="shared" si="148"/>
        <v>11.425544028872171</v>
      </c>
      <c r="BC140">
        <f t="shared" si="149"/>
        <v>0.64822958186672985</v>
      </c>
      <c r="BD140">
        <f t="shared" si="133"/>
        <v>-142.85918076106674</v>
      </c>
      <c r="BF140">
        <f t="shared" si="134"/>
        <v>-7.6417306516473928</v>
      </c>
      <c r="BG140">
        <f t="shared" si="135"/>
        <v>-117.34693619690623</v>
      </c>
      <c r="BH140">
        <f t="shared" si="150"/>
        <v>62.653063803093772</v>
      </c>
      <c r="BI140">
        <f t="shared" si="151"/>
        <v>62.653063803093772</v>
      </c>
      <c r="BJ140">
        <f t="shared" si="136"/>
        <v>0</v>
      </c>
      <c r="BK140">
        <f t="shared" si="152"/>
        <v>0</v>
      </c>
      <c r="BM140">
        <f t="shared" si="153"/>
        <v>-19.06727468051956</v>
      </c>
      <c r="BN140">
        <f t="shared" si="137"/>
        <v>-154.48775543583949</v>
      </c>
      <c r="BQ140" s="56">
        <f t="shared" si="154"/>
        <v>28.327504829157309</v>
      </c>
      <c r="BR140" s="59"/>
      <c r="BS140" s="59"/>
      <c r="BT140" s="59">
        <v>1995.2619999999999</v>
      </c>
      <c r="BU140" s="59">
        <v>9.3349399999999996</v>
      </c>
      <c r="BV140" s="59">
        <v>-254.804</v>
      </c>
      <c r="BW140" s="61"/>
      <c r="BY140" s="59"/>
      <c r="BZ140" s="59"/>
      <c r="CA140" s="59"/>
      <c r="CC140" s="59"/>
    </row>
    <row r="141" spans="1:81" x14ac:dyDescent="0.25">
      <c r="A141">
        <f t="shared" si="106"/>
        <v>53500</v>
      </c>
      <c r="B141">
        <f t="shared" si="138"/>
        <v>53.5</v>
      </c>
      <c r="C141">
        <f t="shared" si="107"/>
        <v>1.094022919304338</v>
      </c>
      <c r="D141">
        <f t="shared" si="108"/>
        <v>0.41761800359211104</v>
      </c>
      <c r="F141">
        <f t="shared" si="109"/>
        <v>6.6677153300617855E-3</v>
      </c>
      <c r="G141">
        <f t="shared" si="110"/>
        <v>3.0830106681017828E-2</v>
      </c>
      <c r="H141">
        <f t="shared" si="111"/>
        <v>-3.1107625433189825</v>
      </c>
      <c r="J141">
        <f t="shared" si="112"/>
        <v>15</v>
      </c>
      <c r="M141">
        <f t="shared" si="113"/>
        <v>3.4076274373201529E-2</v>
      </c>
      <c r="N141">
        <f t="shared" si="114"/>
        <v>-1.5707963250000001</v>
      </c>
      <c r="O141">
        <f t="shared" si="115"/>
        <v>8.9038128132884662</v>
      </c>
      <c r="P141">
        <f t="shared" si="116"/>
        <v>1.4582474273111727</v>
      </c>
      <c r="Q141">
        <f t="shared" si="117"/>
        <v>13.791576711624455</v>
      </c>
      <c r="R141">
        <f t="shared" si="118"/>
        <v>1.4982246160976533</v>
      </c>
      <c r="S141">
        <f t="shared" si="119"/>
        <v>0.91405763293869124</v>
      </c>
      <c r="T141">
        <f t="shared" si="120"/>
        <v>-0.41761800359211093</v>
      </c>
      <c r="U141">
        <f t="shared" si="121"/>
        <v>0.96454162533884735</v>
      </c>
      <c r="V141">
        <f t="shared" si="122"/>
        <v>-0.26709522021049842</v>
      </c>
      <c r="X141">
        <f t="shared" si="139"/>
        <v>-7.8793733896178955</v>
      </c>
      <c r="Y141">
        <f t="shared" si="123"/>
        <v>-114.14362333758254</v>
      </c>
      <c r="Z141">
        <f t="shared" si="140"/>
        <v>65.85637666241746</v>
      </c>
      <c r="AC141">
        <v>1</v>
      </c>
      <c r="AD141">
        <f t="shared" si="124"/>
        <v>8.8474788846360006</v>
      </c>
      <c r="AE141">
        <f t="shared" si="125"/>
        <v>-4.461125528917926E-4</v>
      </c>
      <c r="AF141">
        <f t="shared" si="126"/>
        <v>1.6303295057174998E-3</v>
      </c>
      <c r="AG141">
        <f t="shared" si="141"/>
        <v>4892.6282082043372</v>
      </c>
      <c r="AH141">
        <f t="shared" si="142"/>
        <v>-1952.1592715772877</v>
      </c>
      <c r="AJ141">
        <f t="shared" si="127"/>
        <v>18000</v>
      </c>
      <c r="AK141">
        <f t="shared" si="128"/>
        <v>7986.933825948001</v>
      </c>
      <c r="AL141">
        <v>1</v>
      </c>
      <c r="AM141">
        <f t="shared" si="129"/>
        <v>13.755274922465999</v>
      </c>
      <c r="AN141">
        <f t="shared" si="143"/>
        <v>672.22591789541252</v>
      </c>
      <c r="AO141">
        <f t="shared" si="144"/>
        <v>-1259.718484710455</v>
      </c>
      <c r="AQ141">
        <f t="shared" si="130"/>
        <v>0.8733624454148472</v>
      </c>
      <c r="AR141">
        <f t="shared" si="131"/>
        <v>-93.449781659388648</v>
      </c>
      <c r="AT141">
        <f t="shared" si="104"/>
        <v>-178155.81995682573</v>
      </c>
      <c r="AU141">
        <f t="shared" si="105"/>
        <v>-458919.98039252521</v>
      </c>
      <c r="AV141">
        <f t="shared" si="145"/>
        <v>-1.9410949241816289</v>
      </c>
      <c r="AW141">
        <f t="shared" si="146"/>
        <v>-111320.68471299516</v>
      </c>
      <c r="AX141">
        <f t="shared" si="147"/>
        <v>-69363.738886771273</v>
      </c>
      <c r="AY141">
        <f t="shared" si="155"/>
        <v>-2.5843619604183505</v>
      </c>
      <c r="BA141">
        <f t="shared" si="132"/>
        <v>3.7532621920670484</v>
      </c>
      <c r="BB141">
        <f t="shared" si="148"/>
        <v>11.488178080644065</v>
      </c>
      <c r="BC141">
        <f t="shared" si="149"/>
        <v>0.64326703623672166</v>
      </c>
      <c r="BD141">
        <f t="shared" si="133"/>
        <v>-143.14351368163219</v>
      </c>
      <c r="BF141">
        <f t="shared" si="134"/>
        <v>-7.7299273331606235</v>
      </c>
      <c r="BG141">
        <f t="shared" si="135"/>
        <v>-117.44932960300466</v>
      </c>
      <c r="BH141">
        <f t="shared" si="150"/>
        <v>62.550670396995343</v>
      </c>
      <c r="BI141">
        <f t="shared" si="151"/>
        <v>62.550670396995343</v>
      </c>
      <c r="BJ141">
        <f t="shared" si="136"/>
        <v>0</v>
      </c>
      <c r="BK141">
        <f t="shared" si="152"/>
        <v>0</v>
      </c>
      <c r="BM141">
        <f t="shared" si="153"/>
        <v>-19.218105413804686</v>
      </c>
      <c r="BN141">
        <f t="shared" si="137"/>
        <v>-154.3058159213725</v>
      </c>
      <c r="BQ141" s="56">
        <f t="shared" si="154"/>
        <v>28.3901388809292</v>
      </c>
      <c r="BR141" s="59"/>
      <c r="BS141" s="59"/>
      <c r="BT141" s="59">
        <v>2041.7380000000001</v>
      </c>
      <c r="BU141" s="59">
        <v>9.0884699999999992</v>
      </c>
      <c r="BV141" s="59">
        <v>-254.411</v>
      </c>
      <c r="BW141" s="61"/>
      <c r="BY141" s="59"/>
      <c r="BZ141" s="59"/>
      <c r="CA141" s="59"/>
      <c r="CC141" s="59"/>
    </row>
    <row r="142" spans="1:81" x14ac:dyDescent="0.25">
      <c r="A142">
        <f t="shared" si="106"/>
        <v>54000</v>
      </c>
      <c r="B142">
        <f t="shared" si="138"/>
        <v>54</v>
      </c>
      <c r="C142">
        <f t="shared" si="107"/>
        <v>1.0957113943356869</v>
      </c>
      <c r="D142">
        <f t="shared" si="108"/>
        <v>0.42107741386988978</v>
      </c>
      <c r="F142">
        <f t="shared" si="109"/>
        <v>6.5440594295730322E-3</v>
      </c>
      <c r="G142">
        <f t="shared" si="110"/>
        <v>3.0541045920754659E-2</v>
      </c>
      <c r="H142">
        <f t="shared" si="111"/>
        <v>-3.1110516040792455</v>
      </c>
      <c r="J142">
        <f t="shared" si="112"/>
        <v>15</v>
      </c>
      <c r="M142">
        <f t="shared" si="113"/>
        <v>3.37607533141904E-2</v>
      </c>
      <c r="N142">
        <f t="shared" si="114"/>
        <v>-1.5707963250000001</v>
      </c>
      <c r="O142">
        <f t="shared" si="115"/>
        <v>8.9859811762706627</v>
      </c>
      <c r="P142">
        <f t="shared" si="116"/>
        <v>1.459280888826606</v>
      </c>
      <c r="Q142">
        <f t="shared" si="117"/>
        <v>13.919795427722708</v>
      </c>
      <c r="R142">
        <f t="shared" si="118"/>
        <v>1.4988942520422308</v>
      </c>
      <c r="S142">
        <f t="shared" si="119"/>
        <v>0.91264908366339004</v>
      </c>
      <c r="T142">
        <f t="shared" si="120"/>
        <v>-0.42107741386988973</v>
      </c>
      <c r="U142">
        <f t="shared" si="121"/>
        <v>0.96391137060953336</v>
      </c>
      <c r="V142">
        <f t="shared" si="122"/>
        <v>-0.26947284743425176</v>
      </c>
      <c r="X142">
        <f t="shared" si="139"/>
        <v>-7.9682783406736499</v>
      </c>
      <c r="Y142">
        <f t="shared" si="123"/>
        <v>-114.19883300784998</v>
      </c>
      <c r="Z142">
        <f t="shared" si="140"/>
        <v>65.801166992150016</v>
      </c>
      <c r="AC142">
        <v>1</v>
      </c>
      <c r="AD142">
        <f t="shared" si="124"/>
        <v>8.9301656031839993</v>
      </c>
      <c r="AE142">
        <f t="shared" si="125"/>
        <v>-4.5449007048037983E-4</v>
      </c>
      <c r="AF142">
        <f t="shared" si="126"/>
        <v>1.6455662300699999E-3</v>
      </c>
      <c r="AG142">
        <f t="shared" si="141"/>
        <v>4886.2363749519736</v>
      </c>
      <c r="AH142">
        <f t="shared" si="142"/>
        <v>-1957.2265494891155</v>
      </c>
      <c r="AJ142">
        <f t="shared" si="127"/>
        <v>18000</v>
      </c>
      <c r="AK142">
        <f t="shared" si="128"/>
        <v>8061.5780673120007</v>
      </c>
      <c r="AL142">
        <v>1</v>
      </c>
      <c r="AM142">
        <f t="shared" si="129"/>
        <v>13.883828893703999</v>
      </c>
      <c r="AN142">
        <f t="shared" si="143"/>
        <v>670.54654176484405</v>
      </c>
      <c r="AO142">
        <f t="shared" si="144"/>
        <v>-1248.1753838160357</v>
      </c>
      <c r="AQ142">
        <f t="shared" si="130"/>
        <v>0.85726532361765961</v>
      </c>
      <c r="AR142">
        <f t="shared" si="131"/>
        <v>-92.584654950707247</v>
      </c>
      <c r="AT142">
        <f t="shared" si="104"/>
        <v>-177020.34373756751</v>
      </c>
      <c r="AU142">
        <f t="shared" si="105"/>
        <v>-454068.37123386399</v>
      </c>
      <c r="AV142">
        <f t="shared" si="145"/>
        <v>-1.9425256175353156</v>
      </c>
      <c r="AW142">
        <f t="shared" si="146"/>
        <v>-109181.37956327664</v>
      </c>
      <c r="AX142">
        <f t="shared" si="147"/>
        <v>-68570.833582054591</v>
      </c>
      <c r="AY142">
        <f t="shared" si="155"/>
        <v>-2.5808065790423775</v>
      </c>
      <c r="BA142">
        <f t="shared" si="132"/>
        <v>3.7800389069062286</v>
      </c>
      <c r="BB142">
        <f t="shared" si="148"/>
        <v>11.549925398690137</v>
      </c>
      <c r="BC142">
        <f t="shared" si="149"/>
        <v>0.63828096150706193</v>
      </c>
      <c r="BD142">
        <f t="shared" si="133"/>
        <v>-143.42919472030496</v>
      </c>
      <c r="BF142">
        <f t="shared" si="134"/>
        <v>-7.817381167790427</v>
      </c>
      <c r="BG142">
        <f t="shared" si="135"/>
        <v>-117.55336299453489</v>
      </c>
      <c r="BH142">
        <f t="shared" si="150"/>
        <v>62.446637005465107</v>
      </c>
      <c r="BI142">
        <f t="shared" si="151"/>
        <v>62.446637005465107</v>
      </c>
      <c r="BJ142">
        <f t="shared" si="136"/>
        <v>0</v>
      </c>
      <c r="BK142">
        <f t="shared" si="152"/>
        <v>0</v>
      </c>
      <c r="BM142">
        <f t="shared" si="153"/>
        <v>-19.367306566480565</v>
      </c>
      <c r="BN142">
        <f t="shared" si="137"/>
        <v>-154.12416827422993</v>
      </c>
      <c r="BQ142" s="56">
        <f t="shared" si="154"/>
        <v>28.451886198975274</v>
      </c>
      <c r="BR142" s="59"/>
      <c r="BS142" s="59"/>
      <c r="BT142" s="59">
        <v>2089.2959999999998</v>
      </c>
      <c r="BU142" s="59">
        <v>8.9698600000000006</v>
      </c>
      <c r="BV142" s="59">
        <v>-254.113</v>
      </c>
      <c r="BW142" s="61"/>
      <c r="BY142" s="59"/>
      <c r="BZ142" s="59"/>
      <c r="CA142" s="59"/>
      <c r="CC142" s="59"/>
    </row>
    <row r="143" spans="1:81" x14ac:dyDescent="0.25">
      <c r="A143">
        <f t="shared" si="106"/>
        <v>54500</v>
      </c>
      <c r="B143">
        <f t="shared" si="138"/>
        <v>54.5</v>
      </c>
      <c r="C143">
        <f t="shared" si="107"/>
        <v>1.0974129418720477</v>
      </c>
      <c r="D143">
        <f t="shared" si="108"/>
        <v>0.42452613762755231</v>
      </c>
      <c r="F143">
        <f t="shared" si="109"/>
        <v>6.4238184856466223E-3</v>
      </c>
      <c r="G143">
        <f t="shared" si="110"/>
        <v>3.0257387428058516E-2</v>
      </c>
      <c r="H143">
        <f t="shared" si="111"/>
        <v>-3.1113352625719415</v>
      </c>
      <c r="J143">
        <f t="shared" si="112"/>
        <v>15</v>
      </c>
      <c r="M143">
        <f t="shared" si="113"/>
        <v>3.3451021632408838E-2</v>
      </c>
      <c r="N143">
        <f t="shared" si="114"/>
        <v>-1.5707963250000001</v>
      </c>
      <c r="O143">
        <f t="shared" si="115"/>
        <v>9.068158962730525</v>
      </c>
      <c r="P143">
        <f t="shared" si="116"/>
        <v>1.4602956204675204</v>
      </c>
      <c r="Q143">
        <f t="shared" si="117"/>
        <v>14.048020271686688</v>
      </c>
      <c r="R143">
        <f t="shared" si="118"/>
        <v>1.4995516639262489</v>
      </c>
      <c r="S143">
        <f t="shared" si="119"/>
        <v>0.91123401396572412</v>
      </c>
      <c r="T143">
        <f t="shared" si="120"/>
        <v>-0.4245261376275522</v>
      </c>
      <c r="U143">
        <f t="shared" si="121"/>
        <v>0.96327650416136934</v>
      </c>
      <c r="V143">
        <f t="shared" si="122"/>
        <v>-0.27184735608631161</v>
      </c>
      <c r="X143">
        <f t="shared" si="139"/>
        <v>-8.0564175363544202</v>
      </c>
      <c r="Y143">
        <f t="shared" si="123"/>
        <v>-114.25532799983061</v>
      </c>
      <c r="Z143">
        <f t="shared" si="140"/>
        <v>65.744672000169388</v>
      </c>
      <c r="AC143">
        <v>1</v>
      </c>
      <c r="AD143">
        <f t="shared" si="124"/>
        <v>9.0128523217319998</v>
      </c>
      <c r="AE143">
        <f t="shared" si="125"/>
        <v>-4.6294551846513999E-4</v>
      </c>
      <c r="AF143">
        <f t="shared" si="126"/>
        <v>1.6608029544225001E-3</v>
      </c>
      <c r="AG143">
        <f t="shared" si="141"/>
        <v>4879.8019950962826</v>
      </c>
      <c r="AH143">
        <f t="shared" si="142"/>
        <v>-1962.3534844688015</v>
      </c>
      <c r="AJ143">
        <f t="shared" si="127"/>
        <v>18000</v>
      </c>
      <c r="AK143">
        <f t="shared" si="128"/>
        <v>8136.2223086760014</v>
      </c>
      <c r="AL143">
        <v>1</v>
      </c>
      <c r="AM143">
        <f t="shared" si="129"/>
        <v>14.012382864941998</v>
      </c>
      <c r="AN143">
        <f t="shared" si="143"/>
        <v>668.91286234395977</v>
      </c>
      <c r="AO143">
        <f t="shared" si="144"/>
        <v>-1236.8408217718063</v>
      </c>
      <c r="AQ143">
        <f t="shared" si="130"/>
        <v>0.84160915670762493</v>
      </c>
      <c r="AR143">
        <f t="shared" si="131"/>
        <v>-91.735398081131123</v>
      </c>
      <c r="AT143">
        <f t="shared" si="104"/>
        <v>-175910.39203164712</v>
      </c>
      <c r="AU143">
        <f t="shared" si="105"/>
        <v>-449302.1132384814</v>
      </c>
      <c r="AV143">
        <f t="shared" si="145"/>
        <v>-1.9439703346634745</v>
      </c>
      <c r="AW143">
        <f t="shared" si="146"/>
        <v>-107100.45663395019</v>
      </c>
      <c r="AX143">
        <f t="shared" si="147"/>
        <v>-67797.36730667323</v>
      </c>
      <c r="AY143">
        <f t="shared" si="155"/>
        <v>-2.5772426824754358</v>
      </c>
      <c r="BA143">
        <f t="shared" si="132"/>
        <v>3.8066236044635229</v>
      </c>
      <c r="BB143">
        <f t="shared" si="148"/>
        <v>11.610798725749127</v>
      </c>
      <c r="BC143">
        <f t="shared" si="149"/>
        <v>0.63327234781196129</v>
      </c>
      <c r="BD143">
        <f t="shared" si="133"/>
        <v>-143.71616714657355</v>
      </c>
      <c r="BF143">
        <f t="shared" si="134"/>
        <v>-7.904109325583228</v>
      </c>
      <c r="BG143">
        <f t="shared" si="135"/>
        <v>-117.65899053903026</v>
      </c>
      <c r="BH143">
        <f t="shared" si="150"/>
        <v>62.341009460969744</v>
      </c>
      <c r="BI143">
        <f t="shared" si="151"/>
        <v>62.341009460969744</v>
      </c>
      <c r="BJ143">
        <f t="shared" si="136"/>
        <v>0</v>
      </c>
      <c r="BK143">
        <f t="shared" si="152"/>
        <v>0</v>
      </c>
      <c r="BM143">
        <f t="shared" si="153"/>
        <v>-19.514908051332355</v>
      </c>
      <c r="BN143">
        <f t="shared" si="137"/>
        <v>-153.94282339245669</v>
      </c>
      <c r="BQ143" s="56">
        <f t="shared" si="154"/>
        <v>28.512759526034266</v>
      </c>
      <c r="BR143" s="59"/>
      <c r="BS143" s="59"/>
      <c r="BT143" s="59">
        <v>2137.962</v>
      </c>
      <c r="BU143" s="59">
        <v>8.68736</v>
      </c>
      <c r="BV143" s="59">
        <v>-254.34</v>
      </c>
      <c r="BW143" s="61"/>
      <c r="BY143" s="59"/>
      <c r="BZ143" s="59"/>
      <c r="CA143" s="59"/>
      <c r="CC143" s="59"/>
    </row>
    <row r="144" spans="1:81" x14ac:dyDescent="0.25">
      <c r="A144">
        <f t="shared" si="106"/>
        <v>55000</v>
      </c>
      <c r="B144">
        <f t="shared" si="138"/>
        <v>55</v>
      </c>
      <c r="C144">
        <f t="shared" si="107"/>
        <v>1.0991275012012063</v>
      </c>
      <c r="D144">
        <f t="shared" si="108"/>
        <v>0.42796414265114341</v>
      </c>
      <c r="F144">
        <f t="shared" si="109"/>
        <v>6.3068676614292133E-3</v>
      </c>
      <c r="G144">
        <f t="shared" si="110"/>
        <v>2.9978980304826149E-2</v>
      </c>
      <c r="H144">
        <f t="shared" si="111"/>
        <v>-3.1116136696951742</v>
      </c>
      <c r="J144">
        <f t="shared" si="112"/>
        <v>15</v>
      </c>
      <c r="M144">
        <f t="shared" si="113"/>
        <v>3.3146921435750577E-2</v>
      </c>
      <c r="N144">
        <f t="shared" si="114"/>
        <v>-1.5707963250000001</v>
      </c>
      <c r="O144">
        <f t="shared" si="115"/>
        <v>9.1503459187758374</v>
      </c>
      <c r="P144">
        <f t="shared" si="116"/>
        <v>1.4612921248018318</v>
      </c>
      <c r="Q144">
        <f t="shared" si="117"/>
        <v>14.176251077235914</v>
      </c>
      <c r="R144">
        <f t="shared" si="118"/>
        <v>1.5001971828905925</v>
      </c>
      <c r="S144">
        <f t="shared" si="119"/>
        <v>0.90981255487386814</v>
      </c>
      <c r="T144">
        <f t="shared" si="120"/>
        <v>-0.42796414265114335</v>
      </c>
      <c r="U144">
        <f t="shared" si="121"/>
        <v>0.96263705655651699</v>
      </c>
      <c r="V144">
        <f t="shared" si="122"/>
        <v>-0.27421872557484228</v>
      </c>
      <c r="X144">
        <f t="shared" si="139"/>
        <v>-8.1438067842752062</v>
      </c>
      <c r="Y144">
        <f t="shared" si="123"/>
        <v>-114.313068011528</v>
      </c>
      <c r="Z144">
        <f t="shared" si="140"/>
        <v>65.686931988471997</v>
      </c>
      <c r="AC144">
        <v>1</v>
      </c>
      <c r="AD144">
        <f t="shared" si="124"/>
        <v>9.0955390402800003</v>
      </c>
      <c r="AE144">
        <f t="shared" si="125"/>
        <v>-4.714788968460731E-4</v>
      </c>
      <c r="AF144">
        <f t="shared" si="126"/>
        <v>1.6760396787749998E-3</v>
      </c>
      <c r="AG144">
        <f t="shared" si="141"/>
        <v>4873.3254704615783</v>
      </c>
      <c r="AH144">
        <f t="shared" si="142"/>
        <v>-1967.5370210777633</v>
      </c>
      <c r="AJ144">
        <f t="shared" si="127"/>
        <v>18000</v>
      </c>
      <c r="AK144">
        <f t="shared" si="128"/>
        <v>8210.8665500400002</v>
      </c>
      <c r="AL144">
        <v>1</v>
      </c>
      <c r="AM144">
        <f t="shared" si="129"/>
        <v>14.140936836179998</v>
      </c>
      <c r="AN144">
        <f t="shared" si="143"/>
        <v>667.32323936594059</v>
      </c>
      <c r="AO144">
        <f t="shared" si="144"/>
        <v>-1225.7092271487913</v>
      </c>
      <c r="AQ144">
        <f t="shared" si="130"/>
        <v>0.82637798529047191</v>
      </c>
      <c r="AR144">
        <f t="shared" si="131"/>
        <v>-90.901578381951907</v>
      </c>
      <c r="AT144">
        <f t="shared" si="104"/>
        <v>-174825.01185694768</v>
      </c>
      <c r="AU144">
        <f t="shared" si="105"/>
        <v>-444618.9065133885</v>
      </c>
      <c r="AV144">
        <f t="shared" si="145"/>
        <v>-1.9454285956977437</v>
      </c>
      <c r="AW144">
        <f t="shared" si="146"/>
        <v>-105075.82422254456</v>
      </c>
      <c r="AX144">
        <f t="shared" si="147"/>
        <v>-67042.640261622801</v>
      </c>
      <c r="AY144">
        <f t="shared" si="155"/>
        <v>-2.5736707503354972</v>
      </c>
      <c r="BA144">
        <f t="shared" si="132"/>
        <v>3.8330150550826509</v>
      </c>
      <c r="BB144">
        <f t="shared" si="148"/>
        <v>11.670810501061368</v>
      </c>
      <c r="BC144">
        <f t="shared" si="149"/>
        <v>0.62824215463775346</v>
      </c>
      <c r="BD144">
        <f t="shared" si="133"/>
        <v>-144.00437598592052</v>
      </c>
      <c r="BF144">
        <f t="shared" si="134"/>
        <v>-7.9901284650595787</v>
      </c>
      <c r="BG144">
        <f t="shared" si="135"/>
        <v>-117.7661677535214</v>
      </c>
      <c r="BH144">
        <f t="shared" si="150"/>
        <v>62.233832246478599</v>
      </c>
      <c r="BI144">
        <f t="shared" si="151"/>
        <v>62.233832246478599</v>
      </c>
      <c r="BJ144">
        <f t="shared" si="136"/>
        <v>0</v>
      </c>
      <c r="BK144">
        <f t="shared" si="152"/>
        <v>0</v>
      </c>
      <c r="BM144">
        <f t="shared" si="153"/>
        <v>-19.660938966120945</v>
      </c>
      <c r="BN144">
        <f t="shared" si="137"/>
        <v>-153.7617917676009</v>
      </c>
      <c r="BQ144" s="56">
        <f t="shared" si="154"/>
        <v>28.572771301346506</v>
      </c>
      <c r="BR144" s="59"/>
      <c r="BS144" s="59"/>
      <c r="BT144" s="59">
        <v>2187.7620000000002</v>
      </c>
      <c r="BU144" s="59">
        <v>8.5308799999999998</v>
      </c>
      <c r="BV144" s="59">
        <v>-253.785</v>
      </c>
      <c r="BW144" s="61"/>
      <c r="BY144" s="59"/>
      <c r="BZ144" s="59"/>
      <c r="CA144" s="59"/>
      <c r="CC144" s="59"/>
    </row>
    <row r="145" spans="1:81" x14ac:dyDescent="0.25">
      <c r="A145">
        <f t="shared" si="106"/>
        <v>55500</v>
      </c>
      <c r="B145">
        <f t="shared" si="138"/>
        <v>55.5</v>
      </c>
      <c r="C145">
        <f t="shared" si="107"/>
        <v>1.1008550115263553</v>
      </c>
      <c r="D145">
        <f t="shared" si="108"/>
        <v>0.43139139794016834</v>
      </c>
      <c r="F145">
        <f t="shared" si="109"/>
        <v>6.1930877833031826E-3</v>
      </c>
      <c r="G145">
        <f t="shared" si="110"/>
        <v>2.9705679250881103E-2</v>
      </c>
      <c r="H145">
        <f t="shared" si="111"/>
        <v>-3.111886970749119</v>
      </c>
      <c r="J145">
        <f t="shared" si="112"/>
        <v>15</v>
      </c>
      <c r="M145">
        <f t="shared" si="113"/>
        <v>3.2848300521914987E-2</v>
      </c>
      <c r="N145">
        <f t="shared" si="114"/>
        <v>-1.5707963250000001</v>
      </c>
      <c r="O145">
        <f t="shared" si="115"/>
        <v>9.2325417995270307</v>
      </c>
      <c r="P145">
        <f t="shared" si="116"/>
        <v>1.4622708866481378</v>
      </c>
      <c r="Q145">
        <f t="shared" si="117"/>
        <v>14.304487684044709</v>
      </c>
      <c r="R145">
        <f t="shared" si="118"/>
        <v>1.5008311282422033</v>
      </c>
      <c r="S145">
        <f t="shared" si="119"/>
        <v>0.90838483681287141</v>
      </c>
      <c r="T145">
        <f t="shared" si="120"/>
        <v>-0.43139139794016829</v>
      </c>
      <c r="U145">
        <f t="shared" si="121"/>
        <v>0.96199305846557859</v>
      </c>
      <c r="V145">
        <f t="shared" si="122"/>
        <v>-0.27658693550363744</v>
      </c>
      <c r="X145">
        <f t="shared" si="139"/>
        <v>-8.2304614149019439</v>
      </c>
      <c r="Y145">
        <f t="shared" si="123"/>
        <v>-114.37201412641284</v>
      </c>
      <c r="Z145">
        <f t="shared" si="140"/>
        <v>65.627985873587164</v>
      </c>
      <c r="AC145">
        <v>1</v>
      </c>
      <c r="AD145">
        <f t="shared" si="124"/>
        <v>9.178225758827999</v>
      </c>
      <c r="AE145">
        <f t="shared" si="125"/>
        <v>-4.8009020562317904E-4</v>
      </c>
      <c r="AF145">
        <f t="shared" si="126"/>
        <v>1.6912764031274999E-3</v>
      </c>
      <c r="AG145">
        <f t="shared" si="141"/>
        <v>4866.8072038123564</v>
      </c>
      <c r="AH145">
        <f t="shared" si="142"/>
        <v>-1972.7742106711785</v>
      </c>
      <c r="AJ145">
        <f t="shared" si="127"/>
        <v>18000</v>
      </c>
      <c r="AK145">
        <f t="shared" si="128"/>
        <v>8285.5107914040018</v>
      </c>
      <c r="AL145">
        <v>1</v>
      </c>
      <c r="AM145">
        <f t="shared" si="129"/>
        <v>14.269490807418</v>
      </c>
      <c r="AN145">
        <f t="shared" si="143"/>
        <v>665.77610538508009</v>
      </c>
      <c r="AO145">
        <f t="shared" si="144"/>
        <v>-1214.7752241869568</v>
      </c>
      <c r="AQ145">
        <f t="shared" si="130"/>
        <v>0.81155656549261479</v>
      </c>
      <c r="AR145">
        <f t="shared" si="131"/>
        <v>-90.082778769680246</v>
      </c>
      <c r="AT145">
        <f t="shared" si="104"/>
        <v>-173763.29344318167</v>
      </c>
      <c r="AU145">
        <f t="shared" si="105"/>
        <v>-440016.5345186193</v>
      </c>
      <c r="AV145">
        <f t="shared" si="145"/>
        <v>-1.9468999371548759</v>
      </c>
      <c r="AW145">
        <f t="shared" si="146"/>
        <v>-103105.48332577402</v>
      </c>
      <c r="AX145">
        <f t="shared" si="147"/>
        <v>-66305.985257573295</v>
      </c>
      <c r="AY145">
        <f t="shared" si="155"/>
        <v>-2.5700912493127674</v>
      </c>
      <c r="BA145">
        <f t="shared" si="132"/>
        <v>3.8592120622256827</v>
      </c>
      <c r="BB145">
        <f t="shared" si="148"/>
        <v>11.729972870852798</v>
      </c>
      <c r="BC145">
        <f t="shared" si="149"/>
        <v>0.62319131215789159</v>
      </c>
      <c r="BD145">
        <f t="shared" si="133"/>
        <v>-144.29376794333268</v>
      </c>
      <c r="BF145">
        <f t="shared" si="134"/>
        <v>-8.0754547529030543</v>
      </c>
      <c r="BG145">
        <f t="shared" si="135"/>
        <v>-117.87485144427959</v>
      </c>
      <c r="BH145">
        <f t="shared" si="150"/>
        <v>62.125148555720415</v>
      </c>
      <c r="BI145">
        <f t="shared" si="151"/>
        <v>62.125148555720415</v>
      </c>
      <c r="BJ145">
        <f t="shared" si="136"/>
        <v>0</v>
      </c>
      <c r="BK145">
        <f t="shared" si="152"/>
        <v>0</v>
      </c>
      <c r="BM145">
        <f t="shared" si="153"/>
        <v>-19.805427623755854</v>
      </c>
      <c r="BN145">
        <f t="shared" si="137"/>
        <v>-153.5810835009469</v>
      </c>
      <c r="BQ145" s="56">
        <f t="shared" si="154"/>
        <v>28.631933671137936</v>
      </c>
      <c r="BR145" s="59"/>
      <c r="BS145" s="59"/>
      <c r="BT145" s="59">
        <v>2238.721</v>
      </c>
      <c r="BU145" s="59">
        <v>8.3496900000000007</v>
      </c>
      <c r="BV145" s="59">
        <v>-253.78300000000002</v>
      </c>
      <c r="BW145" s="61"/>
      <c r="BY145" s="59"/>
      <c r="BZ145" s="59"/>
      <c r="CA145" s="59"/>
      <c r="CC145" s="59"/>
    </row>
    <row r="146" spans="1:81" x14ac:dyDescent="0.25">
      <c r="A146">
        <f t="shared" si="106"/>
        <v>56000</v>
      </c>
      <c r="B146">
        <f t="shared" si="138"/>
        <v>56</v>
      </c>
      <c r="C146">
        <f t="shared" si="107"/>
        <v>1.102595411973909</v>
      </c>
      <c r="D146">
        <f t="shared" si="108"/>
        <v>0.43480787369780305</v>
      </c>
      <c r="F146">
        <f t="shared" si="109"/>
        <v>6.0823650348128472E-3</v>
      </c>
      <c r="G146">
        <f t="shared" si="110"/>
        <v>2.9437344305490536E-2</v>
      </c>
      <c r="H146">
        <f t="shared" si="111"/>
        <v>-3.1121553056945097</v>
      </c>
      <c r="J146">
        <f t="shared" si="112"/>
        <v>15</v>
      </c>
      <c r="M146">
        <f t="shared" si="113"/>
        <v>3.2555012124397889E-2</v>
      </c>
      <c r="N146">
        <f t="shared" si="114"/>
        <v>-1.5707963250000001</v>
      </c>
      <c r="O146">
        <f t="shared" si="115"/>
        <v>9.3147463687219361</v>
      </c>
      <c r="P146">
        <f t="shared" si="116"/>
        <v>1.4632323738493185</v>
      </c>
      <c r="Q146">
        <f t="shared" si="117"/>
        <v>14.432729937478332</v>
      </c>
      <c r="R146">
        <f t="shared" si="118"/>
        <v>1.5014538079771813</v>
      </c>
      <c r="S146">
        <f t="shared" si="119"/>
        <v>0.90695098958353304</v>
      </c>
      <c r="T146">
        <f t="shared" si="120"/>
        <v>-0.43480787369780294</v>
      </c>
      <c r="U146">
        <f t="shared" si="121"/>
        <v>0.96134454066398423</v>
      </c>
      <c r="V146">
        <f t="shared" si="122"/>
        <v>-0.2789519656725637</v>
      </c>
      <c r="X146">
        <f t="shared" si="139"/>
        <v>-8.3163963004991928</v>
      </c>
      <c r="Y146">
        <f t="shared" si="123"/>
        <v>-114.43212875396281</v>
      </c>
      <c r="Z146">
        <f t="shared" si="140"/>
        <v>65.567871246037186</v>
      </c>
      <c r="AC146">
        <v>1</v>
      </c>
      <c r="AD146">
        <f t="shared" si="124"/>
        <v>9.2609124773759994</v>
      </c>
      <c r="AE146">
        <f t="shared" si="125"/>
        <v>-4.8877944479645786E-4</v>
      </c>
      <c r="AF146">
        <f t="shared" si="126"/>
        <v>1.7065131274800001E-3</v>
      </c>
      <c r="AG146">
        <f t="shared" si="141"/>
        <v>4860.2475987984053</v>
      </c>
      <c r="AH146">
        <f t="shared" si="142"/>
        <v>-1978.0622068221171</v>
      </c>
      <c r="AJ146">
        <f t="shared" si="127"/>
        <v>18000</v>
      </c>
      <c r="AK146">
        <f t="shared" si="128"/>
        <v>8360.1550327679997</v>
      </c>
      <c r="AL146">
        <v>1</v>
      </c>
      <c r="AM146">
        <f t="shared" si="129"/>
        <v>14.398044778655999</v>
      </c>
      <c r="AN146">
        <f t="shared" si="143"/>
        <v>664.26996193766604</v>
      </c>
      <c r="AO146">
        <f t="shared" si="144"/>
        <v>-1204.0336243266329</v>
      </c>
      <c r="AQ146">
        <f t="shared" si="130"/>
        <v>0.79713033080908724</v>
      </c>
      <c r="AR146">
        <f t="shared" si="131"/>
        <v>-89.278597050617776</v>
      </c>
      <c r="AT146">
        <f t="shared" si="104"/>
        <v>-172724.36792768331</v>
      </c>
      <c r="AU146">
        <f t="shared" si="105"/>
        <v>-435492.8603206405</v>
      </c>
      <c r="AV146">
        <f t="shared" si="145"/>
        <v>-1.9483839112332015</v>
      </c>
      <c r="AW146">
        <f t="shared" si="146"/>
        <v>-101187.52276130044</v>
      </c>
      <c r="AX146">
        <f t="shared" si="147"/>
        <v>-65586.765872969423</v>
      </c>
      <c r="AY146">
        <f t="shared" si="155"/>
        <v>-2.5665046337291382</v>
      </c>
      <c r="BA146">
        <f t="shared" si="132"/>
        <v>3.8852134624744186</v>
      </c>
      <c r="BB146">
        <f t="shared" si="148"/>
        <v>11.788297698403831</v>
      </c>
      <c r="BC146">
        <f t="shared" si="149"/>
        <v>0.61812072249593664</v>
      </c>
      <c r="BD146">
        <f t="shared" si="133"/>
        <v>-144.58429133093733</v>
      </c>
      <c r="BF146">
        <f t="shared" si="134"/>
        <v>-8.1601038826618328</v>
      </c>
      <c r="BG146">
        <f t="shared" si="135"/>
        <v>-117.98499964982365</v>
      </c>
      <c r="BH146">
        <f t="shared" si="150"/>
        <v>62.015000350176351</v>
      </c>
      <c r="BI146">
        <f t="shared" si="151"/>
        <v>62.015000350176351</v>
      </c>
      <c r="BJ146">
        <f t="shared" si="136"/>
        <v>0</v>
      </c>
      <c r="BK146">
        <f t="shared" si="152"/>
        <v>0</v>
      </c>
      <c r="BM146">
        <f t="shared" si="153"/>
        <v>-19.948401581065664</v>
      </c>
      <c r="BN146">
        <f t="shared" si="137"/>
        <v>-153.40070831888633</v>
      </c>
      <c r="BQ146" s="56">
        <f t="shared" si="154"/>
        <v>28.690258498688969</v>
      </c>
      <c r="BR146" s="59"/>
      <c r="BS146" s="59"/>
      <c r="BT146" s="59">
        <v>2290.8679999999999</v>
      </c>
      <c r="BU146" s="59">
        <v>8.2818299999999994</v>
      </c>
      <c r="BV146" s="59">
        <v>-253.62</v>
      </c>
      <c r="BW146" s="61"/>
      <c r="BY146" s="59"/>
      <c r="BZ146" s="59"/>
      <c r="CA146" s="59"/>
      <c r="CC146" s="59"/>
    </row>
    <row r="147" spans="1:81" x14ac:dyDescent="0.25">
      <c r="A147">
        <f t="shared" si="106"/>
        <v>56500</v>
      </c>
      <c r="B147">
        <f t="shared" si="138"/>
        <v>56.5</v>
      </c>
      <c r="C147">
        <f t="shared" si="107"/>
        <v>1.1043486416012267</v>
      </c>
      <c r="D147">
        <f t="shared" si="108"/>
        <v>0.43821354132091633</v>
      </c>
      <c r="F147">
        <f t="shared" si="109"/>
        <v>5.9745906697507047E-3</v>
      </c>
      <c r="G147">
        <f t="shared" si="110"/>
        <v>2.9173840603138722E-2</v>
      </c>
      <c r="H147">
        <f t="shared" si="111"/>
        <v>-3.1124188093968614</v>
      </c>
      <c r="J147">
        <f t="shared" si="112"/>
        <v>15</v>
      </c>
      <c r="M147">
        <f t="shared" si="113"/>
        <v>3.2266914671969585E-2</v>
      </c>
      <c r="N147">
        <f t="shared" si="114"/>
        <v>-1.5707963250000001</v>
      </c>
      <c r="O147">
        <f t="shared" si="115"/>
        <v>9.3969593983411261</v>
      </c>
      <c r="P147">
        <f t="shared" si="116"/>
        <v>1.4641770380061878</v>
      </c>
      <c r="Q147">
        <f t="shared" si="117"/>
        <v>14.560977688342973</v>
      </c>
      <c r="R147">
        <f t="shared" si="118"/>
        <v>1.5020655192764252</v>
      </c>
      <c r="S147">
        <f t="shared" si="119"/>
        <v>0.90551114234185259</v>
      </c>
      <c r="T147">
        <f t="shared" si="120"/>
        <v>-0.43821354132091622</v>
      </c>
      <c r="U147">
        <f t="shared" si="121"/>
        <v>0.96069153402838814</v>
      </c>
      <c r="V147">
        <f t="shared" si="122"/>
        <v>-0.28131379607797824</v>
      </c>
      <c r="X147">
        <f t="shared" si="139"/>
        <v>-8.4016258731402615</v>
      </c>
      <c r="Y147">
        <f t="shared" si="123"/>
        <v>-114.49337557324651</v>
      </c>
      <c r="Z147">
        <f t="shared" si="140"/>
        <v>65.50662442675349</v>
      </c>
      <c r="AC147">
        <v>1</v>
      </c>
      <c r="AD147">
        <f t="shared" si="124"/>
        <v>9.3435991959239999</v>
      </c>
      <c r="AE147">
        <f t="shared" si="125"/>
        <v>-4.9754661436590968E-4</v>
      </c>
      <c r="AF147">
        <f t="shared" si="126"/>
        <v>1.7217498518324998E-3</v>
      </c>
      <c r="AG147">
        <f t="shared" si="141"/>
        <v>4853.6470599001586</v>
      </c>
      <c r="AH147">
        <f t="shared" si="142"/>
        <v>-1983.3982609876798</v>
      </c>
      <c r="AJ147">
        <f t="shared" si="127"/>
        <v>18000</v>
      </c>
      <c r="AK147">
        <f t="shared" si="128"/>
        <v>8434.7992741320013</v>
      </c>
      <c r="AL147">
        <v>1</v>
      </c>
      <c r="AM147">
        <f t="shared" si="129"/>
        <v>14.526598749893999</v>
      </c>
      <c r="AN147">
        <f t="shared" si="143"/>
        <v>662.80337593655656</v>
      </c>
      <c r="AO147">
        <f t="shared" si="144"/>
        <v>-1193.4794181735042</v>
      </c>
      <c r="AQ147">
        <f t="shared" si="130"/>
        <v>0.78308535630383713</v>
      </c>
      <c r="AR147">
        <f t="shared" si="131"/>
        <v>-88.488645262333591</v>
      </c>
      <c r="AT147">
        <f t="shared" si="104"/>
        <v>-171707.40519319315</v>
      </c>
      <c r="AU147">
        <f t="shared" si="105"/>
        <v>-431045.82304597151</v>
      </c>
      <c r="AV147">
        <f t="shared" si="145"/>
        <v>-1.9498800851453257</v>
      </c>
      <c r="AW147">
        <f t="shared" si="146"/>
        <v>-99320.114585828269</v>
      </c>
      <c r="AX147">
        <f t="shared" si="147"/>
        <v>-64884.37473323202</v>
      </c>
      <c r="AY147">
        <f t="shared" si="155"/>
        <v>-2.5629113460662167</v>
      </c>
      <c r="BA147">
        <f t="shared" si="132"/>
        <v>3.9110181255368515</v>
      </c>
      <c r="BB147">
        <f t="shared" si="148"/>
        <v>11.845796573721188</v>
      </c>
      <c r="BC147">
        <f t="shared" si="149"/>
        <v>0.613031260920891</v>
      </c>
      <c r="BD147">
        <f t="shared" si="133"/>
        <v>-144.87589599951465</v>
      </c>
      <c r="BF147">
        <f t="shared" si="134"/>
        <v>-8.2440910925226181</v>
      </c>
      <c r="BG147">
        <f t="shared" si="135"/>
        <v>-118.09657158699734</v>
      </c>
      <c r="BH147">
        <f t="shared" si="150"/>
        <v>61.903428413002658</v>
      </c>
      <c r="BI147">
        <f t="shared" si="151"/>
        <v>61.903428413002658</v>
      </c>
      <c r="BJ147">
        <f t="shared" si="136"/>
        <v>0</v>
      </c>
      <c r="BK147">
        <f t="shared" si="152"/>
        <v>0</v>
      </c>
      <c r="BM147">
        <f t="shared" si="153"/>
        <v>-20.089887666243808</v>
      </c>
      <c r="BN147">
        <f t="shared" si="137"/>
        <v>-153.2206755874827</v>
      </c>
      <c r="BQ147" s="56">
        <f t="shared" si="154"/>
        <v>28.747757374006326</v>
      </c>
      <c r="BR147" s="59"/>
      <c r="BS147" s="59"/>
      <c r="BT147" s="59">
        <v>2344.2289999999998</v>
      </c>
      <c r="BU147" s="59">
        <v>8.0662299999999991</v>
      </c>
      <c r="BV147" s="59">
        <v>-253.17099999999999</v>
      </c>
      <c r="BW147" s="61"/>
      <c r="BY147" s="59"/>
      <c r="BZ147" s="59"/>
      <c r="CA147" s="59"/>
      <c r="CC147" s="59"/>
    </row>
    <row r="148" spans="1:81" x14ac:dyDescent="0.25">
      <c r="A148">
        <f t="shared" si="106"/>
        <v>57000</v>
      </c>
      <c r="B148">
        <f t="shared" si="138"/>
        <v>57</v>
      </c>
      <c r="C148">
        <f t="shared" si="107"/>
        <v>1.1061146394042405</v>
      </c>
      <c r="D148">
        <f t="shared" si="108"/>
        <v>0.44160837338991288</v>
      </c>
      <c r="F148">
        <f t="shared" si="109"/>
        <v>5.8696607430427988E-3</v>
      </c>
      <c r="G148">
        <f t="shared" si="110"/>
        <v>2.8915038142644345E-2</v>
      </c>
      <c r="H148">
        <f t="shared" si="111"/>
        <v>-3.112677611857356</v>
      </c>
      <c r="J148">
        <f t="shared" si="112"/>
        <v>15</v>
      </c>
      <c r="M148">
        <f t="shared" si="113"/>
        <v>3.1983871560811956E-2</v>
      </c>
      <c r="N148">
        <f t="shared" si="114"/>
        <v>-1.5707963250000001</v>
      </c>
      <c r="O148">
        <f t="shared" si="115"/>
        <v>9.4791806682525692</v>
      </c>
      <c r="P148">
        <f t="shared" si="116"/>
        <v>1.465105315173572</v>
      </c>
      <c r="Q148">
        <f t="shared" si="117"/>
        <v>14.689230792648832</v>
      </c>
      <c r="R148">
        <f t="shared" si="118"/>
        <v>1.5026665489754785</v>
      </c>
      <c r="S148">
        <f t="shared" si="119"/>
        <v>0.9040654235790655</v>
      </c>
      <c r="T148">
        <f t="shared" si="120"/>
        <v>-0.44160837338991277</v>
      </c>
      <c r="U148">
        <f t="shared" si="121"/>
        <v>0.9600340695330789</v>
      </c>
      <c r="V148">
        <f t="shared" si="122"/>
        <v>-0.28367240691311935</v>
      </c>
      <c r="X148">
        <f t="shared" si="139"/>
        <v>-8.4861641418350793</v>
      </c>
      <c r="Y148">
        <f t="shared" si="123"/>
        <v>-114.55571947937185</v>
      </c>
      <c r="Z148">
        <f t="shared" si="140"/>
        <v>65.444280520628155</v>
      </c>
      <c r="AC148">
        <v>1</v>
      </c>
      <c r="AD148">
        <f t="shared" si="124"/>
        <v>9.4262859144720004</v>
      </c>
      <c r="AE148">
        <f t="shared" si="125"/>
        <v>-5.0639171433153438E-4</v>
      </c>
      <c r="AF148">
        <f t="shared" si="126"/>
        <v>1.7369865761849999E-3</v>
      </c>
      <c r="AG148">
        <f t="shared" si="141"/>
        <v>4847.0059923743529</v>
      </c>
      <c r="AH148">
        <f t="shared" si="142"/>
        <v>-1988.7797184022363</v>
      </c>
      <c r="AJ148">
        <f t="shared" si="127"/>
        <v>18000</v>
      </c>
      <c r="AK148">
        <f t="shared" si="128"/>
        <v>8509.4435154960011</v>
      </c>
      <c r="AL148">
        <v>1</v>
      </c>
      <c r="AM148">
        <f t="shared" si="129"/>
        <v>14.655152721131998</v>
      </c>
      <c r="AN148">
        <f t="shared" si="143"/>
        <v>661.37497628335723</v>
      </c>
      <c r="AO148">
        <f t="shared" si="144"/>
        <v>-1183.1077678716517</v>
      </c>
      <c r="AQ148">
        <f t="shared" si="130"/>
        <v>0.76940832499807643</v>
      </c>
      <c r="AR148">
        <f t="shared" si="131"/>
        <v>-87.712549049780719</v>
      </c>
      <c r="AT148">
        <f t="shared" si="104"/>
        <v>-170711.61183771686</v>
      </c>
      <c r="AU148">
        <f t="shared" si="105"/>
        <v>-426673.43452264252</v>
      </c>
      <c r="AV148">
        <f t="shared" si="145"/>
        <v>-1.9513880404848978</v>
      </c>
      <c r="AW148">
        <f t="shared" si="146"/>
        <v>-97501.509789176795</v>
      </c>
      <c r="AX148">
        <f t="shared" si="147"/>
        <v>-64198.231902034328</v>
      </c>
      <c r="AY148">
        <f t="shared" si="155"/>
        <v>-2.5593118174638483</v>
      </c>
      <c r="BA148">
        <f t="shared" si="132"/>
        <v>3.9366249542575962</v>
      </c>
      <c r="BB148">
        <f t="shared" si="148"/>
        <v>11.902480822830164</v>
      </c>
      <c r="BC148">
        <f t="shared" si="149"/>
        <v>0.6079237769789505</v>
      </c>
      <c r="BD148">
        <f t="shared" si="133"/>
        <v>-145.16853327365305</v>
      </c>
      <c r="BF148">
        <f t="shared" si="134"/>
        <v>-8.3274311822123099</v>
      </c>
      <c r="BG148">
        <f t="shared" si="135"/>
        <v>-118.20952759993523</v>
      </c>
      <c r="BH148">
        <f t="shared" si="150"/>
        <v>61.790472400064772</v>
      </c>
      <c r="BI148">
        <f t="shared" si="151"/>
        <v>61.790472400064772</v>
      </c>
      <c r="BJ148">
        <f t="shared" si="136"/>
        <v>0</v>
      </c>
      <c r="BK148">
        <f t="shared" si="152"/>
        <v>0</v>
      </c>
      <c r="BM148">
        <f t="shared" si="153"/>
        <v>-20.229912005042472</v>
      </c>
      <c r="BN148">
        <f t="shared" si="137"/>
        <v>-153.04099432628217</v>
      </c>
      <c r="BQ148" s="56">
        <f t="shared" si="154"/>
        <v>28.804441623115302</v>
      </c>
      <c r="BR148" s="59"/>
      <c r="BS148" s="59"/>
      <c r="BT148" s="59">
        <v>2398.8330000000001</v>
      </c>
      <c r="BU148" s="59">
        <v>7.8140200000000002</v>
      </c>
      <c r="BV148" s="59">
        <v>-252.65800000000002</v>
      </c>
      <c r="BW148" s="61"/>
      <c r="BY148" s="59"/>
      <c r="BZ148" s="59"/>
      <c r="CA148" s="59"/>
      <c r="CC148" s="59"/>
    </row>
    <row r="149" spans="1:81" x14ac:dyDescent="0.25">
      <c r="A149">
        <f t="shared" si="106"/>
        <v>57500</v>
      </c>
      <c r="B149">
        <f t="shared" si="138"/>
        <v>57.5</v>
      </c>
      <c r="C149">
        <f t="shared" si="107"/>
        <v>1.1078933443249899</v>
      </c>
      <c r="D149">
        <f t="shared" si="108"/>
        <v>0.44499234365840229</v>
      </c>
      <c r="F149">
        <f t="shared" si="109"/>
        <v>5.7674758581802953E-3</v>
      </c>
      <c r="G149">
        <f t="shared" si="110"/>
        <v>2.8660811568775233E-2</v>
      </c>
      <c r="H149">
        <f t="shared" si="111"/>
        <v>-3.112931838431225</v>
      </c>
      <c r="J149">
        <f t="shared" si="112"/>
        <v>15</v>
      </c>
      <c r="M149">
        <f t="shared" si="113"/>
        <v>3.1705750938544025E-2</v>
      </c>
      <c r="N149">
        <f t="shared" si="114"/>
        <v>-1.5707963250000001</v>
      </c>
      <c r="O149">
        <f t="shared" si="115"/>
        <v>9.5614099658744536</v>
      </c>
      <c r="P149">
        <f t="shared" si="116"/>
        <v>1.4660176265210327</v>
      </c>
      <c r="Q149">
        <f t="shared" si="117"/>
        <v>14.81748911138542</v>
      </c>
      <c r="R149">
        <f t="shared" si="118"/>
        <v>1.5032571740101301</v>
      </c>
      <c r="S149">
        <f t="shared" si="119"/>
        <v>0.90261396110225178</v>
      </c>
      <c r="T149">
        <f t="shared" si="120"/>
        <v>-0.44499234365840223</v>
      </c>
      <c r="U149">
        <f t="shared" si="121"/>
        <v>0.95937217824639853</v>
      </c>
      <c r="V149">
        <f t="shared" si="122"/>
        <v>-0.2860277785684705</v>
      </c>
      <c r="X149">
        <f t="shared" si="139"/>
        <v>-8.5700247088275194</v>
      </c>
      <c r="Y149">
        <f t="shared" si="123"/>
        <v>-114.61912653263175</v>
      </c>
      <c r="Z149">
        <f t="shared" si="140"/>
        <v>65.380873467368247</v>
      </c>
      <c r="AC149">
        <v>1</v>
      </c>
      <c r="AD149">
        <f t="shared" si="124"/>
        <v>9.5089726330199991</v>
      </c>
      <c r="AE149">
        <f t="shared" si="125"/>
        <v>-5.1531474469333207E-4</v>
      </c>
      <c r="AF149">
        <f t="shared" si="126"/>
        <v>1.7522233005375001E-3</v>
      </c>
      <c r="AG149">
        <f t="shared" si="141"/>
        <v>4840.3248021999916</v>
      </c>
      <c r="AH149">
        <f t="shared" si="142"/>
        <v>-1994.2040141839268</v>
      </c>
      <c r="AJ149">
        <f t="shared" si="127"/>
        <v>18000</v>
      </c>
      <c r="AK149">
        <f t="shared" si="128"/>
        <v>8584.0877568600008</v>
      </c>
      <c r="AL149">
        <v>1</v>
      </c>
      <c r="AM149">
        <f t="shared" si="129"/>
        <v>14.783706692369998</v>
      </c>
      <c r="AN149">
        <f t="shared" si="143"/>
        <v>659.98345068334459</v>
      </c>
      <c r="AO149">
        <f t="shared" si="144"/>
        <v>-1172.9139998608057</v>
      </c>
      <c r="AQ149">
        <f t="shared" si="130"/>
        <v>0.75608649629517621</v>
      </c>
      <c r="AR149">
        <f t="shared" si="131"/>
        <v>-86.949947073945253</v>
      </c>
      <c r="AT149">
        <f t="shared" si="104"/>
        <v>-169736.22926731556</v>
      </c>
      <c r="AU149">
        <f t="shared" si="105"/>
        <v>-422373.7760979759</v>
      </c>
      <c r="AV149">
        <f t="shared" si="145"/>
        <v>-1.9529073726254522</v>
      </c>
      <c r="AW149">
        <f t="shared" si="146"/>
        <v>-95730.034245529314</v>
      </c>
      <c r="AX149">
        <f t="shared" si="147"/>
        <v>-63527.783376376101</v>
      </c>
      <c r="AY149">
        <f t="shared" si="155"/>
        <v>-2.5557064681909152</v>
      </c>
      <c r="BA149">
        <f t="shared" si="132"/>
        <v>3.962032884631209</v>
      </c>
      <c r="BB149">
        <f t="shared" si="148"/>
        <v>11.958361516703796</v>
      </c>
      <c r="BC149">
        <f t="shared" si="149"/>
        <v>0.60279909556546296</v>
      </c>
      <c r="BD149">
        <f t="shared" si="133"/>
        <v>-145.46215589033056</v>
      </c>
      <c r="BF149">
        <f t="shared" si="134"/>
        <v>-8.4101385290789903</v>
      </c>
      <c r="BG149">
        <f t="shared" si="135"/>
        <v>-118.32382911174838</v>
      </c>
      <c r="BH149">
        <f t="shared" si="150"/>
        <v>61.676170888251619</v>
      </c>
      <c r="BI149">
        <f t="shared" si="151"/>
        <v>61.676170888251619</v>
      </c>
      <c r="BJ149">
        <f t="shared" si="136"/>
        <v>0</v>
      </c>
      <c r="BK149">
        <f t="shared" si="152"/>
        <v>0</v>
      </c>
      <c r="BM149">
        <f t="shared" si="153"/>
        <v>-20.368500045782785</v>
      </c>
      <c r="BN149">
        <f t="shared" si="137"/>
        <v>-152.86167322141782</v>
      </c>
      <c r="BQ149" s="56">
        <f t="shared" si="154"/>
        <v>28.860322316988931</v>
      </c>
      <c r="BR149" s="59"/>
      <c r="BS149" s="59"/>
      <c r="BT149" s="59">
        <v>2454.7089999999998</v>
      </c>
      <c r="BU149" s="59">
        <v>7.6423899999999998</v>
      </c>
      <c r="BV149" s="59">
        <v>-251.97399999999999</v>
      </c>
      <c r="BW149" s="61"/>
      <c r="BY149" s="59"/>
      <c r="BZ149" s="59"/>
      <c r="CA149" s="59"/>
      <c r="CC149" s="59"/>
    </row>
    <row r="150" spans="1:81" x14ac:dyDescent="0.25">
      <c r="A150">
        <f t="shared" si="106"/>
        <v>58000</v>
      </c>
      <c r="B150">
        <f t="shared" si="138"/>
        <v>58</v>
      </c>
      <c r="C150">
        <f t="shared" si="107"/>
        <v>1.1096846952590569</v>
      </c>
      <c r="D150">
        <f t="shared" si="108"/>
        <v>0.4483654270427046</v>
      </c>
      <c r="F150">
        <f t="shared" si="109"/>
        <v>5.667940930042868E-3</v>
      </c>
      <c r="G150">
        <f t="shared" si="110"/>
        <v>2.8411039965575161E-2</v>
      </c>
      <c r="H150">
        <f t="shared" si="111"/>
        <v>-3.1131816100344252</v>
      </c>
      <c r="J150">
        <f t="shared" si="112"/>
        <v>15</v>
      </c>
      <c r="M150">
        <f t="shared" si="113"/>
        <v>3.1432425499418652E-2</v>
      </c>
      <c r="N150">
        <f t="shared" si="114"/>
        <v>-1.5707963250000001</v>
      </c>
      <c r="O150">
        <f t="shared" si="115"/>
        <v>9.6436470858551182</v>
      </c>
      <c r="P150">
        <f t="shared" si="116"/>
        <v>1.4669143789603039</v>
      </c>
      <c r="Q150">
        <f t="shared" si="117"/>
        <v>14.94575251030842</v>
      </c>
      <c r="R150">
        <f t="shared" si="118"/>
        <v>1.5038376618392149</v>
      </c>
      <c r="S150">
        <f t="shared" si="119"/>
        <v>0.90115688201552546</v>
      </c>
      <c r="T150">
        <f t="shared" si="120"/>
        <v>-0.44836542704270449</v>
      </c>
      <c r="U150">
        <f t="shared" si="121"/>
        <v>0.95870589132717698</v>
      </c>
      <c r="V150">
        <f t="shared" si="122"/>
        <v>-0.28837989163209882</v>
      </c>
      <c r="X150">
        <f t="shared" si="139"/>
        <v>-8.6532207851101202</v>
      </c>
      <c r="Y150">
        <f t="shared" si="123"/>
        <v>-114.68356391019086</v>
      </c>
      <c r="Z150">
        <f t="shared" si="140"/>
        <v>65.316436089809145</v>
      </c>
      <c r="AC150">
        <v>1</v>
      </c>
      <c r="AD150">
        <f t="shared" si="124"/>
        <v>9.5916593515679995</v>
      </c>
      <c r="AE150">
        <f t="shared" si="125"/>
        <v>-5.2431570545130254E-4</v>
      </c>
      <c r="AF150">
        <f t="shared" si="126"/>
        <v>1.7674600248899998E-3</v>
      </c>
      <c r="AG150">
        <f t="shared" si="141"/>
        <v>4833.6038960246069</v>
      </c>
      <c r="AH150">
        <f t="shared" si="142"/>
        <v>-1999.6686696414931</v>
      </c>
      <c r="AJ150">
        <f t="shared" si="127"/>
        <v>18000</v>
      </c>
      <c r="AK150">
        <f t="shared" si="128"/>
        <v>8658.7319982240006</v>
      </c>
      <c r="AL150">
        <v>1</v>
      </c>
      <c r="AM150">
        <f t="shared" si="129"/>
        <v>14.912260663607997</v>
      </c>
      <c r="AN150">
        <f t="shared" si="143"/>
        <v>658.62754264940691</v>
      </c>
      <c r="AO150">
        <f t="shared" si="144"/>
        <v>-1162.8935979955488</v>
      </c>
      <c r="AQ150">
        <f t="shared" si="130"/>
        <v>0.74310767630229624</v>
      </c>
      <c r="AR150">
        <f t="shared" si="131"/>
        <v>-86.200490451066358</v>
      </c>
      <c r="AT150">
        <f t="shared" ref="AT150:AT213" si="156">-AR150*AH150+AG150*AQ150</f>
        <v>-168780.53190338754</v>
      </c>
      <c r="AU150">
        <f t="shared" ref="AU150:AU213" si="157">AQ150*AH150+AG150*AR150</f>
        <v>-418144.99562197807</v>
      </c>
      <c r="AV150">
        <f t="shared" si="145"/>
        <v>-1.9544376901494518</v>
      </c>
      <c r="AW150">
        <f t="shared" si="146"/>
        <v>-94004.084904485746</v>
      </c>
      <c r="AX150">
        <f t="shared" si="147"/>
        <v>-62872.499677858512</v>
      </c>
      <c r="AY150">
        <f t="shared" si="155"/>
        <v>-2.5520957080900777</v>
      </c>
      <c r="BA150">
        <f t="shared" si="132"/>
        <v>3.9872408858173767</v>
      </c>
      <c r="BB150">
        <f t="shared" si="148"/>
        <v>12.01344947984466</v>
      </c>
      <c r="BC150">
        <f t="shared" si="149"/>
        <v>0.5976580179406259</v>
      </c>
      <c r="BD150">
        <f t="shared" si="133"/>
        <v>-145.75671794071945</v>
      </c>
      <c r="BF150">
        <f t="shared" si="134"/>
        <v>-8.4922271034004666</v>
      </c>
      <c r="BG150">
        <f t="shared" si="135"/>
        <v>-118.43943857877214</v>
      </c>
      <c r="BH150">
        <f t="shared" si="150"/>
        <v>61.56056142122786</v>
      </c>
      <c r="BI150">
        <f t="shared" si="151"/>
        <v>61.56056142122786</v>
      </c>
      <c r="BJ150">
        <f t="shared" si="136"/>
        <v>0</v>
      </c>
      <c r="BK150">
        <f t="shared" si="152"/>
        <v>0</v>
      </c>
      <c r="BM150">
        <f t="shared" si="153"/>
        <v>-20.505676583245126</v>
      </c>
      <c r="BN150">
        <f t="shared" si="137"/>
        <v>-152.6827206380527</v>
      </c>
      <c r="BQ150" s="56">
        <f t="shared" si="154"/>
        <v>28.915410280129798</v>
      </c>
      <c r="BR150" s="59"/>
      <c r="BS150" s="59"/>
      <c r="BT150" s="59">
        <v>2511.886</v>
      </c>
      <c r="BU150" s="59">
        <v>7.45716</v>
      </c>
      <c r="BV150" s="59">
        <v>-252.25200000000001</v>
      </c>
      <c r="BW150" s="61"/>
      <c r="BY150" s="59"/>
      <c r="BZ150" s="59"/>
      <c r="CA150" s="59"/>
      <c r="CC150" s="59"/>
    </row>
    <row r="151" spans="1:81" x14ac:dyDescent="0.25">
      <c r="A151">
        <f t="shared" si="106"/>
        <v>58500</v>
      </c>
      <c r="B151">
        <f t="shared" si="138"/>
        <v>58.5</v>
      </c>
      <c r="C151">
        <f t="shared" si="107"/>
        <v>1.1114886310629091</v>
      </c>
      <c r="D151">
        <f t="shared" si="108"/>
        <v>0.45172759961119735</v>
      </c>
      <c r="F151">
        <f t="shared" si="109"/>
        <v>5.5709649620494231E-3</v>
      </c>
      <c r="G151">
        <f t="shared" si="110"/>
        <v>2.8165606660673442E-2</v>
      </c>
      <c r="H151">
        <f t="shared" si="111"/>
        <v>-3.113427043339327</v>
      </c>
      <c r="J151">
        <f t="shared" si="112"/>
        <v>15</v>
      </c>
      <c r="M151">
        <f t="shared" si="113"/>
        <v>3.1163772290021905E-2</v>
      </c>
      <c r="N151">
        <f t="shared" si="114"/>
        <v>-1.5707963250000001</v>
      </c>
      <c r="O151">
        <f t="shared" si="115"/>
        <v>9.7258918297690773</v>
      </c>
      <c r="P151">
        <f t="shared" si="116"/>
        <v>1.4677959657413724</v>
      </c>
      <c r="Q151">
        <f t="shared" si="117"/>
        <v>15.074020859737377</v>
      </c>
      <c r="R151">
        <f t="shared" si="118"/>
        <v>1.5044082708459616</v>
      </c>
      <c r="S151">
        <f t="shared" si="119"/>
        <v>0.89969431270179234</v>
      </c>
      <c r="T151">
        <f t="shared" si="120"/>
        <v>-0.45172759961119724</v>
      </c>
      <c r="U151">
        <f t="shared" si="121"/>
        <v>0.95803524002117801</v>
      </c>
      <c r="V151">
        <f t="shared" si="122"/>
        <v>-0.29072872688996715</v>
      </c>
      <c r="X151">
        <f t="shared" si="139"/>
        <v>-8.7357652052012185</v>
      </c>
      <c r="Y151">
        <f t="shared" si="123"/>
        <v>-114.74899986016732</v>
      </c>
      <c r="Z151">
        <f t="shared" si="140"/>
        <v>65.251000139832684</v>
      </c>
      <c r="AC151">
        <v>1</v>
      </c>
      <c r="AD151">
        <f t="shared" si="124"/>
        <v>9.674346070116</v>
      </c>
      <c r="AE151">
        <f t="shared" si="125"/>
        <v>-5.3339459660544568E-4</v>
      </c>
      <c r="AF151">
        <f t="shared" si="126"/>
        <v>1.7826967492424999E-3</v>
      </c>
      <c r="AG151">
        <f t="shared" si="141"/>
        <v>4826.843681110845</v>
      </c>
      <c r="AH151">
        <f t="shared" si="142"/>
        <v>-2005.1712887694339</v>
      </c>
      <c r="AJ151">
        <f t="shared" si="127"/>
        <v>18000</v>
      </c>
      <c r="AK151">
        <f t="shared" si="128"/>
        <v>8733.3762395880003</v>
      </c>
      <c r="AL151">
        <v>1</v>
      </c>
      <c r="AM151">
        <f t="shared" si="129"/>
        <v>15.040814634846001</v>
      </c>
      <c r="AN151">
        <f t="shared" si="143"/>
        <v>657.30604868230819</v>
      </c>
      <c r="AO151">
        <f t="shared" si="144"/>
        <v>-1153.0421970056582</v>
      </c>
      <c r="AQ151">
        <f t="shared" si="130"/>
        <v>0.73046018991964934</v>
      </c>
      <c r="AR151">
        <f t="shared" si="131"/>
        <v>-85.463842220598977</v>
      </c>
      <c r="AT151">
        <f t="shared" si="156"/>
        <v>-167843.82549664934</v>
      </c>
      <c r="AU151">
        <f t="shared" si="157"/>
        <v>-413985.30458636838</v>
      </c>
      <c r="AV151">
        <f t="shared" si="145"/>
        <v>-1.9559786143057762</v>
      </c>
      <c r="AW151">
        <f t="shared" si="146"/>
        <v>-92322.126205851397</v>
      </c>
      <c r="AX151">
        <f t="shared" si="147"/>
        <v>-62231.874533181996</v>
      </c>
      <c r="AY151">
        <f t="shared" si="155"/>
        <v>-2.5484799369980093</v>
      </c>
      <c r="BA151">
        <f t="shared" si="132"/>
        <v>4.012247960157028</v>
      </c>
      <c r="BB151">
        <f t="shared" si="148"/>
        <v>12.067755298534241</v>
      </c>
      <c r="BC151">
        <f t="shared" si="149"/>
        <v>0.5925013226922331</v>
      </c>
      <c r="BD151">
        <f t="shared" si="133"/>
        <v>-146.05217481502513</v>
      </c>
      <c r="BF151">
        <f t="shared" si="134"/>
        <v>-8.5737104829651809</v>
      </c>
      <c r="BG151">
        <f t="shared" si="135"/>
        <v>-118.55631944722727</v>
      </c>
      <c r="BH151">
        <f t="shared" si="150"/>
        <v>61.443680552772733</v>
      </c>
      <c r="BI151">
        <f t="shared" si="151"/>
        <v>61.443680552772733</v>
      </c>
      <c r="BJ151">
        <f t="shared" si="136"/>
        <v>0</v>
      </c>
      <c r="BK151">
        <f t="shared" si="152"/>
        <v>0</v>
      </c>
      <c r="BM151">
        <f t="shared" si="153"/>
        <v>-20.64146578149942</v>
      </c>
      <c r="BN151">
        <f t="shared" si="137"/>
        <v>-152.50414463220216</v>
      </c>
      <c r="BQ151" s="56">
        <f t="shared" si="154"/>
        <v>28.969716098819379</v>
      </c>
      <c r="BR151" s="59"/>
      <c r="BS151" s="59"/>
      <c r="BT151" s="59">
        <v>2570.3960000000002</v>
      </c>
      <c r="BU151" s="59">
        <v>7.31271</v>
      </c>
      <c r="BV151" s="59">
        <v>-251.702</v>
      </c>
      <c r="BW151" s="61"/>
      <c r="BY151" s="59"/>
      <c r="BZ151" s="59"/>
      <c r="CA151" s="59"/>
      <c r="CC151" s="59"/>
    </row>
    <row r="152" spans="1:81" x14ac:dyDescent="0.25">
      <c r="A152">
        <f t="shared" si="106"/>
        <v>59000</v>
      </c>
      <c r="B152">
        <f t="shared" si="138"/>
        <v>59</v>
      </c>
      <c r="C152">
        <f t="shared" si="107"/>
        <v>1.1133050905611417</v>
      </c>
      <c r="D152">
        <f t="shared" si="108"/>
        <v>0.45507883857351317</v>
      </c>
      <c r="F152">
        <f t="shared" si="109"/>
        <v>5.4764608366539656E-3</v>
      </c>
      <c r="G152">
        <f t="shared" si="110"/>
        <v>2.7924399039899683E-2</v>
      </c>
      <c r="H152">
        <f t="shared" si="111"/>
        <v>-3.1136682509601004</v>
      </c>
      <c r="J152">
        <f t="shared" si="112"/>
        <v>15</v>
      </c>
      <c r="M152">
        <f t="shared" si="113"/>
        <v>3.0899672524852234E-2</v>
      </c>
      <c r="N152">
        <f t="shared" si="114"/>
        <v>-1.5707963250000001</v>
      </c>
      <c r="O152">
        <f t="shared" si="115"/>
        <v>9.8081440058282379</v>
      </c>
      <c r="P152">
        <f t="shared" si="116"/>
        <v>1.4686627670190147</v>
      </c>
      <c r="Q152">
        <f t="shared" si="117"/>
        <v>15.20229403436359</v>
      </c>
      <c r="R152">
        <f t="shared" si="118"/>
        <v>1.5049692507191454</v>
      </c>
      <c r="S152">
        <f t="shared" si="119"/>
        <v>0.89822637880508382</v>
      </c>
      <c r="T152">
        <f t="shared" si="120"/>
        <v>-0.45507883857351311</v>
      </c>
      <c r="U152">
        <f t="shared" si="121"/>
        <v>0.95736025565755989</v>
      </c>
      <c r="V152">
        <f t="shared" si="122"/>
        <v>-0.29307426532622005</v>
      </c>
      <c r="X152">
        <f t="shared" si="139"/>
        <v>-8.8176704412262552</v>
      </c>
      <c r="Y152">
        <f t="shared" si="123"/>
        <v>-114.81540365797225</v>
      </c>
      <c r="Z152">
        <f t="shared" si="140"/>
        <v>65.184596342027746</v>
      </c>
      <c r="AC152">
        <v>1</v>
      </c>
      <c r="AD152">
        <f t="shared" si="124"/>
        <v>9.7570327886639987</v>
      </c>
      <c r="AE152">
        <f t="shared" si="125"/>
        <v>-5.4255141815576203E-4</v>
      </c>
      <c r="AF152">
        <f t="shared" si="126"/>
        <v>1.7979334735950001E-3</v>
      </c>
      <c r="AG152">
        <f t="shared" si="141"/>
        <v>4820.044565283386</v>
      </c>
      <c r="AH152">
        <f t="shared" si="142"/>
        <v>-2010.7095549202793</v>
      </c>
      <c r="AJ152">
        <f t="shared" si="127"/>
        <v>18000</v>
      </c>
      <c r="AK152">
        <f t="shared" si="128"/>
        <v>8808.0204809520001</v>
      </c>
      <c r="AL152">
        <v>1</v>
      </c>
      <c r="AM152">
        <f t="shared" si="129"/>
        <v>15.169368606083999</v>
      </c>
      <c r="AN152">
        <f t="shared" si="143"/>
        <v>656.01781561553673</v>
      </c>
      <c r="AO152">
        <f t="shared" si="144"/>
        <v>-1143.3555762781248</v>
      </c>
      <c r="AQ152">
        <f t="shared" si="130"/>
        <v>0.71813285457809695</v>
      </c>
      <c r="AR152">
        <f t="shared" si="131"/>
        <v>-84.739676840215438</v>
      </c>
      <c r="AT152">
        <f t="shared" si="156"/>
        <v>-166925.44554061728</v>
      </c>
      <c r="AU152">
        <f t="shared" si="157"/>
        <v>-409892.97540995321</v>
      </c>
      <c r="AV152">
        <f t="shared" si="145"/>
        <v>-1.9575297784940278</v>
      </c>
      <c r="AW152">
        <f t="shared" si="146"/>
        <v>-90682.686703294632</v>
      </c>
      <c r="AX152">
        <f t="shared" si="147"/>
        <v>-61605.423637453438</v>
      </c>
      <c r="AY152">
        <f t="shared" si="155"/>
        <v>-2.5448595451425859</v>
      </c>
      <c r="BA152">
        <f t="shared" si="132"/>
        <v>4.0370531431884764</v>
      </c>
      <c r="BB152">
        <f t="shared" si="148"/>
        <v>12.121289328764107</v>
      </c>
      <c r="BC152">
        <f t="shared" si="149"/>
        <v>0.58732976664855818</v>
      </c>
      <c r="BD152">
        <f t="shared" si="133"/>
        <v>-146.34848315018166</v>
      </c>
      <c r="BF152">
        <f t="shared" si="134"/>
        <v>-8.6546018669675213</v>
      </c>
      <c r="BG152">
        <f t="shared" si="135"/>
        <v>-118.6744361121564</v>
      </c>
      <c r="BH152">
        <f t="shared" si="150"/>
        <v>61.3255638878436</v>
      </c>
      <c r="BI152">
        <f t="shared" si="151"/>
        <v>61.3255638878436</v>
      </c>
      <c r="BJ152">
        <f t="shared" si="136"/>
        <v>0</v>
      </c>
      <c r="BK152">
        <f t="shared" si="152"/>
        <v>0</v>
      </c>
      <c r="BM152">
        <f t="shared" si="153"/>
        <v>-20.775891195731631</v>
      </c>
      <c r="BN152">
        <f t="shared" si="137"/>
        <v>-152.32595296197476</v>
      </c>
      <c r="BQ152" s="56">
        <f t="shared" si="154"/>
        <v>29.023250129049245</v>
      </c>
      <c r="BR152" s="59"/>
      <c r="BS152" s="59"/>
      <c r="BT152" s="59">
        <v>2630.268</v>
      </c>
      <c r="BU152" s="59">
        <v>7.13504</v>
      </c>
      <c r="BV152" s="59">
        <v>-251.40100000000001</v>
      </c>
      <c r="BW152" s="61"/>
      <c r="BY152" s="59"/>
      <c r="BZ152" s="59"/>
      <c r="CA152" s="59"/>
      <c r="CC152" s="59"/>
    </row>
    <row r="153" spans="1:81" x14ac:dyDescent="0.25">
      <c r="A153">
        <f t="shared" si="106"/>
        <v>59500</v>
      </c>
      <c r="B153">
        <f t="shared" si="138"/>
        <v>59.5</v>
      </c>
      <c r="C153">
        <f t="shared" si="107"/>
        <v>1.1151340125536222</v>
      </c>
      <c r="D153">
        <f t="shared" si="108"/>
        <v>0.45841912226959497</v>
      </c>
      <c r="F153">
        <f t="shared" si="109"/>
        <v>5.3843451182796287E-3</v>
      </c>
      <c r="G153">
        <f t="shared" si="110"/>
        <v>2.768730837157371E-2</v>
      </c>
      <c r="H153">
        <f t="shared" si="111"/>
        <v>-3.1139053416284264</v>
      </c>
      <c r="J153">
        <f t="shared" si="112"/>
        <v>15</v>
      </c>
      <c r="M153">
        <f t="shared" si="113"/>
        <v>3.0640011411198008E-2</v>
      </c>
      <c r="N153">
        <f t="shared" si="114"/>
        <v>-1.5707963250000001</v>
      </c>
      <c r="O153">
        <f t="shared" si="115"/>
        <v>9.8904034286073674</v>
      </c>
      <c r="P153">
        <f t="shared" si="116"/>
        <v>1.4695151503914707</v>
      </c>
      <c r="Q153">
        <f t="shared" si="117"/>
        <v>15.330571913067633</v>
      </c>
      <c r="R153">
        <f t="shared" si="118"/>
        <v>1.5055208428152198</v>
      </c>
      <c r="S153">
        <f t="shared" si="119"/>
        <v>0.89675320521345336</v>
      </c>
      <c r="T153">
        <f t="shared" si="120"/>
        <v>-0.45841912226959486</v>
      </c>
      <c r="U153">
        <f t="shared" si="121"/>
        <v>0.95668096964534988</v>
      </c>
      <c r="V153">
        <f t="shared" si="122"/>
        <v>-0.29541648812344451</v>
      </c>
      <c r="X153">
        <f t="shared" si="139"/>
        <v>-8.8989486163425475</v>
      </c>
      <c r="Y153">
        <f t="shared" si="123"/>
        <v>-114.88274556477982</v>
      </c>
      <c r="Z153">
        <f t="shared" si="140"/>
        <v>65.117254435220175</v>
      </c>
      <c r="AC153">
        <v>1</v>
      </c>
      <c r="AD153">
        <f t="shared" si="124"/>
        <v>9.8397195072119992</v>
      </c>
      <c r="AE153">
        <f t="shared" si="125"/>
        <v>-5.5178617010225126E-4</v>
      </c>
      <c r="AF153">
        <f t="shared" si="126"/>
        <v>1.8131701979474998E-3</v>
      </c>
      <c r="AG153">
        <f t="shared" si="141"/>
        <v>4813.2069568762063</v>
      </c>
      <c r="AH153">
        <f t="shared" si="142"/>
        <v>-2016.2812276435225</v>
      </c>
      <c r="AJ153">
        <f t="shared" si="127"/>
        <v>18000</v>
      </c>
      <c r="AK153">
        <f t="shared" si="128"/>
        <v>8882.6647223160016</v>
      </c>
      <c r="AL153">
        <v>1</v>
      </c>
      <c r="AM153">
        <f t="shared" si="129"/>
        <v>15.297922577322</v>
      </c>
      <c r="AN153">
        <f t="shared" si="143"/>
        <v>654.76173811386104</v>
      </c>
      <c r="AO153">
        <f t="shared" si="144"/>
        <v>-1133.8296539426292</v>
      </c>
      <c r="AQ153">
        <f t="shared" si="130"/>
        <v>0.70611495551475778</v>
      </c>
      <c r="AR153">
        <f t="shared" si="131"/>
        <v>-84.02767970625618</v>
      </c>
      <c r="AT153">
        <f t="shared" si="156"/>
        <v>-166024.75577792895</v>
      </c>
      <c r="AU153">
        <f t="shared" si="157"/>
        <v>-405866.33886168059</v>
      </c>
      <c r="AV153">
        <f t="shared" si="145"/>
        <v>-1.9590908277741199</v>
      </c>
      <c r="AW153">
        <f t="shared" si="146"/>
        <v>-89084.355883104421</v>
      </c>
      <c r="AX153">
        <f t="shared" si="147"/>
        <v>-60992.683494401761</v>
      </c>
      <c r="AY153">
        <f t="shared" si="155"/>
        <v>-2.5412349135183714</v>
      </c>
      <c r="BA153">
        <f t="shared" si="132"/>
        <v>4.0616555036627853</v>
      </c>
      <c r="BB153">
        <f t="shared" si="148"/>
        <v>12.174061703862487</v>
      </c>
      <c r="BC153">
        <f t="shared" si="149"/>
        <v>0.58214408574425147</v>
      </c>
      <c r="BD153">
        <f t="shared" si="133"/>
        <v>-146.64560078023953</v>
      </c>
      <c r="BF153">
        <f t="shared" si="134"/>
        <v>-8.7349140892565345</v>
      </c>
      <c r="BG153">
        <f t="shared" si="135"/>
        <v>-118.79375387850629</v>
      </c>
      <c r="BH153">
        <f t="shared" si="150"/>
        <v>61.206246121493706</v>
      </c>
      <c r="BI153">
        <f t="shared" si="151"/>
        <v>61.206246121493706</v>
      </c>
      <c r="BJ153">
        <f t="shared" si="136"/>
        <v>0</v>
      </c>
      <c r="BK153">
        <f t="shared" si="152"/>
        <v>0</v>
      </c>
      <c r="BM153">
        <f t="shared" si="153"/>
        <v>-20.908975793119026</v>
      </c>
      <c r="BN153">
        <f t="shared" si="137"/>
        <v>-152.14815309826676</v>
      </c>
      <c r="BQ153" s="56">
        <f t="shared" si="154"/>
        <v>29.076022504147623</v>
      </c>
      <c r="BR153" s="59"/>
      <c r="BS153" s="59"/>
      <c r="BT153" s="59">
        <v>2691.5349999999999</v>
      </c>
      <c r="BU153" s="59">
        <v>6.8809300000000002</v>
      </c>
      <c r="BV153" s="59">
        <v>-251.244</v>
      </c>
      <c r="BW153" s="61"/>
      <c r="BY153" s="59"/>
      <c r="BZ153" s="59"/>
      <c r="CA153" s="59"/>
      <c r="CC153" s="59"/>
    </row>
    <row r="154" spans="1:81" x14ac:dyDescent="0.25">
      <c r="A154">
        <f t="shared" si="106"/>
        <v>60000</v>
      </c>
      <c r="B154">
        <f t="shared" si="138"/>
        <v>60</v>
      </c>
      <c r="C154">
        <f t="shared" si="107"/>
        <v>1.1169753358225376</v>
      </c>
      <c r="D154">
        <f t="shared" si="108"/>
        <v>0.46174843015861505</v>
      </c>
      <c r="F154">
        <f t="shared" si="109"/>
        <v>5.2945378678527309E-3</v>
      </c>
      <c r="G154">
        <f t="shared" si="110"/>
        <v>2.7454229639884153E-2</v>
      </c>
      <c r="H154">
        <f t="shared" si="111"/>
        <v>-3.1141384203601161</v>
      </c>
      <c r="J154">
        <f t="shared" si="112"/>
        <v>15</v>
      </c>
      <c r="M154">
        <f t="shared" si="113"/>
        <v>3.0384677982771356E-2</v>
      </c>
      <c r="N154">
        <f t="shared" si="114"/>
        <v>-1.5707963250000001</v>
      </c>
      <c r="O154">
        <f t="shared" si="115"/>
        <v>9.9726699187830761</v>
      </c>
      <c r="P154">
        <f t="shared" si="116"/>
        <v>1.4703534714128401</v>
      </c>
      <c r="Q154">
        <f t="shared" si="117"/>
        <v>15.45885437874591</v>
      </c>
      <c r="R154">
        <f t="shared" si="118"/>
        <v>1.5060632805025225</v>
      </c>
      <c r="S154">
        <f t="shared" si="119"/>
        <v>0.89527491604244125</v>
      </c>
      <c r="T154">
        <f t="shared" si="120"/>
        <v>-0.46174843015861494</v>
      </c>
      <c r="U154">
        <f t="shared" si="121"/>
        <v>0.95599741346993583</v>
      </c>
      <c r="V154">
        <f t="shared" si="122"/>
        <v>-0.29775537666290464</v>
      </c>
      <c r="X154">
        <f t="shared" si="139"/>
        <v>-8.979611517543951</v>
      </c>
      <c r="Y154">
        <f t="shared" si="123"/>
        <v>-114.95099678800766</v>
      </c>
      <c r="Z154">
        <f t="shared" si="140"/>
        <v>65.049003211992343</v>
      </c>
      <c r="AC154">
        <v>1</v>
      </c>
      <c r="AD154">
        <f t="shared" si="124"/>
        <v>9.9224062257599996</v>
      </c>
      <c r="AE154">
        <f t="shared" si="125"/>
        <v>-5.6109885244491338E-4</v>
      </c>
      <c r="AF154">
        <f t="shared" si="126"/>
        <v>1.8284069222999999E-3</v>
      </c>
      <c r="AG154">
        <f t="shared" si="141"/>
        <v>4806.3312646801842</v>
      </c>
      <c r="AH154">
        <f t="shared" si="142"/>
        <v>-2021.8841396814596</v>
      </c>
      <c r="AJ154">
        <f t="shared" si="127"/>
        <v>18000</v>
      </c>
      <c r="AK154">
        <f t="shared" si="128"/>
        <v>8957.3089636799996</v>
      </c>
      <c r="AL154">
        <v>1</v>
      </c>
      <c r="AM154">
        <f t="shared" si="129"/>
        <v>15.426476548559998</v>
      </c>
      <c r="AN154">
        <f t="shared" si="143"/>
        <v>653.53675631552665</v>
      </c>
      <c r="AO154">
        <f t="shared" si="144"/>
        <v>-1124.4604812434436</v>
      </c>
      <c r="AQ154">
        <f t="shared" si="130"/>
        <v>0.69439622248454969</v>
      </c>
      <c r="AR154">
        <f t="shared" si="131"/>
        <v>-83.327546698145966</v>
      </c>
      <c r="AT154">
        <f t="shared" si="156"/>
        <v>-165141.1467933442</v>
      </c>
      <c r="AU154">
        <f t="shared" si="157"/>
        <v>-401903.78161329322</v>
      </c>
      <c r="AV154">
        <f t="shared" si="145"/>
        <v>-1.9606614183997217</v>
      </c>
      <c r="AW154">
        <f t="shared" si="146"/>
        <v>-87525.781165292487</v>
      </c>
      <c r="AX154">
        <f t="shared" si="147"/>
        <v>-60393.210328070461</v>
      </c>
      <c r="AY154">
        <f t="shared" si="155"/>
        <v>-2.5376064142416874</v>
      </c>
      <c r="BA154">
        <f t="shared" si="132"/>
        <v>4.0860541435575213</v>
      </c>
      <c r="BB154">
        <f t="shared" si="148"/>
        <v>12.226082341829066</v>
      </c>
      <c r="BC154">
        <f t="shared" si="149"/>
        <v>0.57694499584196568</v>
      </c>
      <c r="BD154">
        <f t="shared" si="133"/>
        <v>-146.94348668928995</v>
      </c>
      <c r="BF154">
        <f t="shared" si="134"/>
        <v>-8.8146596309748162</v>
      </c>
      <c r="BG154">
        <f t="shared" si="135"/>
        <v>-118.91423892423363</v>
      </c>
      <c r="BH154">
        <f t="shared" si="150"/>
        <v>61.085761075766371</v>
      </c>
      <c r="BI154">
        <f t="shared" si="151"/>
        <v>61.085761075766371</v>
      </c>
      <c r="BJ154">
        <f t="shared" si="136"/>
        <v>0</v>
      </c>
      <c r="BK154">
        <f t="shared" si="152"/>
        <v>0</v>
      </c>
      <c r="BM154">
        <f t="shared" si="153"/>
        <v>-21.040741972803882</v>
      </c>
      <c r="BN154">
        <f t="shared" si="137"/>
        <v>-151.97075223494369</v>
      </c>
      <c r="BQ154" s="56">
        <f t="shared" si="154"/>
        <v>29.128043142114201</v>
      </c>
      <c r="BR154" s="59"/>
      <c r="BS154" s="59"/>
      <c r="BT154" s="59">
        <v>2754.2289999999998</v>
      </c>
      <c r="BU154" s="59">
        <v>6.7009400000000001</v>
      </c>
      <c r="BV154" s="59">
        <v>-251.05099999999999</v>
      </c>
      <c r="BW154" s="61"/>
      <c r="BY154" s="59"/>
      <c r="BZ154" s="59"/>
      <c r="CA154" s="59"/>
      <c r="CC154" s="59"/>
    </row>
    <row r="155" spans="1:81" x14ac:dyDescent="0.25">
      <c r="A155">
        <f t="shared" si="106"/>
        <v>60500</v>
      </c>
      <c r="B155">
        <f t="shared" si="138"/>
        <v>60.5</v>
      </c>
      <c r="C155">
        <f t="shared" si="107"/>
        <v>1.1188289991393401</v>
      </c>
      <c r="D155">
        <f t="shared" si="108"/>
        <v>0.46506674280776694</v>
      </c>
      <c r="F155">
        <f t="shared" si="109"/>
        <v>5.2069624681618347E-3</v>
      </c>
      <c r="G155">
        <f t="shared" si="110"/>
        <v>2.7225061386810124E-2</v>
      </c>
      <c r="H155">
        <f t="shared" si="111"/>
        <v>-3.1143675886131903</v>
      </c>
      <c r="J155">
        <f t="shared" si="112"/>
        <v>15</v>
      </c>
      <c r="M155">
        <f t="shared" si="113"/>
        <v>3.0133564941591431E-2</v>
      </c>
      <c r="N155">
        <f t="shared" si="114"/>
        <v>-1.5707963250000001</v>
      </c>
      <c r="O155">
        <f t="shared" si="115"/>
        <v>10.054943302885487</v>
      </c>
      <c r="P155">
        <f t="shared" si="116"/>
        <v>1.4711780740806764</v>
      </c>
      <c r="Q155">
        <f t="shared" si="117"/>
        <v>15.587141318145775</v>
      </c>
      <c r="R155">
        <f t="shared" si="118"/>
        <v>1.5065967894885837</v>
      </c>
      <c r="S155">
        <f t="shared" si="119"/>
        <v>0.89379163461909783</v>
      </c>
      <c r="T155">
        <f t="shared" si="120"/>
        <v>-0.46506674280776689</v>
      </c>
      <c r="U155">
        <f t="shared" si="121"/>
        <v>0.95530961868957076</v>
      </c>
      <c r="V155">
        <f t="shared" si="122"/>
        <v>-0.30009091252475129</v>
      </c>
      <c r="X155">
        <f t="shared" si="139"/>
        <v>-9.059670607879756</v>
      </c>
      <c r="Y155">
        <f t="shared" si="123"/>
        <v>-115.02012944369557</v>
      </c>
      <c r="Z155">
        <f t="shared" si="140"/>
        <v>64.979870556304434</v>
      </c>
      <c r="AC155">
        <v>1</v>
      </c>
      <c r="AD155">
        <f t="shared" si="124"/>
        <v>10.005092944308</v>
      </c>
      <c r="AE155">
        <f t="shared" si="125"/>
        <v>-5.7048946518374838E-4</v>
      </c>
      <c r="AF155">
        <f t="shared" si="126"/>
        <v>1.8436436466525001E-3</v>
      </c>
      <c r="AG155">
        <f t="shared" si="141"/>
        <v>4799.4178978910759</v>
      </c>
      <c r="AH155">
        <f t="shared" si="142"/>
        <v>-2027.5161941128372</v>
      </c>
      <c r="AJ155">
        <f t="shared" si="127"/>
        <v>18000</v>
      </c>
      <c r="AK155">
        <f t="shared" si="128"/>
        <v>9031.9532050440012</v>
      </c>
      <c r="AL155">
        <v>1</v>
      </c>
      <c r="AM155">
        <f t="shared" si="129"/>
        <v>15.555030519797999</v>
      </c>
      <c r="AN155">
        <f t="shared" si="143"/>
        <v>652.34185360875415</v>
      </c>
      <c r="AO155">
        <f t="shared" si="144"/>
        <v>-1115.2442371817685</v>
      </c>
      <c r="AQ155">
        <f t="shared" si="130"/>
        <v>0.68296680781314023</v>
      </c>
      <c r="AR155">
        <f t="shared" si="131"/>
        <v>-82.638983745389979</v>
      </c>
      <c r="AT155">
        <f t="shared" si="156"/>
        <v>-164274.03468772178</v>
      </c>
      <c r="AU155">
        <f t="shared" si="157"/>
        <v>-398003.74391403707</v>
      </c>
      <c r="AV155">
        <f t="shared" si="145"/>
        <v>-1.9622412173742168</v>
      </c>
      <c r="AW155">
        <f t="shared" si="146"/>
        <v>-86005.665075211</v>
      </c>
      <c r="AX155">
        <f t="shared" si="147"/>
        <v>-59806.579060982389</v>
      </c>
      <c r="AY155">
        <f t="shared" si="155"/>
        <v>-2.5339744108864379</v>
      </c>
      <c r="BA155">
        <f t="shared" si="132"/>
        <v>4.1102481980882182</v>
      </c>
      <c r="BB155">
        <f t="shared" si="148"/>
        <v>12.277360952390364</v>
      </c>
      <c r="BC155">
        <f t="shared" si="149"/>
        <v>0.57173319351222118</v>
      </c>
      <c r="BD155">
        <f t="shared" si="133"/>
        <v>-147.242100966782</v>
      </c>
      <c r="BF155">
        <f t="shared" si="134"/>
        <v>-8.8938506326216782</v>
      </c>
      <c r="BG155">
        <f t="shared" si="135"/>
        <v>-119.03585826532166</v>
      </c>
      <c r="BH155">
        <f t="shared" si="150"/>
        <v>60.964141734678336</v>
      </c>
      <c r="BI155">
        <f t="shared" si="151"/>
        <v>60.964141734678336</v>
      </c>
      <c r="BJ155">
        <f t="shared" si="136"/>
        <v>0</v>
      </c>
      <c r="BK155">
        <f t="shared" si="152"/>
        <v>0</v>
      </c>
      <c r="BM155">
        <f t="shared" si="153"/>
        <v>-21.171211585012042</v>
      </c>
      <c r="BN155">
        <f t="shared" si="137"/>
        <v>-151.7937572985397</v>
      </c>
      <c r="BQ155" s="56">
        <f t="shared" si="154"/>
        <v>29.179321752675499</v>
      </c>
      <c r="BR155" s="59"/>
      <c r="BS155" s="59"/>
      <c r="BT155" s="59">
        <v>2818.3829999999998</v>
      </c>
      <c r="BU155" s="59">
        <v>6.5356199999999998</v>
      </c>
      <c r="BV155" s="59">
        <v>-250.48</v>
      </c>
      <c r="BW155" s="61"/>
      <c r="BY155" s="59"/>
      <c r="BZ155" s="59"/>
      <c r="CA155" s="59"/>
      <c r="CC155" s="59"/>
    </row>
    <row r="156" spans="1:81" x14ac:dyDescent="0.25">
      <c r="A156">
        <f t="shared" si="106"/>
        <v>61000</v>
      </c>
      <c r="B156">
        <f t="shared" si="138"/>
        <v>61</v>
      </c>
      <c r="C156">
        <f t="shared" si="107"/>
        <v>1.1206949412715945</v>
      </c>
      <c r="D156">
        <f t="shared" si="108"/>
        <v>0.46837404188093584</v>
      </c>
      <c r="F156">
        <f t="shared" si="109"/>
        <v>5.1215454593246503E-3</v>
      </c>
      <c r="G156">
        <f t="shared" si="110"/>
        <v>2.6999705562077043E-2</v>
      </c>
      <c r="H156">
        <f t="shared" si="111"/>
        <v>-3.114592944437923</v>
      </c>
      <c r="J156">
        <f t="shared" si="112"/>
        <v>15</v>
      </c>
      <c r="M156">
        <f t="shared" si="113"/>
        <v>2.988656850764396E-2</v>
      </c>
      <c r="N156">
        <f t="shared" si="114"/>
        <v>-1.5707963250000001</v>
      </c>
      <c r="O156">
        <f t="shared" si="115"/>
        <v>10.137223413061937</v>
      </c>
      <c r="P156">
        <f t="shared" si="116"/>
        <v>1.4719892913001638</v>
      </c>
      <c r="Q156">
        <f t="shared" si="117"/>
        <v>15.715432621708667</v>
      </c>
      <c r="R156">
        <f t="shared" si="118"/>
        <v>1.5071215881314926</v>
      </c>
      <c r="S156">
        <f t="shared" si="119"/>
        <v>0.89230348346656385</v>
      </c>
      <c r="T156">
        <f t="shared" si="120"/>
        <v>-0.46837404188093573</v>
      </c>
      <c r="U156">
        <f t="shared" si="121"/>
        <v>0.95461761693189573</v>
      </c>
      <c r="V156">
        <f t="shared" si="122"/>
        <v>-0.30242307748820646</v>
      </c>
      <c r="X156">
        <f t="shared" si="139"/>
        <v>-9.1391370381198698</v>
      </c>
      <c r="Y156">
        <f t="shared" si="123"/>
        <v>-115.09011652067785</v>
      </c>
      <c r="Z156">
        <f t="shared" si="140"/>
        <v>64.909883479322147</v>
      </c>
      <c r="AC156">
        <v>1</v>
      </c>
      <c r="AD156">
        <f t="shared" si="124"/>
        <v>10.087779662855999</v>
      </c>
      <c r="AE156">
        <f t="shared" si="125"/>
        <v>-5.7995800831875627E-4</v>
      </c>
      <c r="AF156">
        <f t="shared" si="126"/>
        <v>1.8588803710049998E-3</v>
      </c>
      <c r="AG156">
        <f t="shared" si="141"/>
        <v>4792.4672660578553</v>
      </c>
      <c r="AH156">
        <f t="shared" si="142"/>
        <v>-2033.1753616357832</v>
      </c>
      <c r="AJ156">
        <f t="shared" si="127"/>
        <v>18000</v>
      </c>
      <c r="AK156">
        <f t="shared" si="128"/>
        <v>9106.5974464079991</v>
      </c>
      <c r="AL156">
        <v>1</v>
      </c>
      <c r="AM156">
        <f t="shared" si="129"/>
        <v>15.683584491035997</v>
      </c>
      <c r="AN156">
        <f t="shared" si="143"/>
        <v>651.17605453387898</v>
      </c>
      <c r="AO156">
        <f t="shared" si="144"/>
        <v>-1106.1772234135567</v>
      </c>
      <c r="AQ156">
        <f t="shared" si="130"/>
        <v>0.67181726570372857</v>
      </c>
      <c r="AR156">
        <f t="shared" si="131"/>
        <v>-81.961706415854891</v>
      </c>
      <c r="AT156">
        <f t="shared" si="156"/>
        <v>-163422.85982768403</v>
      </c>
      <c r="AU156">
        <f t="shared" si="157"/>
        <v>-394164.71738037904</v>
      </c>
      <c r="AV156">
        <f t="shared" si="145"/>
        <v>-1.9638299020279231</v>
      </c>
      <c r="AW156">
        <f t="shared" si="146"/>
        <v>-84522.762574713925</v>
      </c>
      <c r="AX156">
        <f t="shared" si="147"/>
        <v>-59232.382354163186</v>
      </c>
      <c r="AY156">
        <f t="shared" si="155"/>
        <v>-2.5303392588018121</v>
      </c>
      <c r="BA156">
        <f t="shared" si="132"/>
        <v>4.1342368357168295</v>
      </c>
      <c r="BB156">
        <f t="shared" si="148"/>
        <v>12.327907043787365</v>
      </c>
      <c r="BC156">
        <f t="shared" si="149"/>
        <v>0.56650935677388903</v>
      </c>
      <c r="BD156">
        <f t="shared" si="133"/>
        <v>-147.54140476509582</v>
      </c>
      <c r="BF156">
        <f t="shared" si="134"/>
        <v>-8.9724989055727029</v>
      </c>
      <c r="BG156">
        <f t="shared" si="135"/>
        <v>-119.1585797225995</v>
      </c>
      <c r="BH156">
        <f t="shared" si="150"/>
        <v>60.841420277400502</v>
      </c>
      <c r="BI156">
        <f t="shared" si="151"/>
        <v>60.841420277400502</v>
      </c>
      <c r="BJ156">
        <f t="shared" si="136"/>
        <v>0</v>
      </c>
      <c r="BK156">
        <f t="shared" si="152"/>
        <v>0</v>
      </c>
      <c r="BM156">
        <f t="shared" si="153"/>
        <v>-21.300405949360069</v>
      </c>
      <c r="BN156">
        <f t="shared" si="137"/>
        <v>-151.61717495750369</v>
      </c>
      <c r="BQ156" s="56">
        <f t="shared" si="154"/>
        <v>29.229867844072501</v>
      </c>
      <c r="BR156" s="59"/>
      <c r="BS156" s="59"/>
      <c r="BT156" s="59">
        <v>2884.0320000000002</v>
      </c>
      <c r="BU156" s="59">
        <v>6.3265200000000004</v>
      </c>
      <c r="BV156" s="59">
        <v>-250.202</v>
      </c>
      <c r="BW156" s="61"/>
      <c r="BY156" s="59"/>
      <c r="BZ156" s="59"/>
      <c r="CA156" s="59"/>
      <c r="CC156" s="59"/>
    </row>
    <row r="157" spans="1:81" x14ac:dyDescent="0.25">
      <c r="A157">
        <f t="shared" si="106"/>
        <v>61500</v>
      </c>
      <c r="B157">
        <f t="shared" si="138"/>
        <v>61.5</v>
      </c>
      <c r="C157">
        <f t="shared" si="107"/>
        <v>1.1225731009897246</v>
      </c>
      <c r="D157">
        <f t="shared" si="108"/>
        <v>0.47167031012725513</v>
      </c>
      <c r="F157">
        <f t="shared" si="109"/>
        <v>5.0382163836986977E-3</v>
      </c>
      <c r="G157">
        <f t="shared" si="110"/>
        <v>2.6778067380672708E-2</v>
      </c>
      <c r="H157">
        <f t="shared" si="111"/>
        <v>-3.1148145826193274</v>
      </c>
      <c r="J157">
        <f t="shared" si="112"/>
        <v>15</v>
      </c>
      <c r="M157">
        <f t="shared" si="113"/>
        <v>2.9643588275874499E-2</v>
      </c>
      <c r="N157">
        <f t="shared" si="114"/>
        <v>-1.5707963250000001</v>
      </c>
      <c r="O157">
        <f t="shared" si="115"/>
        <v>10.219510086851962</v>
      </c>
      <c r="P157">
        <f t="shared" si="116"/>
        <v>1.4727874453261758</v>
      </c>
      <c r="Q157">
        <f t="shared" si="117"/>
        <v>15.84372818342087</v>
      </c>
      <c r="R157">
        <f t="shared" si="118"/>
        <v>1.5076378877362215</v>
      </c>
      <c r="S157">
        <f t="shared" si="119"/>
        <v>0.89081058428920379</v>
      </c>
      <c r="T157">
        <f t="shared" si="120"/>
        <v>-0.47167031012725502</v>
      </c>
      <c r="U157">
        <f t="shared" si="121"/>
        <v>0.95392143989047928</v>
      </c>
      <c r="V157">
        <f t="shared" si="122"/>
        <v>-0.30475185353172224</v>
      </c>
      <c r="X157">
        <f t="shared" si="139"/>
        <v>-9.2180216578961502</v>
      </c>
      <c r="Y157">
        <f t="shared" si="123"/>
        <v>-115.16093184644976</v>
      </c>
      <c r="Z157">
        <f t="shared" si="140"/>
        <v>64.839068153550244</v>
      </c>
      <c r="AC157">
        <v>1</v>
      </c>
      <c r="AD157">
        <f t="shared" si="124"/>
        <v>10.170466381403999</v>
      </c>
      <c r="AE157">
        <f t="shared" si="125"/>
        <v>-5.8950448184993715E-4</v>
      </c>
      <c r="AF157">
        <f t="shared" si="126"/>
        <v>1.8741170953574999E-3</v>
      </c>
      <c r="AG157">
        <f t="shared" si="141"/>
        <v>4785.4797790314387</v>
      </c>
      <c r="AH157">
        <f t="shared" si="142"/>
        <v>-2038.8596779820675</v>
      </c>
      <c r="AJ157">
        <f t="shared" si="127"/>
        <v>18000</v>
      </c>
      <c r="AK157">
        <f t="shared" si="128"/>
        <v>9181.2416877720007</v>
      </c>
      <c r="AL157">
        <v>1</v>
      </c>
      <c r="AM157">
        <f t="shared" si="129"/>
        <v>15.812138462274</v>
      </c>
      <c r="AN157">
        <f t="shared" si="143"/>
        <v>650.03842280309743</v>
      </c>
      <c r="AO157">
        <f t="shared" si="144"/>
        <v>-1097.2558593887838</v>
      </c>
      <c r="AQ157">
        <f t="shared" si="130"/>
        <v>0.66093853271645742</v>
      </c>
      <c r="AR157">
        <f t="shared" si="131"/>
        <v>-81.295439524124262</v>
      </c>
      <c r="AT157">
        <f t="shared" si="156"/>
        <v>-162587.08566606932</v>
      </c>
      <c r="AU157">
        <f t="shared" si="157"/>
        <v>-390385.24289415008</v>
      </c>
      <c r="AV157">
        <f t="shared" si="145"/>
        <v>-1.9654271596153956</v>
      </c>
      <c r="AW157">
        <f t="shared" si="146"/>
        <v>-83075.878542675011</v>
      </c>
      <c r="AX157">
        <f t="shared" si="147"/>
        <v>-58670.229704766738</v>
      </c>
      <c r="AY157">
        <f t="shared" si="155"/>
        <v>-2.5267013054129039</v>
      </c>
      <c r="BA157">
        <f t="shared" si="132"/>
        <v>4.1580192581565356</v>
      </c>
      <c r="BB157">
        <f t="shared" si="148"/>
        <v>12.377729929306538</v>
      </c>
      <c r="BC157">
        <f t="shared" si="149"/>
        <v>0.56127414579750834</v>
      </c>
      <c r="BD157">
        <f t="shared" si="133"/>
        <v>-147.84136025924573</v>
      </c>
      <c r="BF157">
        <f t="shared" si="134"/>
        <v>-9.050615943085635</v>
      </c>
      <c r="BG157">
        <f t="shared" si="135"/>
        <v>-119.28237189026447</v>
      </c>
      <c r="BH157">
        <f t="shared" si="150"/>
        <v>60.717628109735529</v>
      </c>
      <c r="BI157">
        <f t="shared" si="151"/>
        <v>60.717628109735529</v>
      </c>
      <c r="BJ157">
        <f t="shared" si="136"/>
        <v>0</v>
      </c>
      <c r="BK157">
        <f t="shared" si="152"/>
        <v>0</v>
      </c>
      <c r="BM157">
        <f t="shared" si="153"/>
        <v>-21.428345872392175</v>
      </c>
      <c r="BN157">
        <f t="shared" si="137"/>
        <v>-151.44101163101874</v>
      </c>
      <c r="BQ157" s="56">
        <f t="shared" si="154"/>
        <v>29.279690729591671</v>
      </c>
      <c r="BR157" s="59"/>
      <c r="BS157" s="59"/>
      <c r="BT157" s="59">
        <v>2951.2089999999998</v>
      </c>
      <c r="BU157" s="59">
        <v>6.1830800000000004</v>
      </c>
      <c r="BV157" s="59">
        <v>-249.92599999999999</v>
      </c>
      <c r="BW157" s="61"/>
      <c r="BY157" s="59"/>
      <c r="BZ157" s="59"/>
      <c r="CA157" s="59"/>
      <c r="CC157" s="59"/>
    </row>
    <row r="158" spans="1:81" x14ac:dyDescent="0.25">
      <c r="A158">
        <f t="shared" si="106"/>
        <v>62000</v>
      </c>
      <c r="B158">
        <f t="shared" si="138"/>
        <v>62</v>
      </c>
      <c r="C158">
        <f t="shared" si="107"/>
        <v>1.1244634170736585</v>
      </c>
      <c r="D158">
        <f t="shared" si="108"/>
        <v>0.47495553136955582</v>
      </c>
      <c r="F158">
        <f t="shared" si="109"/>
        <v>4.9569076396203974E-3</v>
      </c>
      <c r="G158">
        <f t="shared" si="110"/>
        <v>2.6560055187481134E-2</v>
      </c>
      <c r="H158">
        <f t="shared" si="111"/>
        <v>-3.115032594812519</v>
      </c>
      <c r="J158">
        <f t="shared" si="112"/>
        <v>15</v>
      </c>
      <c r="M158">
        <f t="shared" si="113"/>
        <v>2.9404527080101314E-2</v>
      </c>
      <c r="N158">
        <f t="shared" si="114"/>
        <v>-1.5707963250000001</v>
      </c>
      <c r="O158">
        <f t="shared" si="115"/>
        <v>10.30180316697302</v>
      </c>
      <c r="P158">
        <f t="shared" si="116"/>
        <v>1.4735728481844277</v>
      </c>
      <c r="Q158">
        <f t="shared" si="117"/>
        <v>15.972027900671433</v>
      </c>
      <c r="R158">
        <f t="shared" si="118"/>
        <v>1.5081458928367446</v>
      </c>
      <c r="S158">
        <f t="shared" si="119"/>
        <v>0.88931305795828708</v>
      </c>
      <c r="T158">
        <f t="shared" si="120"/>
        <v>-0.47495553136955565</v>
      </c>
      <c r="U158">
        <f t="shared" si="121"/>
        <v>0.95322111932137454</v>
      </c>
      <c r="V158">
        <f t="shared" si="122"/>
        <v>-0.30707722283311573</v>
      </c>
      <c r="X158">
        <f t="shared" si="139"/>
        <v>-9.2963350263482152</v>
      </c>
      <c r="Y158">
        <f t="shared" si="123"/>
        <v>-115.23255005463653</v>
      </c>
      <c r="Z158">
        <f t="shared" si="140"/>
        <v>64.767449945363467</v>
      </c>
      <c r="AC158">
        <v>1</v>
      </c>
      <c r="AD158">
        <f t="shared" si="124"/>
        <v>10.253153099952</v>
      </c>
      <c r="AE158">
        <f t="shared" si="125"/>
        <v>-5.9912888577729102E-4</v>
      </c>
      <c r="AF158">
        <f t="shared" si="126"/>
        <v>1.88935381971E-3</v>
      </c>
      <c r="AG158">
        <f t="shared" si="141"/>
        <v>4778.4558469137928</v>
      </c>
      <c r="AH158">
        <f t="shared" si="142"/>
        <v>-2044.5672414552646</v>
      </c>
      <c r="AJ158">
        <f t="shared" si="127"/>
        <v>18000</v>
      </c>
      <c r="AK158">
        <f t="shared" si="128"/>
        <v>9255.8859291360004</v>
      </c>
      <c r="AL158">
        <v>1</v>
      </c>
      <c r="AM158">
        <f t="shared" si="129"/>
        <v>15.940692433512</v>
      </c>
      <c r="AN158">
        <f t="shared" si="143"/>
        <v>648.92805943035</v>
      </c>
      <c r="AO158">
        <f t="shared" si="144"/>
        <v>-1088.4766777190068</v>
      </c>
      <c r="AQ158">
        <f t="shared" si="130"/>
        <v>0.65032190934512579</v>
      </c>
      <c r="AR158">
        <f t="shared" si="131"/>
        <v>-80.639916758795607</v>
      </c>
      <c r="AT158">
        <f t="shared" si="156"/>
        <v>-161766.19762862654</v>
      </c>
      <c r="AU158">
        <f t="shared" si="157"/>
        <v>-386663.9086029561</v>
      </c>
      <c r="AV158">
        <f t="shared" si="145"/>
        <v>-1.9670326869317143</v>
      </c>
      <c r="AW158">
        <f t="shared" si="146"/>
        <v>-81663.865395401575</v>
      </c>
      <c r="AX158">
        <f t="shared" si="147"/>
        <v>-58119.746597372367</v>
      </c>
      <c r="AY158">
        <f t="shared" si="155"/>
        <v>-2.5230608905052261</v>
      </c>
      <c r="BA158">
        <f t="shared" si="132"/>
        <v>4.1815947003723082</v>
      </c>
      <c r="BB158">
        <f t="shared" si="148"/>
        <v>12.426838733564873</v>
      </c>
      <c r="BC158">
        <f t="shared" si="149"/>
        <v>0.55602820357351179</v>
      </c>
      <c r="BD158">
        <f t="shared" si="133"/>
        <v>-148.14193060859367</v>
      </c>
      <c r="BF158">
        <f t="shared" si="134"/>
        <v>-9.1282129308207818</v>
      </c>
      <c r="BG158">
        <f t="shared" si="135"/>
        <v>-119.4072041060133</v>
      </c>
      <c r="BH158">
        <f t="shared" si="150"/>
        <v>60.592795893986704</v>
      </c>
      <c r="BI158">
        <f t="shared" si="151"/>
        <v>60.592795893986704</v>
      </c>
      <c r="BJ158">
        <f t="shared" si="136"/>
        <v>0</v>
      </c>
      <c r="BK158">
        <f t="shared" si="152"/>
        <v>0</v>
      </c>
      <c r="BM158">
        <f t="shared" si="153"/>
        <v>-21.555051664385655</v>
      </c>
      <c r="BN158">
        <f t="shared" si="137"/>
        <v>-151.26527349741966</v>
      </c>
      <c r="BQ158" s="56">
        <f t="shared" si="154"/>
        <v>29.32879953385001</v>
      </c>
      <c r="BR158" s="59"/>
      <c r="BS158" s="59"/>
      <c r="BT158" s="59">
        <v>3019.9520000000002</v>
      </c>
      <c r="BU158" s="59">
        <v>6.0130600000000003</v>
      </c>
      <c r="BV158" s="59">
        <v>-249.65100000000001</v>
      </c>
      <c r="BW158" s="61"/>
      <c r="BY158" s="59"/>
      <c r="BZ158" s="59"/>
      <c r="CA158" s="59"/>
      <c r="CC158" s="59"/>
    </row>
    <row r="159" spans="1:81" x14ac:dyDescent="0.25">
      <c r="A159">
        <f t="shared" si="106"/>
        <v>62500</v>
      </c>
      <c r="B159">
        <f t="shared" si="138"/>
        <v>62.5</v>
      </c>
      <c r="C159">
        <f t="shared" si="107"/>
        <v>1.1263658283193738</v>
      </c>
      <c r="D159">
        <f t="shared" si="108"/>
        <v>0.47822969049271558</v>
      </c>
      <c r="F159">
        <f t="shared" si="109"/>
        <v>4.8775543434020647E-3</v>
      </c>
      <c r="G159">
        <f t="shared" si="110"/>
        <v>2.6345580328621197E-2</v>
      </c>
      <c r="H159">
        <f t="shared" si="111"/>
        <v>-3.115247069671379</v>
      </c>
      <c r="J159">
        <f t="shared" si="112"/>
        <v>15</v>
      </c>
      <c r="M159">
        <f t="shared" si="113"/>
        <v>2.9169290863460502E-2</v>
      </c>
      <c r="N159">
        <f t="shared" si="114"/>
        <v>-1.5707963250000001</v>
      </c>
      <c r="O159">
        <f t="shared" si="115"/>
        <v>10.384102501116315</v>
      </c>
      <c r="P159">
        <f t="shared" si="116"/>
        <v>1.4743458020728675</v>
      </c>
      <c r="Q159">
        <f t="shared" si="117"/>
        <v>16.100331674116866</v>
      </c>
      <c r="R159">
        <f t="shared" si="118"/>
        <v>1.5086458014647437</v>
      </c>
      <c r="S159">
        <f t="shared" si="119"/>
        <v>0.88781102449821181</v>
      </c>
      <c r="T159">
        <f t="shared" si="120"/>
        <v>-0.47822969049271552</v>
      </c>
      <c r="U159">
        <f t="shared" si="121"/>
        <v>0.95251668703969494</v>
      </c>
      <c r="V159">
        <f t="shared" si="122"/>
        <v>-0.30939916776967846</v>
      </c>
      <c r="X159">
        <f t="shared" si="139"/>
        <v>-9.3740874222999366</v>
      </c>
      <c r="Y159">
        <f t="shared" si="123"/>
        <v>-115.30494655397808</v>
      </c>
      <c r="Z159">
        <f t="shared" si="140"/>
        <v>64.695053446021916</v>
      </c>
      <c r="AC159">
        <v>1</v>
      </c>
      <c r="AD159">
        <f t="shared" si="124"/>
        <v>10.3358398185</v>
      </c>
      <c r="AE159">
        <f t="shared" si="125"/>
        <v>-6.0883122010081756E-4</v>
      </c>
      <c r="AF159">
        <f t="shared" si="126"/>
        <v>1.9045905440624998E-3</v>
      </c>
      <c r="AG159">
        <f t="shared" si="141"/>
        <v>4771.3958800074442</v>
      </c>
      <c r="AH159">
        <f t="shared" si="142"/>
        <v>-2050.2962105858296</v>
      </c>
      <c r="AJ159">
        <f t="shared" si="127"/>
        <v>18000</v>
      </c>
      <c r="AK159">
        <f t="shared" si="128"/>
        <v>9330.5301705000002</v>
      </c>
      <c r="AL159">
        <v>1</v>
      </c>
      <c r="AM159">
        <f t="shared" si="129"/>
        <v>16.06924640475</v>
      </c>
      <c r="AN159">
        <f t="shared" si="143"/>
        <v>647.8441009644107</v>
      </c>
      <c r="AO159">
        <f t="shared" si="144"/>
        <v>-1079.8363197608548</v>
      </c>
      <c r="AQ159">
        <f t="shared" si="130"/>
        <v>0.63995904262127223</v>
      </c>
      <c r="AR159">
        <f t="shared" si="131"/>
        <v>-79.994880327659033</v>
      </c>
      <c r="AT159">
        <f t="shared" si="156"/>
        <v>-160959.7020627296</v>
      </c>
      <c r="AU159">
        <f t="shared" si="157"/>
        <v>-382999.34801709739</v>
      </c>
      <c r="AV159">
        <f t="shared" si="145"/>
        <v>-1.9686461899467176</v>
      </c>
      <c r="AW159">
        <f t="shared" si="146"/>
        <v>-80285.620838149553</v>
      </c>
      <c r="AX159">
        <f t="shared" si="147"/>
        <v>-57580.573705323237</v>
      </c>
      <c r="AY159">
        <f t="shared" si="155"/>
        <v>-2.5194183464940334</v>
      </c>
      <c r="BA159">
        <f t="shared" si="132"/>
        <v>4.2049624305766864</v>
      </c>
      <c r="BB159">
        <f t="shared" si="148"/>
        <v>12.475242398559132</v>
      </c>
      <c r="BC159">
        <f t="shared" si="149"/>
        <v>0.55077215654731582</v>
      </c>
      <c r="BD159">
        <f t="shared" si="133"/>
        <v>-148.44307992046109</v>
      </c>
      <c r="BF159">
        <f t="shared" si="134"/>
        <v>-9.2053007569021634</v>
      </c>
      <c r="BG159">
        <f t="shared" si="135"/>
        <v>-119.53304642269345</v>
      </c>
      <c r="BH159">
        <f t="shared" si="150"/>
        <v>60.466953577306555</v>
      </c>
      <c r="BI159">
        <f t="shared" si="151"/>
        <v>60.466953577306555</v>
      </c>
      <c r="BJ159">
        <f t="shared" si="136"/>
        <v>0</v>
      </c>
      <c r="BK159">
        <f t="shared" si="152"/>
        <v>0</v>
      </c>
      <c r="BM159">
        <f t="shared" si="153"/>
        <v>-21.680543155461294</v>
      </c>
      <c r="BN159">
        <f t="shared" si="137"/>
        <v>-151.08996650223233</v>
      </c>
      <c r="BQ159" s="56">
        <f t="shared" si="154"/>
        <v>29.377203198844271</v>
      </c>
      <c r="BR159" s="59"/>
      <c r="BS159" s="59"/>
      <c r="BT159" s="59">
        <v>3090.2950000000001</v>
      </c>
      <c r="BU159" s="59">
        <v>5.8544900000000002</v>
      </c>
      <c r="BV159" s="59">
        <v>-248.41800000000001</v>
      </c>
      <c r="BW159" s="61"/>
      <c r="BY159" s="59"/>
      <c r="BZ159" s="59"/>
      <c r="CA159" s="59"/>
      <c r="CC159" s="59"/>
    </row>
    <row r="160" spans="1:81" x14ac:dyDescent="0.25">
      <c r="A160">
        <f t="shared" si="106"/>
        <v>63000</v>
      </c>
      <c r="B160">
        <f t="shared" si="138"/>
        <v>63</v>
      </c>
      <c r="C160">
        <f t="shared" si="107"/>
        <v>1.1282802735453401</v>
      </c>
      <c r="D160">
        <f t="shared" si="108"/>
        <v>0.48149277343191482</v>
      </c>
      <c r="F160">
        <f t="shared" si="109"/>
        <v>4.8000941990575035E-3</v>
      </c>
      <c r="G160">
        <f t="shared" si="110"/>
        <v>2.6134557029104642E-2</v>
      </c>
      <c r="H160">
        <f t="shared" si="111"/>
        <v>-3.1154580929708957</v>
      </c>
      <c r="J160">
        <f t="shared" si="112"/>
        <v>15</v>
      </c>
      <c r="M160">
        <f t="shared" si="113"/>
        <v>2.8937788555020345E-2</v>
      </c>
      <c r="N160">
        <f t="shared" si="114"/>
        <v>-1.5707963250000001</v>
      </c>
      <c r="O160">
        <f t="shared" si="115"/>
        <v>10.466407941752195</v>
      </c>
      <c r="P160">
        <f t="shared" si="116"/>
        <v>1.4751065997443726</v>
      </c>
      <c r="Q160">
        <f t="shared" si="117"/>
        <v>16.228639407552222</v>
      </c>
      <c r="R160">
        <f t="shared" si="118"/>
        <v>1.5091378054056306</v>
      </c>
      <c r="S160">
        <f t="shared" si="119"/>
        <v>0.88630460307326719</v>
      </c>
      <c r="T160">
        <f t="shared" si="120"/>
        <v>-0.48149277343191471</v>
      </c>
      <c r="U160">
        <f t="shared" si="121"/>
        <v>0.95180817491620662</v>
      </c>
      <c r="V160">
        <f t="shared" si="122"/>
        <v>-0.31171767091826186</v>
      </c>
      <c r="X160">
        <f t="shared" si="139"/>
        <v>-9.4512888539914623</v>
      </c>
      <c r="Y160">
        <f t="shared" si="123"/>
        <v>-115.37809749874725</v>
      </c>
      <c r="Z160">
        <f t="shared" si="140"/>
        <v>64.621902501252748</v>
      </c>
      <c r="AC160">
        <v>1</v>
      </c>
      <c r="AD160">
        <f t="shared" si="124"/>
        <v>10.418526537047999</v>
      </c>
      <c r="AE160">
        <f t="shared" si="125"/>
        <v>-6.186114848205171E-4</v>
      </c>
      <c r="AF160">
        <f t="shared" si="126"/>
        <v>1.9198272684149999E-3</v>
      </c>
      <c r="AG160">
        <f t="shared" si="141"/>
        <v>4764.3002887653874</v>
      </c>
      <c r="AH160">
        <f t="shared" si="142"/>
        <v>-2056.0448018965822</v>
      </c>
      <c r="AJ160">
        <f t="shared" si="127"/>
        <v>18000</v>
      </c>
      <c r="AK160">
        <f t="shared" si="128"/>
        <v>9405.1744118639999</v>
      </c>
      <c r="AL160">
        <v>1</v>
      </c>
      <c r="AM160">
        <f t="shared" si="129"/>
        <v>16.197800375987999</v>
      </c>
      <c r="AN160">
        <f t="shared" si="143"/>
        <v>646.78571781872813</v>
      </c>
      <c r="AO160">
        <f t="shared" si="144"/>
        <v>-1071.3315314038618</v>
      </c>
      <c r="AQ160">
        <f t="shared" si="130"/>
        <v>0.62984190968067011</v>
      </c>
      <c r="AR160">
        <f t="shared" si="131"/>
        <v>-79.360080619764446</v>
      </c>
      <c r="AT160">
        <f t="shared" si="156"/>
        <v>-160167.12524419223</v>
      </c>
      <c r="AU160">
        <f t="shared" si="157"/>
        <v>-379390.23819760373</v>
      </c>
      <c r="AV160">
        <f t="shared" si="145"/>
        <v>-1.9702673834562161</v>
      </c>
      <c r="AW160">
        <f t="shared" si="146"/>
        <v>-78940.085739563481</v>
      </c>
      <c r="AX160">
        <f t="shared" si="147"/>
        <v>-57052.366138748839</v>
      </c>
      <c r="AY160">
        <f t="shared" si="155"/>
        <v>-2.5157739986793191</v>
      </c>
      <c r="BA160">
        <f t="shared" si="132"/>
        <v>4.2281217502201951</v>
      </c>
      <c r="BB160">
        <f t="shared" si="148"/>
        <v>12.522949689488808</v>
      </c>
      <c r="BC160">
        <f t="shared" si="149"/>
        <v>0.54550661522310295</v>
      </c>
      <c r="BD160">
        <f t="shared" si="133"/>
        <v>-148.74477321553496</v>
      </c>
      <c r="BF160">
        <f t="shared" si="134"/>
        <v>-9.2818900215442532</v>
      </c>
      <c r="BG160">
        <f t="shared" si="135"/>
        <v>-119.65986958139145</v>
      </c>
      <c r="BH160">
        <f t="shared" si="150"/>
        <v>60.340130418608553</v>
      </c>
      <c r="BI160">
        <f t="shared" si="151"/>
        <v>60.340130418608553</v>
      </c>
      <c r="BJ160">
        <f t="shared" si="136"/>
        <v>0</v>
      </c>
      <c r="BK160">
        <f t="shared" si="152"/>
        <v>0</v>
      </c>
      <c r="BM160">
        <f t="shared" si="153"/>
        <v>-21.804839711033061</v>
      </c>
      <c r="BN160">
        <f t="shared" si="137"/>
        <v>-150.9150963658565</v>
      </c>
      <c r="BQ160" s="56">
        <f t="shared" si="154"/>
        <v>29.424910489773943</v>
      </c>
      <c r="BR160" s="59"/>
      <c r="BS160" s="59"/>
      <c r="BT160" s="59">
        <v>3162.2779999999998</v>
      </c>
      <c r="BU160" s="59">
        <v>5.6099300000000003</v>
      </c>
      <c r="BV160" s="59">
        <v>-248.626</v>
      </c>
      <c r="BW160" s="61"/>
      <c r="BY160" s="59"/>
      <c r="BZ160" s="59"/>
      <c r="CA160" s="59"/>
      <c r="CC160" s="59"/>
    </row>
    <row r="161" spans="1:81" x14ac:dyDescent="0.25">
      <c r="A161">
        <f t="shared" si="106"/>
        <v>63500</v>
      </c>
      <c r="B161">
        <f t="shared" si="138"/>
        <v>63.5</v>
      </c>
      <c r="C161">
        <f t="shared" si="107"/>
        <v>1.1302066915988618</v>
      </c>
      <c r="D161">
        <f t="shared" si="108"/>
        <v>0.48474476716080533</v>
      </c>
      <c r="F161">
        <f t="shared" si="109"/>
        <v>4.7244673752647563E-3</v>
      </c>
      <c r="G161">
        <f t="shared" si="110"/>
        <v>2.5926902276452665E-2</v>
      </c>
      <c r="H161">
        <f t="shared" si="111"/>
        <v>-3.1156657477235474</v>
      </c>
      <c r="J161">
        <f t="shared" si="112"/>
        <v>15</v>
      </c>
      <c r="M161">
        <f t="shared" si="113"/>
        <v>2.8709931952224904E-2</v>
      </c>
      <c r="N161">
        <f t="shared" si="114"/>
        <v>-1.5707963250000001</v>
      </c>
      <c r="O161">
        <f t="shared" si="115"/>
        <v>10.548719345944567</v>
      </c>
      <c r="P161">
        <f t="shared" si="116"/>
        <v>1.4758555248717586</v>
      </c>
      <c r="Q161">
        <f t="shared" si="117"/>
        <v>16.356951007788254</v>
      </c>
      <c r="R161">
        <f t="shared" si="118"/>
        <v>1.5096220904425874</v>
      </c>
      <c r="S161">
        <f t="shared" si="119"/>
        <v>0.88479391197493007</v>
      </c>
      <c r="T161">
        <f t="shared" si="120"/>
        <v>-0.48474476716080517</v>
      </c>
      <c r="U161">
        <f t="shared" si="121"/>
        <v>0.95109561487394234</v>
      </c>
      <c r="V161">
        <f t="shared" si="122"/>
        <v>-0.3140327150553382</v>
      </c>
      <c r="X161">
        <f t="shared" si="139"/>
        <v>-9.5279490683899777</v>
      </c>
      <c r="Y161">
        <f t="shared" si="123"/>
        <v>-115.45197976052596</v>
      </c>
      <c r="Z161">
        <f t="shared" si="140"/>
        <v>64.548020239474042</v>
      </c>
      <c r="AC161">
        <v>1</v>
      </c>
      <c r="AD161">
        <f t="shared" si="124"/>
        <v>10.501213255595999</v>
      </c>
      <c r="AE161">
        <f t="shared" si="125"/>
        <v>-6.2846967993638941E-4</v>
      </c>
      <c r="AF161">
        <f t="shared" si="126"/>
        <v>1.9350639927675E-3</v>
      </c>
      <c r="AG161">
        <f t="shared" si="141"/>
        <v>4757.1694837414252</v>
      </c>
      <c r="AH161">
        <f t="shared" si="142"/>
        <v>-2061.811287772488</v>
      </c>
      <c r="AJ161">
        <f t="shared" si="127"/>
        <v>18000</v>
      </c>
      <c r="AK161">
        <f t="shared" si="128"/>
        <v>9479.8186532279997</v>
      </c>
      <c r="AL161">
        <v>1</v>
      </c>
      <c r="AM161">
        <f t="shared" si="129"/>
        <v>16.326354347225998</v>
      </c>
      <c r="AN161">
        <f t="shared" si="143"/>
        <v>645.75211269202009</v>
      </c>
      <c r="AO161">
        <f t="shared" si="144"/>
        <v>-1062.9591590517348</v>
      </c>
      <c r="AQ161">
        <f t="shared" si="130"/>
        <v>0.61996280223186606</v>
      </c>
      <c r="AR161">
        <f t="shared" si="131"/>
        <v>-78.735275883446988</v>
      </c>
      <c r="AT161">
        <f t="shared" si="156"/>
        <v>-159388.01243853971</v>
      </c>
      <c r="AU161">
        <f t="shared" si="157"/>
        <v>-375835.29803033691</v>
      </c>
      <c r="AV161">
        <f t="shared" si="145"/>
        <v>-1.9718959907492719</v>
      </c>
      <c r="AW161">
        <f t="shared" si="146"/>
        <v>-77626.242121430856</v>
      </c>
      <c r="AX161">
        <f t="shared" si="147"/>
        <v>-56534.79273616607</v>
      </c>
      <c r="AY161">
        <f t="shared" si="155"/>
        <v>-2.5121281654872933</v>
      </c>
      <c r="BA161">
        <f t="shared" si="132"/>
        <v>4.2510719939759998</v>
      </c>
      <c r="BB161">
        <f t="shared" si="148"/>
        <v>12.569969200362207</v>
      </c>
      <c r="BC161">
        <f t="shared" si="149"/>
        <v>0.54023217473802143</v>
      </c>
      <c r="BD161">
        <f t="shared" si="133"/>
        <v>-149.04697639496837</v>
      </c>
      <c r="BF161">
        <f t="shared" si="134"/>
        <v>-9.3579910462673617</v>
      </c>
      <c r="BG161">
        <f t="shared" si="135"/>
        <v>-119.78764498587992</v>
      </c>
      <c r="BH161">
        <f t="shared" si="150"/>
        <v>60.212355014120078</v>
      </c>
      <c r="BI161">
        <f t="shared" si="151"/>
        <v>60.212355014120078</v>
      </c>
      <c r="BJ161">
        <f t="shared" si="136"/>
        <v>0</v>
      </c>
      <c r="BK161">
        <f t="shared" si="152"/>
        <v>0</v>
      </c>
      <c r="BM161">
        <f t="shared" si="153"/>
        <v>-21.927960246629571</v>
      </c>
      <c r="BN161">
        <f t="shared" si="137"/>
        <v>-150.74066859091155</v>
      </c>
      <c r="BQ161" s="56">
        <f t="shared" si="154"/>
        <v>29.471930000647344</v>
      </c>
      <c r="BR161" s="59"/>
      <c r="BS161" s="59"/>
      <c r="BT161" s="59">
        <v>3235.9369999999999</v>
      </c>
      <c r="BU161" s="59">
        <v>5.4320899999999996</v>
      </c>
      <c r="BV161" s="59">
        <v>-248.57499999999999</v>
      </c>
      <c r="BW161" s="61"/>
      <c r="BY161" s="59"/>
      <c r="BZ161" s="59"/>
      <c r="CA161" s="59"/>
      <c r="CC161" s="59"/>
    </row>
    <row r="162" spans="1:81" x14ac:dyDescent="0.25">
      <c r="A162">
        <f t="shared" si="106"/>
        <v>64000</v>
      </c>
      <c r="B162">
        <f t="shared" si="138"/>
        <v>64</v>
      </c>
      <c r="C162">
        <f t="shared" si="107"/>
        <v>1.1321450213623163</v>
      </c>
      <c r="D162">
        <f t="shared" si="108"/>
        <v>0.48798565967959845</v>
      </c>
      <c r="F162">
        <f t="shared" si="109"/>
        <v>4.6506163891095725E-3</v>
      </c>
      <c r="G162">
        <f t="shared" si="110"/>
        <v>2.5722535709934342E-2</v>
      </c>
      <c r="H162">
        <f t="shared" si="111"/>
        <v>-3.115870114290066</v>
      </c>
      <c r="J162">
        <f t="shared" si="112"/>
        <v>15</v>
      </c>
      <c r="M162">
        <f t="shared" si="113"/>
        <v>2.8485635608848151E-2</v>
      </c>
      <c r="N162">
        <f t="shared" si="114"/>
        <v>-1.5707963250000001</v>
      </c>
      <c r="O162">
        <f t="shared" si="115"/>
        <v>10.631036575173908</v>
      </c>
      <c r="P162">
        <f t="shared" si="116"/>
        <v>1.4765928523960414</v>
      </c>
      <c r="Q162">
        <f t="shared" si="117"/>
        <v>16.485266384534274</v>
      </c>
      <c r="R162">
        <f t="shared" si="118"/>
        <v>1.5100988365892634</v>
      </c>
      <c r="S162">
        <f t="shared" si="119"/>
        <v>0.88327906860968619</v>
      </c>
      <c r="T162">
        <f t="shared" si="120"/>
        <v>-0.48798565967959839</v>
      </c>
      <c r="U162">
        <f t="shared" si="121"/>
        <v>0.95037903888483544</v>
      </c>
      <c r="V162">
        <f t="shared" si="122"/>
        <v>-0.31634428315703783</v>
      </c>
      <c r="X162">
        <f t="shared" si="139"/>
        <v>-9.6040775601009827</v>
      </c>
      <c r="Y162">
        <f t="shared" si="123"/>
        <v>-115.52657090126684</v>
      </c>
      <c r="Z162">
        <f t="shared" si="140"/>
        <v>64.473429098733163</v>
      </c>
      <c r="AC162">
        <v>1</v>
      </c>
      <c r="AD162">
        <f t="shared" si="124"/>
        <v>10.583899974144</v>
      </c>
      <c r="AE162">
        <f t="shared" si="125"/>
        <v>-6.3840580544843471E-4</v>
      </c>
      <c r="AF162">
        <f t="shared" si="126"/>
        <v>1.9503007171199997E-3</v>
      </c>
      <c r="AG162">
        <f t="shared" si="141"/>
        <v>4750.0038755409068</v>
      </c>
      <c r="AH162">
        <f t="shared" si="142"/>
        <v>-2067.593994428998</v>
      </c>
      <c r="AJ162">
        <f t="shared" si="127"/>
        <v>18000</v>
      </c>
      <c r="AK162">
        <f t="shared" si="128"/>
        <v>9554.4628945920012</v>
      </c>
      <c r="AL162">
        <v>1</v>
      </c>
      <c r="AM162">
        <f t="shared" si="129"/>
        <v>16.454908318463996</v>
      </c>
      <c r="AN162">
        <f t="shared" si="143"/>
        <v>644.74251907403857</v>
      </c>
      <c r="AO162">
        <f t="shared" si="144"/>
        <v>-1054.7161457868278</v>
      </c>
      <c r="AQ162">
        <f t="shared" si="130"/>
        <v>0.61031431187061336</v>
      </c>
      <c r="AR162">
        <f t="shared" si="131"/>
        <v>-78.12023191943851</v>
      </c>
      <c r="AT162">
        <f t="shared" si="156"/>
        <v>-158621.92701334809</v>
      </c>
      <c r="AU162">
        <f t="shared" si="157"/>
        <v>-372333.28658142511</v>
      </c>
      <c r="AV162">
        <f t="shared" si="145"/>
        <v>-1.9735317432906885</v>
      </c>
      <c r="AW162">
        <f t="shared" si="146"/>
        <v>-76343.111256668213</v>
      </c>
      <c r="AX162">
        <f t="shared" si="147"/>
        <v>-56027.535396784391</v>
      </c>
      <c r="AY162">
        <f t="shared" si="155"/>
        <v>-2.5084811586990936</v>
      </c>
      <c r="BA162">
        <f t="shared" si="132"/>
        <v>4.2738125297182661</v>
      </c>
      <c r="BB162">
        <f t="shared" si="148"/>
        <v>12.616309359394274</v>
      </c>
      <c r="BC162">
        <f t="shared" si="149"/>
        <v>0.53494941540840513</v>
      </c>
      <c r="BD162">
        <f t="shared" si="133"/>
        <v>-149.34965620908463</v>
      </c>
      <c r="BF162">
        <f t="shared" si="134"/>
        <v>-9.4336138827235718</v>
      </c>
      <c r="BG162">
        <f t="shared" si="135"/>
        <v>-119.91634467835006</v>
      </c>
      <c r="BH162">
        <f t="shared" si="150"/>
        <v>60.083655321649942</v>
      </c>
      <c r="BI162">
        <f t="shared" si="151"/>
        <v>60.083655321649942</v>
      </c>
      <c r="BJ162">
        <f t="shared" si="136"/>
        <v>0</v>
      </c>
      <c r="BK162">
        <f t="shared" si="152"/>
        <v>0</v>
      </c>
      <c r="BM162">
        <f t="shared" si="153"/>
        <v>-22.049923242117842</v>
      </c>
      <c r="BN162">
        <f t="shared" si="137"/>
        <v>-150.56668846926544</v>
      </c>
      <c r="BQ162" s="56">
        <f t="shared" si="154"/>
        <v>29.51827015967941</v>
      </c>
      <c r="BR162" s="59"/>
      <c r="BS162" s="59"/>
      <c r="BT162" s="59">
        <v>3311.3110000000001</v>
      </c>
      <c r="BU162" s="59">
        <v>5.2356100000000003</v>
      </c>
      <c r="BV162" s="59">
        <v>-247.75799999999998</v>
      </c>
      <c r="BW162" s="61"/>
      <c r="BY162" s="59"/>
      <c r="BZ162" s="59"/>
      <c r="CA162" s="59"/>
      <c r="CC162" s="59"/>
    </row>
    <row r="163" spans="1:81" x14ac:dyDescent="0.25">
      <c r="A163">
        <f t="shared" si="106"/>
        <v>64500</v>
      </c>
      <c r="B163">
        <f t="shared" si="138"/>
        <v>64.5</v>
      </c>
      <c r="C163">
        <f t="shared" si="107"/>
        <v>1.1340952017592936</v>
      </c>
      <c r="D163">
        <f t="shared" si="108"/>
        <v>0.49121544000308009</v>
      </c>
      <c r="F163">
        <f t="shared" si="109"/>
        <v>4.5784859961852473E-3</v>
      </c>
      <c r="G163">
        <f t="shared" si="110"/>
        <v>2.5521379515111384E-2</v>
      </c>
      <c r="H163">
        <f t="shared" si="111"/>
        <v>-3.116071270484889</v>
      </c>
      <c r="J163">
        <f t="shared" si="112"/>
        <v>15</v>
      </c>
      <c r="M163">
        <f t="shared" si="113"/>
        <v>2.8264816728159406E-2</v>
      </c>
      <c r="N163">
        <f t="shared" si="114"/>
        <v>-1.5707963250000001</v>
      </c>
      <c r="O163">
        <f t="shared" si="115"/>
        <v>10.71335949516836</v>
      </c>
      <c r="P163">
        <f t="shared" si="116"/>
        <v>1.477318848858842</v>
      </c>
      <c r="Q163">
        <f t="shared" si="117"/>
        <v>16.613585450286408</v>
      </c>
      <c r="R163">
        <f t="shared" si="118"/>
        <v>1.5105682183117464</v>
      </c>
      <c r="S163">
        <f t="shared" si="119"/>
        <v>0.88176018948737722</v>
      </c>
      <c r="T163">
        <f t="shared" si="120"/>
        <v>-0.49121544000308004</v>
      </c>
      <c r="U163">
        <f t="shared" si="121"/>
        <v>0.94965847896637101</v>
      </c>
      <c r="V163">
        <f t="shared" si="122"/>
        <v>-0.31865235839916239</v>
      </c>
      <c r="X163">
        <f t="shared" si="139"/>
        <v>-9.6796835799007095</v>
      </c>
      <c r="Y163">
        <f t="shared" si="123"/>
        <v>-115.60184914757272</v>
      </c>
      <c r="Z163">
        <f t="shared" si="140"/>
        <v>64.398150852427278</v>
      </c>
      <c r="AC163">
        <v>1</v>
      </c>
      <c r="AD163">
        <f t="shared" si="124"/>
        <v>10.666586692692</v>
      </c>
      <c r="AE163">
        <f t="shared" si="125"/>
        <v>-6.4841986135665312E-4</v>
      </c>
      <c r="AF163">
        <f t="shared" si="126"/>
        <v>1.9655374414724999E-3</v>
      </c>
      <c r="AG163">
        <f t="shared" si="141"/>
        <v>4742.8038747719138</v>
      </c>
      <c r="AH163">
        <f t="shared" si="142"/>
        <v>-2073.3912999735753</v>
      </c>
      <c r="AJ163">
        <f t="shared" si="127"/>
        <v>18000</v>
      </c>
      <c r="AK163">
        <f t="shared" si="128"/>
        <v>9629.107135956001</v>
      </c>
      <c r="AL163">
        <v>1</v>
      </c>
      <c r="AM163">
        <f t="shared" si="129"/>
        <v>16.583462289701998</v>
      </c>
      <c r="AN163">
        <f t="shared" si="143"/>
        <v>643.75619983129786</v>
      </c>
      <c r="AO163">
        <f t="shared" si="144"/>
        <v>-1046.5995277081909</v>
      </c>
      <c r="AQ163">
        <f t="shared" si="130"/>
        <v>0.60088931618795816</v>
      </c>
      <c r="AR163">
        <f t="shared" si="131"/>
        <v>-77.514721788246604</v>
      </c>
      <c r="AT163">
        <f t="shared" si="156"/>
        <v>-157868.44959849736</v>
      </c>
      <c r="AU163">
        <f t="shared" si="157"/>
        <v>-368883.00152959407</v>
      </c>
      <c r="AV163">
        <f t="shared" si="145"/>
        <v>-1.9751743804179067</v>
      </c>
      <c r="AW163">
        <f t="shared" si="146"/>
        <v>-75089.751868939013</v>
      </c>
      <c r="AX163">
        <f t="shared" si="147"/>
        <v>-55530.288450851156</v>
      </c>
      <c r="AY163">
        <f t="shared" si="155"/>
        <v>-2.5048332836674572</v>
      </c>
      <c r="BA163">
        <f t="shared" si="132"/>
        <v>4.2963427584938492</v>
      </c>
      <c r="BB163">
        <f t="shared" si="148"/>
        <v>12.661978434204567</v>
      </c>
      <c r="BC163">
        <f t="shared" si="149"/>
        <v>0.52965890324955045</v>
      </c>
      <c r="BD163">
        <f t="shared" si="133"/>
        <v>-149.652780227596</v>
      </c>
      <c r="BF163">
        <f t="shared" si="134"/>
        <v>-9.5087683211536049</v>
      </c>
      <c r="BG163">
        <f t="shared" si="135"/>
        <v>-120.04594131635956</v>
      </c>
      <c r="BH163">
        <f t="shared" si="150"/>
        <v>59.95405868364044</v>
      </c>
      <c r="BI163">
        <f t="shared" si="151"/>
        <v>59.95405868364044</v>
      </c>
      <c r="BJ163">
        <f t="shared" si="136"/>
        <v>0</v>
      </c>
      <c r="BK163">
        <f t="shared" si="152"/>
        <v>0</v>
      </c>
      <c r="BM163">
        <f t="shared" si="153"/>
        <v>-22.170746755358174</v>
      </c>
      <c r="BN163">
        <f t="shared" si="137"/>
        <v>-150.39316108876355</v>
      </c>
      <c r="BQ163" s="56">
        <f t="shared" si="154"/>
        <v>29.563939234489705</v>
      </c>
      <c r="BR163" s="59"/>
      <c r="BS163" s="59"/>
      <c r="BT163" s="59">
        <v>3388.442</v>
      </c>
      <c r="BU163" s="59">
        <v>5.0528199999999996</v>
      </c>
      <c r="BV163" s="59">
        <v>-247.756</v>
      </c>
      <c r="BW163" s="61"/>
      <c r="BY163" s="59"/>
      <c r="BZ163" s="59"/>
      <c r="CA163" s="59"/>
      <c r="CC163" s="59"/>
    </row>
    <row r="164" spans="1:81" x14ac:dyDescent="0.25">
      <c r="A164">
        <f t="shared" si="106"/>
        <v>65000</v>
      </c>
      <c r="B164">
        <f t="shared" si="138"/>
        <v>65</v>
      </c>
      <c r="C164">
        <f t="shared" si="107"/>
        <v>1.1360571717606314</v>
      </c>
      <c r="D164">
        <f t="shared" si="108"/>
        <v>0.4944340981485571</v>
      </c>
      <c r="F164">
        <f t="shared" si="109"/>
        <v>4.5080230866542366E-3</v>
      </c>
      <c r="G164">
        <f t="shared" si="110"/>
        <v>2.5323358323393875E-2</v>
      </c>
      <c r="H164">
        <f t="shared" si="111"/>
        <v>-3.1162692916766064</v>
      </c>
      <c r="J164">
        <f t="shared" si="112"/>
        <v>15</v>
      </c>
      <c r="M164">
        <f t="shared" si="113"/>
        <v>2.8047395061019713E-2</v>
      </c>
      <c r="N164">
        <f t="shared" si="114"/>
        <v>-1.5707963250000001</v>
      </c>
      <c r="O164">
        <f t="shared" si="115"/>
        <v>10.795687975742503</v>
      </c>
      <c r="P164">
        <f t="shared" si="116"/>
        <v>1.4780337727197668</v>
      </c>
      <c r="Q164">
        <f t="shared" si="117"/>
        <v>16.741908120221034</v>
      </c>
      <c r="R164">
        <f t="shared" si="118"/>
        <v>1.5110304047403753</v>
      </c>
      <c r="S164">
        <f t="shared" si="119"/>
        <v>0.88023739021005998</v>
      </c>
      <c r="T164">
        <f t="shared" si="120"/>
        <v>-0.49443409814855704</v>
      </c>
      <c r="U164">
        <f t="shared" si="121"/>
        <v>0.94893396717826162</v>
      </c>
      <c r="V164">
        <f t="shared" si="122"/>
        <v>-0.32095692415717403</v>
      </c>
      <c r="X164">
        <f t="shared" si="139"/>
        <v>-9.7547761429088329</v>
      </c>
      <c r="Y164">
        <f t="shared" si="123"/>
        <v>-115.67779336613066</v>
      </c>
      <c r="Z164">
        <f t="shared" si="140"/>
        <v>64.322206633869342</v>
      </c>
      <c r="AC164">
        <v>1</v>
      </c>
      <c r="AD164">
        <f t="shared" si="124"/>
        <v>10.749273411240001</v>
      </c>
      <c r="AE164">
        <f t="shared" si="125"/>
        <v>-6.5851184766104419E-4</v>
      </c>
      <c r="AF164">
        <f t="shared" si="126"/>
        <v>1.9807741658250002E-3</v>
      </c>
      <c r="AG164">
        <f t="shared" si="141"/>
        <v>4735.5698919968736</v>
      </c>
      <c r="AH164">
        <f t="shared" si="142"/>
        <v>-2079.2016325553855</v>
      </c>
      <c r="AJ164">
        <f t="shared" si="127"/>
        <v>18000</v>
      </c>
      <c r="AK164">
        <f t="shared" si="128"/>
        <v>9703.7513773200008</v>
      </c>
      <c r="AL164">
        <v>1</v>
      </c>
      <c r="AM164">
        <f t="shared" si="129"/>
        <v>16.71201626094</v>
      </c>
      <c r="AN164">
        <f t="shared" si="143"/>
        <v>642.79244586792356</v>
      </c>
      <c r="AO164">
        <f t="shared" si="144"/>
        <v>-1038.6064304341328</v>
      </c>
      <c r="AQ164">
        <f t="shared" si="130"/>
        <v>0.59168096562333594</v>
      </c>
      <c r="AR164">
        <f t="shared" si="131"/>
        <v>-76.918525531033666</v>
      </c>
      <c r="AT164">
        <f t="shared" si="156"/>
        <v>-157127.17729140478</v>
      </c>
      <c r="AU164">
        <f t="shared" si="157"/>
        <v>-365483.27767123189</v>
      </c>
      <c r="AV164">
        <f t="shared" si="145"/>
        <v>-1.9768236490515514</v>
      </c>
      <c r="AW164">
        <f t="shared" si="146"/>
        <v>-73865.25842775323</v>
      </c>
      <c r="AX164">
        <f t="shared" si="147"/>
        <v>-55042.758065569447</v>
      </c>
      <c r="AY164">
        <f t="shared" si="155"/>
        <v>-2.5011848395220122</v>
      </c>
      <c r="BA164">
        <f t="shared" si="132"/>
        <v>4.3186621144869406</v>
      </c>
      <c r="BB164">
        <f t="shared" si="148"/>
        <v>12.706984536823484</v>
      </c>
      <c r="BC164">
        <f t="shared" si="149"/>
        <v>0.52436119047046081</v>
      </c>
      <c r="BD164">
        <f t="shared" si="133"/>
        <v>-149.95631681125721</v>
      </c>
      <c r="BF164">
        <f t="shared" si="134"/>
        <v>-9.5834638984938536</v>
      </c>
      <c r="BG164">
        <f t="shared" si="135"/>
        <v>-120.17640815093134</v>
      </c>
      <c r="BH164">
        <f t="shared" si="150"/>
        <v>59.823591849068663</v>
      </c>
      <c r="BI164">
        <f t="shared" si="151"/>
        <v>59.823591849068663</v>
      </c>
      <c r="BJ164">
        <f t="shared" si="136"/>
        <v>0</v>
      </c>
      <c r="BK164">
        <f t="shared" si="152"/>
        <v>0</v>
      </c>
      <c r="BM164">
        <f t="shared" si="153"/>
        <v>-22.290448435317337</v>
      </c>
      <c r="BN164">
        <f t="shared" si="137"/>
        <v>-150.22009133967413</v>
      </c>
      <c r="BQ164" s="56">
        <f t="shared" si="154"/>
        <v>29.608945337108622</v>
      </c>
      <c r="BR164" s="59"/>
      <c r="BS164" s="59"/>
      <c r="BT164" s="59">
        <v>3467.3690000000001</v>
      </c>
      <c r="BU164" s="59">
        <v>4.9028999999999998</v>
      </c>
      <c r="BV164" s="59">
        <v>-247.51300000000001</v>
      </c>
      <c r="BW164" s="61"/>
      <c r="BY164" s="59"/>
      <c r="BZ164" s="59"/>
      <c r="CA164" s="59"/>
      <c r="CC164" s="59"/>
    </row>
    <row r="165" spans="1:81" x14ac:dyDescent="0.25">
      <c r="A165">
        <f t="shared" si="106"/>
        <v>65500</v>
      </c>
      <c r="B165">
        <f t="shared" si="138"/>
        <v>65.5</v>
      </c>
      <c r="C165">
        <f t="shared" si="107"/>
        <v>1.138030870390349</v>
      </c>
      <c r="D165">
        <f t="shared" si="108"/>
        <v>0.49764162512374288</v>
      </c>
      <c r="F165">
        <f t="shared" si="109"/>
        <v>4.4391765869042834E-3</v>
      </c>
      <c r="G165">
        <f t="shared" si="110"/>
        <v>2.5128399116330649E-2</v>
      </c>
      <c r="H165">
        <f t="shared" si="111"/>
        <v>-3.1164642508836695</v>
      </c>
      <c r="J165">
        <f t="shared" si="112"/>
        <v>15</v>
      </c>
      <c r="M165">
        <f t="shared" si="113"/>
        <v>2.7833292808645521E-2</v>
      </c>
      <c r="N165">
        <f t="shared" si="114"/>
        <v>-1.5707963250000001</v>
      </c>
      <c r="O165">
        <f t="shared" si="115"/>
        <v>10.878021890643394</v>
      </c>
      <c r="P165">
        <f t="shared" si="116"/>
        <v>1.4787378746595454</v>
      </c>
      <c r="Q165">
        <f t="shared" si="117"/>
        <v>16.870234312092993</v>
      </c>
      <c r="R165">
        <f t="shared" si="118"/>
        <v>1.5114855598719332</v>
      </c>
      <c r="S165">
        <f t="shared" si="119"/>
        <v>0.87871078546137882</v>
      </c>
      <c r="T165">
        <f t="shared" si="120"/>
        <v>-0.49764162512374283</v>
      </c>
      <c r="U165">
        <f t="shared" si="121"/>
        <v>0.94820553561914234</v>
      </c>
      <c r="V165">
        <f t="shared" si="122"/>
        <v>-0.3232579640061618</v>
      </c>
      <c r="X165">
        <f t="shared" si="139"/>
        <v>-9.8293640364197508</v>
      </c>
      <c r="Y165">
        <f t="shared" si="123"/>
        <v>-115.75438304024028</v>
      </c>
      <c r="Z165">
        <f t="shared" si="140"/>
        <v>64.245616959759715</v>
      </c>
      <c r="AC165">
        <v>1</v>
      </c>
      <c r="AD165">
        <f t="shared" si="124"/>
        <v>10.831960129787999</v>
      </c>
      <c r="AE165">
        <f t="shared" si="125"/>
        <v>-6.6868176436160826E-4</v>
      </c>
      <c r="AF165">
        <f t="shared" si="126"/>
        <v>1.9960108901774997E-3</v>
      </c>
      <c r="AG165">
        <f t="shared" si="141"/>
        <v>4728.302337684634</v>
      </c>
      <c r="AH165">
        <f t="shared" si="142"/>
        <v>-2085.0234685984037</v>
      </c>
      <c r="AJ165">
        <f t="shared" si="127"/>
        <v>18000</v>
      </c>
      <c r="AK165">
        <f t="shared" si="128"/>
        <v>9778.3956186840005</v>
      </c>
      <c r="AL165">
        <v>1</v>
      </c>
      <c r="AM165">
        <f t="shared" si="129"/>
        <v>16.840570232177999</v>
      </c>
      <c r="AN165">
        <f t="shared" si="143"/>
        <v>641.85057485709842</v>
      </c>
      <c r="AO165">
        <f t="shared" si="144"/>
        <v>-1030.7340657607867</v>
      </c>
      <c r="AQ165">
        <f t="shared" si="130"/>
        <v>0.58268267101736393</v>
      </c>
      <c r="AR165">
        <f t="shared" si="131"/>
        <v>-76.331429903274682</v>
      </c>
      <c r="AT165">
        <f t="shared" si="156"/>
        <v>-156397.72290450195</v>
      </c>
      <c r="AU165">
        <f t="shared" si="157"/>
        <v>-362132.98549428128</v>
      </c>
      <c r="AV165">
        <f t="shared" si="145"/>
        <v>-1.9784793034189163</v>
      </c>
      <c r="AW165">
        <f t="shared" si="146"/>
        <v>-72668.759533313627</v>
      </c>
      <c r="AX165">
        <f t="shared" si="147"/>
        <v>-54564.661684298029</v>
      </c>
      <c r="AY165">
        <f t="shared" si="155"/>
        <v>-2.4975361193638288</v>
      </c>
      <c r="BA165">
        <f t="shared" si="132"/>
        <v>4.3407700649762893</v>
      </c>
      <c r="BB165">
        <f t="shared" si="148"/>
        <v>12.751335628514255</v>
      </c>
      <c r="BC165">
        <f t="shared" si="149"/>
        <v>0.51905681594491249</v>
      </c>
      <c r="BD165">
        <f t="shared" si="133"/>
        <v>-150.26023508487509</v>
      </c>
      <c r="BF165">
        <f t="shared" si="134"/>
        <v>-9.6577099061516698</v>
      </c>
      <c r="BG165">
        <f t="shared" si="135"/>
        <v>-120.3077190057414</v>
      </c>
      <c r="BH165">
        <f t="shared" si="150"/>
        <v>59.692280994258596</v>
      </c>
      <c r="BI165">
        <f t="shared" si="151"/>
        <v>59.692280994258596</v>
      </c>
      <c r="BJ165">
        <f t="shared" si="136"/>
        <v>0</v>
      </c>
      <c r="BK165">
        <f t="shared" si="152"/>
        <v>0</v>
      </c>
      <c r="BM165">
        <f t="shared" si="153"/>
        <v>-22.409045534665925</v>
      </c>
      <c r="BN165">
        <f t="shared" si="137"/>
        <v>-150.04748392086631</v>
      </c>
      <c r="BQ165" s="56">
        <f t="shared" si="154"/>
        <v>29.653296428799393</v>
      </c>
      <c r="BR165" s="59"/>
      <c r="BS165" s="59"/>
      <c r="BT165" s="59">
        <v>3548.134</v>
      </c>
      <c r="BU165" s="59">
        <v>4.6522600000000001</v>
      </c>
      <c r="BV165" s="59">
        <v>-246.726</v>
      </c>
      <c r="BW165" s="61"/>
      <c r="BY165" s="59"/>
      <c r="BZ165" s="59"/>
      <c r="CA165" s="59"/>
      <c r="CC165" s="59"/>
    </row>
    <row r="166" spans="1:81" x14ac:dyDescent="0.25">
      <c r="A166">
        <f t="shared" ref="A166:A200" si="158">A165+500</f>
        <v>66000</v>
      </c>
      <c r="B166">
        <f t="shared" si="138"/>
        <v>66</v>
      </c>
      <c r="C166">
        <f t="shared" si="107"/>
        <v>1.140016236731479</v>
      </c>
      <c r="D166">
        <f t="shared" si="108"/>
        <v>0.50083801291458685</v>
      </c>
      <c r="F166">
        <f t="shared" si="109"/>
        <v>4.3718973664571142E-3</v>
      </c>
      <c r="G166">
        <f t="shared" si="110"/>
        <v>2.493643113437494E-2</v>
      </c>
      <c r="H166">
        <f t="shared" si="111"/>
        <v>-3.116656218865625</v>
      </c>
      <c r="J166">
        <f t="shared" si="112"/>
        <v>15</v>
      </c>
      <c r="M166">
        <f t="shared" si="113"/>
        <v>2.7622434529792145E-2</v>
      </c>
      <c r="N166">
        <f t="shared" si="114"/>
        <v>-1.5707963250000001</v>
      </c>
      <c r="O166">
        <f t="shared" si="115"/>
        <v>10.960361117403524</v>
      </c>
      <c r="P166">
        <f t="shared" si="116"/>
        <v>1.4794313978696674</v>
      </c>
      <c r="Q166">
        <f t="shared" si="117"/>
        <v>16.998563946138468</v>
      </c>
      <c r="R166">
        <f t="shared" si="118"/>
        <v>1.5119338427627265</v>
      </c>
      <c r="S166">
        <f t="shared" si="119"/>
        <v>0.87718048899643997</v>
      </c>
      <c r="T166">
        <f t="shared" si="120"/>
        <v>-0.50083801291458685</v>
      </c>
      <c r="U166">
        <f t="shared" si="121"/>
        <v>0.94747321642328741</v>
      </c>
      <c r="V166">
        <f t="shared" si="122"/>
        <v>-0.32555546172078448</v>
      </c>
      <c r="X166">
        <f t="shared" si="139"/>
        <v>-9.9034558274094593</v>
      </c>
      <c r="Y166">
        <f t="shared" si="123"/>
        <v>-115.83159824738028</v>
      </c>
      <c r="Z166">
        <f t="shared" si="140"/>
        <v>64.168401752619715</v>
      </c>
      <c r="AC166">
        <v>1</v>
      </c>
      <c r="AD166">
        <f t="shared" si="124"/>
        <v>10.914646848336</v>
      </c>
      <c r="AE166">
        <f t="shared" si="125"/>
        <v>-6.7892961145834532E-4</v>
      </c>
      <c r="AF166">
        <f t="shared" si="126"/>
        <v>2.0112476145300001E-3</v>
      </c>
      <c r="AG166">
        <f t="shared" si="141"/>
        <v>4721.0016221629612</v>
      </c>
      <c r="AH166">
        <f t="shared" si="142"/>
        <v>-2090.8553311134788</v>
      </c>
      <c r="AJ166">
        <f t="shared" si="127"/>
        <v>18000</v>
      </c>
      <c r="AK166">
        <f t="shared" si="128"/>
        <v>9853.0398600480003</v>
      </c>
      <c r="AL166">
        <v>1</v>
      </c>
      <c r="AM166">
        <f t="shared" si="129"/>
        <v>16.969124203415998</v>
      </c>
      <c r="AN166">
        <f t="shared" si="143"/>
        <v>640.92993003888944</v>
      </c>
      <c r="AO166">
        <f t="shared" si="144"/>
        <v>-1022.9797284686393</v>
      </c>
      <c r="AQ166">
        <f t="shared" si="130"/>
        <v>0.57388809182209466</v>
      </c>
      <c r="AR166">
        <f t="shared" si="131"/>
        <v>-75.753228120516496</v>
      </c>
      <c r="AT166">
        <f t="shared" si="156"/>
        <v>-155679.71425240531</v>
      </c>
      <c r="AU166">
        <f t="shared" si="157"/>
        <v>-358831.02981728804</v>
      </c>
      <c r="AV166">
        <f t="shared" si="145"/>
        <v>-1.9801411047897148</v>
      </c>
      <c r="AW166">
        <f t="shared" si="146"/>
        <v>-71499.416385756587</v>
      </c>
      <c r="AX166">
        <f t="shared" si="147"/>
        <v>-54095.727496908803</v>
      </c>
      <c r="AY166">
        <f t="shared" si="155"/>
        <v>-2.4938874104498199</v>
      </c>
      <c r="BA166">
        <f t="shared" si="132"/>
        <v>4.3626661102846889</v>
      </c>
      <c r="BB166">
        <f t="shared" si="148"/>
        <v>12.795039524418035</v>
      </c>
      <c r="BC166">
        <f t="shared" si="149"/>
        <v>0.51374630566010504</v>
      </c>
      <c r="BD166">
        <f t="shared" si="133"/>
        <v>-150.56450491160308</v>
      </c>
      <c r="BF166">
        <f t="shared" si="134"/>
        <v>-9.7315153974659427</v>
      </c>
      <c r="BG166">
        <f t="shared" si="135"/>
        <v>-120.43984825733787</v>
      </c>
      <c r="BH166">
        <f t="shared" si="150"/>
        <v>59.560151742662129</v>
      </c>
      <c r="BI166">
        <f t="shared" si="151"/>
        <v>59.560151742662129</v>
      </c>
      <c r="BJ166">
        <f t="shared" si="136"/>
        <v>0</v>
      </c>
      <c r="BK166">
        <f t="shared" si="152"/>
        <v>0</v>
      </c>
      <c r="BM166">
        <f t="shared" si="153"/>
        <v>-22.526554921883978</v>
      </c>
      <c r="BN166">
        <f t="shared" si="137"/>
        <v>-149.87534334573482</v>
      </c>
      <c r="BQ166" s="56">
        <f t="shared" si="154"/>
        <v>29.697000324703172</v>
      </c>
      <c r="BR166" s="59"/>
      <c r="BS166" s="59"/>
      <c r="BT166" s="59">
        <v>3630.7809999999999</v>
      </c>
      <c r="BU166" s="59">
        <v>4.4950999999999999</v>
      </c>
      <c r="BV166" s="59">
        <v>-246.21199999999999</v>
      </c>
      <c r="BW166" s="61"/>
      <c r="BY166" s="59"/>
      <c r="BZ166" s="59"/>
      <c r="CA166" s="59"/>
      <c r="CC166" s="59"/>
    </row>
    <row r="167" spans="1:81" x14ac:dyDescent="0.25">
      <c r="A167">
        <f t="shared" si="158"/>
        <v>66500</v>
      </c>
      <c r="B167">
        <f t="shared" si="138"/>
        <v>66.5</v>
      </c>
      <c r="C167">
        <f t="shared" si="107"/>
        <v>1.1420132099317986</v>
      </c>
      <c r="D167">
        <f t="shared" si="108"/>
        <v>0.50402325447305552</v>
      </c>
      <c r="F167">
        <f t="shared" si="109"/>
        <v>4.3061381498111029E-3</v>
      </c>
      <c r="G167">
        <f t="shared" si="110"/>
        <v>2.4747385789882278E-2</v>
      </c>
      <c r="H167">
        <f t="shared" si="111"/>
        <v>-3.1168452642101179</v>
      </c>
      <c r="J167">
        <f t="shared" si="112"/>
        <v>15</v>
      </c>
      <c r="M167">
        <f t="shared" si="113"/>
        <v>2.7414747052124537E-2</v>
      </c>
      <c r="N167">
        <f t="shared" si="114"/>
        <v>-1.5707963250000001</v>
      </c>
      <c r="O167">
        <f t="shared" si="115"/>
        <v>11.042705537200273</v>
      </c>
      <c r="P167">
        <f t="shared" si="116"/>
        <v>1.4801145783292073</v>
      </c>
      <c r="Q167">
        <f t="shared" si="117"/>
        <v>17.126896944982175</v>
      </c>
      <c r="R167">
        <f t="shared" si="118"/>
        <v>1.5123754077130231</v>
      </c>
      <c r="S167">
        <f t="shared" si="119"/>
        <v>0.8756466136321841</v>
      </c>
      <c r="T167">
        <f t="shared" si="120"/>
        <v>-0.5040232544730554</v>
      </c>
      <c r="U167">
        <f t="shared" si="121"/>
        <v>0.94673704175735063</v>
      </c>
      <c r="V167">
        <f t="shared" si="122"/>
        <v>-0.32784940127519063</v>
      </c>
      <c r="X167">
        <f t="shared" si="139"/>
        <v>-9.9770598697341022</v>
      </c>
      <c r="Y167">
        <f t="shared" si="123"/>
        <v>-115.90941963776046</v>
      </c>
      <c r="Z167">
        <f t="shared" si="140"/>
        <v>64.090580362239535</v>
      </c>
      <c r="AC167">
        <v>1</v>
      </c>
      <c r="AD167">
        <f t="shared" si="124"/>
        <v>10.997333566884</v>
      </c>
      <c r="AE167">
        <f t="shared" si="125"/>
        <v>-6.8925538895125516E-4</v>
      </c>
      <c r="AF167">
        <f t="shared" si="126"/>
        <v>2.0264843388825E-3</v>
      </c>
      <c r="AG167">
        <f t="shared" si="141"/>
        <v>4713.6681555715295</v>
      </c>
      <c r="AH167">
        <f t="shared" si="142"/>
        <v>-2096.6957880852201</v>
      </c>
      <c r="AJ167">
        <f t="shared" si="127"/>
        <v>18000</v>
      </c>
      <c r="AK167">
        <f t="shared" si="128"/>
        <v>9927.684101412</v>
      </c>
      <c r="AL167">
        <v>1</v>
      </c>
      <c r="AM167">
        <f t="shared" si="129"/>
        <v>17.097678174653996</v>
      </c>
      <c r="AN167">
        <f t="shared" si="143"/>
        <v>640.02987908052216</v>
      </c>
      <c r="AO167">
        <f t="shared" si="144"/>
        <v>-1015.3407932694809</v>
      </c>
      <c r="AQ167">
        <f t="shared" si="130"/>
        <v>0.56529112492933864</v>
      </c>
      <c r="AR167">
        <f t="shared" si="131"/>
        <v>-75.18371961560203</v>
      </c>
      <c r="AT167">
        <f t="shared" si="156"/>
        <v>-154972.79347640628</v>
      </c>
      <c r="AU167">
        <f t="shared" si="157"/>
        <v>-355576.3484901631</v>
      </c>
      <c r="AV167">
        <f t="shared" si="145"/>
        <v>-1.9818088212234726</v>
      </c>
      <c r="AW167">
        <f t="shared" si="146"/>
        <v>-70356.421333793143</v>
      </c>
      <c r="AX167">
        <f t="shared" si="147"/>
        <v>-53635.693939328579</v>
      </c>
      <c r="AY167">
        <f t="shared" si="155"/>
        <v>-2.4902389943675614</v>
      </c>
      <c r="BA167">
        <f t="shared" si="132"/>
        <v>4.3843497837204364</v>
      </c>
      <c r="BB167">
        <f t="shared" si="148"/>
        <v>12.838103898029098</v>
      </c>
      <c r="BC167">
        <f t="shared" si="149"/>
        <v>0.50843017314408878</v>
      </c>
      <c r="BD167">
        <f t="shared" si="133"/>
        <v>-150.86909686845112</v>
      </c>
      <c r="BF167">
        <f t="shared" si="134"/>
        <v>-9.8048891948689167</v>
      </c>
      <c r="BG167">
        <f t="shared" si="135"/>
        <v>-120.57277081633583</v>
      </c>
      <c r="BH167">
        <f t="shared" si="150"/>
        <v>59.427229183664167</v>
      </c>
      <c r="BI167">
        <f t="shared" si="151"/>
        <v>59.427229183664167</v>
      </c>
      <c r="BJ167">
        <f t="shared" si="136"/>
        <v>0</v>
      </c>
      <c r="BK167">
        <f t="shared" si="152"/>
        <v>0</v>
      </c>
      <c r="BM167">
        <f t="shared" si="153"/>
        <v>-22.642993092898017</v>
      </c>
      <c r="BN167">
        <f t="shared" si="137"/>
        <v>-149.70367394788474</v>
      </c>
      <c r="BQ167" s="56">
        <f t="shared" si="154"/>
        <v>29.740064698314232</v>
      </c>
      <c r="BR167" s="59"/>
      <c r="BS167" s="59"/>
      <c r="BT167" s="59">
        <v>3715.3519999999999</v>
      </c>
      <c r="BU167" s="59">
        <v>4.3437000000000001</v>
      </c>
      <c r="BV167" s="59">
        <v>-245.97</v>
      </c>
      <c r="BW167" s="61"/>
      <c r="BY167" s="59"/>
      <c r="BZ167" s="59"/>
      <c r="CA167" s="59"/>
      <c r="CC167" s="59"/>
    </row>
    <row r="168" spans="1:81" x14ac:dyDescent="0.25">
      <c r="A168">
        <f t="shared" si="158"/>
        <v>67000</v>
      </c>
      <c r="B168">
        <f t="shared" si="138"/>
        <v>67</v>
      </c>
      <c r="C168">
        <f t="shared" si="107"/>
        <v>1.1440217292094568</v>
      </c>
      <c r="D168">
        <f t="shared" si="108"/>
        <v>0.50719734370486891</v>
      </c>
      <c r="F168">
        <f t="shared" si="109"/>
        <v>4.2418534329209242E-3</v>
      </c>
      <c r="G168">
        <f t="shared" si="110"/>
        <v>2.4561196584112665E-2</v>
      </c>
      <c r="H168">
        <f t="shared" si="111"/>
        <v>-3.1170314534158874</v>
      </c>
      <c r="J168">
        <f t="shared" si="112"/>
        <v>15</v>
      </c>
      <c r="M168">
        <f t="shared" si="113"/>
        <v>2.7210159387556443E-2</v>
      </c>
      <c r="N168">
        <f t="shared" si="114"/>
        <v>-1.5707963250000001</v>
      </c>
      <c r="O168">
        <f t="shared" si="115"/>
        <v>11.12505503472161</v>
      </c>
      <c r="P168">
        <f t="shared" si="116"/>
        <v>1.4807876450694999</v>
      </c>
      <c r="Q168">
        <f t="shared" si="117"/>
        <v>17.25523323354868</v>
      </c>
      <c r="R168">
        <f t="shared" si="118"/>
        <v>1.5128104044433017</v>
      </c>
      <c r="S168">
        <f t="shared" si="119"/>
        <v>0.87410927123824944</v>
      </c>
      <c r="T168">
        <f t="shared" si="120"/>
        <v>-0.50719734370486891</v>
      </c>
      <c r="U168">
        <f t="shared" si="121"/>
        <v>0.9459970438171269</v>
      </c>
      <c r="V168">
        <f t="shared" si="122"/>
        <v>-0.33013976684291568</v>
      </c>
      <c r="X168">
        <f t="shared" si="139"/>
        <v>-10.050184311035444</v>
      </c>
      <c r="Y168">
        <f t="shared" si="123"/>
        <v>-115.98782841380793</v>
      </c>
      <c r="Z168">
        <f t="shared" si="140"/>
        <v>64.012171586192068</v>
      </c>
      <c r="AC168">
        <v>1</v>
      </c>
      <c r="AD168">
        <f t="shared" si="124"/>
        <v>11.080020285432001</v>
      </c>
      <c r="AE168">
        <f t="shared" si="125"/>
        <v>-6.9965909684033788E-4</v>
      </c>
      <c r="AF168">
        <f t="shared" si="126"/>
        <v>2.0417210632349999E-3</v>
      </c>
      <c r="AG168">
        <f t="shared" si="141"/>
        <v>4706.30234781535</v>
      </c>
      <c r="AH168">
        <f t="shared" si="142"/>
        <v>-2102.5434509297374</v>
      </c>
      <c r="AJ168">
        <f t="shared" si="127"/>
        <v>18000</v>
      </c>
      <c r="AK168">
        <f t="shared" si="128"/>
        <v>10002.328342776002</v>
      </c>
      <c r="AL168">
        <v>1</v>
      </c>
      <c r="AM168">
        <f t="shared" si="129"/>
        <v>17.226232145891998</v>
      </c>
      <c r="AN168">
        <f t="shared" si="143"/>
        <v>639.14981299542467</v>
      </c>
      <c r="AO168">
        <f t="shared" si="144"/>
        <v>-1007.8147118866432</v>
      </c>
      <c r="AQ168">
        <f t="shared" si="130"/>
        <v>0.55688589408030298</v>
      </c>
      <c r="AR168">
        <f t="shared" si="131"/>
        <v>-74.622709806760597</v>
      </c>
      <c r="AT168">
        <f t="shared" si="156"/>
        <v>-154276.6164040594</v>
      </c>
      <c r="AU168">
        <f t="shared" si="157"/>
        <v>-352367.91115341464</v>
      </c>
      <c r="AV168">
        <f t="shared" si="145"/>
        <v>-1.98348222732796</v>
      </c>
      <c r="AW168">
        <f t="shared" si="146"/>
        <v>-69238.996498083448</v>
      </c>
      <c r="AX168">
        <f t="shared" si="147"/>
        <v>-53184.309220431038</v>
      </c>
      <c r="AY168">
        <f t="shared" si="155"/>
        <v>-2.4865911472010462</v>
      </c>
      <c r="BA168">
        <f t="shared" si="132"/>
        <v>4.4058206515104867</v>
      </c>
      <c r="BB168">
        <f t="shared" si="148"/>
        <v>12.880536285506716</v>
      </c>
      <c r="BC168">
        <f t="shared" si="149"/>
        <v>0.50310891987308626</v>
      </c>
      <c r="BD168">
        <f t="shared" si="133"/>
        <v>-151.17398222294813</v>
      </c>
      <c r="BF168">
        <f t="shared" si="134"/>
        <v>-9.8778398967644172</v>
      </c>
      <c r="BG168">
        <f t="shared" si="135"/>
        <v>-120.70646210953788</v>
      </c>
      <c r="BH168">
        <f t="shared" si="150"/>
        <v>59.293537890462119</v>
      </c>
      <c r="BI168">
        <f t="shared" si="151"/>
        <v>59.293537890462119</v>
      </c>
      <c r="BJ168">
        <f t="shared" si="136"/>
        <v>0</v>
      </c>
      <c r="BK168">
        <f t="shared" si="152"/>
        <v>0</v>
      </c>
      <c r="BM168">
        <f t="shared" si="153"/>
        <v>-22.758376182271135</v>
      </c>
      <c r="BN168">
        <f t="shared" si="137"/>
        <v>-149.53247988658978</v>
      </c>
      <c r="BQ168" s="56">
        <f t="shared" si="154"/>
        <v>29.782497085791849</v>
      </c>
      <c r="BR168" s="59"/>
      <c r="BS168" s="59"/>
      <c r="BT168" s="59">
        <v>3801.8939999999998</v>
      </c>
      <c r="BU168" s="59">
        <v>4.1437400000000002</v>
      </c>
      <c r="BV168" s="59">
        <v>-245.16899999999998</v>
      </c>
      <c r="BW168" s="61"/>
      <c r="BY168" s="59"/>
      <c r="BZ168" s="59"/>
      <c r="CA168" s="59"/>
      <c r="CC168" s="59"/>
    </row>
    <row r="169" spans="1:81" x14ac:dyDescent="0.25">
      <c r="A169">
        <f t="shared" si="158"/>
        <v>67500</v>
      </c>
      <c r="B169">
        <f t="shared" si="138"/>
        <v>67.5</v>
      </c>
      <c r="C169">
        <f t="shared" si="107"/>
        <v>1.1460417338585007</v>
      </c>
      <c r="D169">
        <f t="shared" si="108"/>
        <v>0.51036027545719953</v>
      </c>
      <c r="F169">
        <f t="shared" si="109"/>
        <v>4.1789994040371875E-3</v>
      </c>
      <c r="G169">
        <f t="shared" si="110"/>
        <v>2.4377799028022829E-2</v>
      </c>
      <c r="H169">
        <f t="shared" si="111"/>
        <v>-3.1172148509719775</v>
      </c>
      <c r="J169">
        <f t="shared" si="112"/>
        <v>15</v>
      </c>
      <c r="M169">
        <f t="shared" si="113"/>
        <v>2.7008602651352319E-2</v>
      </c>
      <c r="N169">
        <f t="shared" si="114"/>
        <v>-1.5707963250000001</v>
      </c>
      <c r="O169">
        <f t="shared" si="115"/>
        <v>11.207409498037634</v>
      </c>
      <c r="P169">
        <f t="shared" si="116"/>
        <v>1.4814508204272721</v>
      </c>
      <c r="Q169">
        <f t="shared" si="117"/>
        <v>17.383572738977684</v>
      </c>
      <c r="R169">
        <f t="shared" si="118"/>
        <v>1.5132389782627269</v>
      </c>
      <c r="S169">
        <f t="shared" si="119"/>
        <v>0.872568572728319</v>
      </c>
      <c r="T169">
        <f t="shared" si="120"/>
        <v>-0.51036027545719953</v>
      </c>
      <c r="U169">
        <f t="shared" si="121"/>
        <v>0.94525325482433831</v>
      </c>
      <c r="V169">
        <f t="shared" si="122"/>
        <v>-0.3324265427967566</v>
      </c>
      <c r="X169">
        <f t="shared" si="139"/>
        <v>-10.122837099367468</v>
      </c>
      <c r="Y169">
        <f t="shared" si="123"/>
        <v>-116.06680631054199</v>
      </c>
      <c r="Z169">
        <f t="shared" si="140"/>
        <v>63.933193689458008</v>
      </c>
      <c r="AC169">
        <v>1</v>
      </c>
      <c r="AD169">
        <f t="shared" si="124"/>
        <v>11.16270700398</v>
      </c>
      <c r="AE169">
        <f t="shared" si="125"/>
        <v>-7.1014073512559359E-4</v>
      </c>
      <c r="AF169">
        <f t="shared" si="126"/>
        <v>2.0569577875874999E-3</v>
      </c>
      <c r="AG169">
        <f t="shared" si="141"/>
        <v>4698.9046085186901</v>
      </c>
      <c r="AH169">
        <f t="shared" si="142"/>
        <v>-2108.3969730195631</v>
      </c>
      <c r="AJ169">
        <f t="shared" si="127"/>
        <v>18000</v>
      </c>
      <c r="AK169">
        <f t="shared" si="128"/>
        <v>10076.97258414</v>
      </c>
      <c r="AL169">
        <v>1</v>
      </c>
      <c r="AM169">
        <f t="shared" si="129"/>
        <v>17.354786117130001</v>
      </c>
      <c r="AN169">
        <f t="shared" si="143"/>
        <v>638.28914511760672</v>
      </c>
      <c r="AO169">
        <f t="shared" si="144"/>
        <v>-1000.399010261818</v>
      </c>
      <c r="AQ169">
        <f t="shared" si="130"/>
        <v>0.54866673982223202</v>
      </c>
      <c r="AR169">
        <f t="shared" si="131"/>
        <v>-74.070009876001322</v>
      </c>
      <c r="AT169">
        <f t="shared" si="156"/>
        <v>-153590.85194179873</v>
      </c>
      <c r="AU169">
        <f t="shared" si="157"/>
        <v>-349204.71805280523</v>
      </c>
      <c r="AV169">
        <f t="shared" si="145"/>
        <v>-1.9851611040281125</v>
      </c>
      <c r="AW169">
        <f t="shared" si="146"/>
        <v>-68146.392464985343</v>
      </c>
      <c r="AX169">
        <f t="shared" si="147"/>
        <v>-52741.3308745744</v>
      </c>
      <c r="AY169">
        <f t="shared" si="155"/>
        <v>-2.4829441396878855</v>
      </c>
      <c r="BA169">
        <f t="shared" si="132"/>
        <v>4.427078312725075</v>
      </c>
      <c r="BB169">
        <f t="shared" si="148"/>
        <v>12.922344089830153</v>
      </c>
      <c r="BC169">
        <f t="shared" si="149"/>
        <v>0.497783035659773</v>
      </c>
      <c r="BD169">
        <f t="shared" si="133"/>
        <v>-151.479132910895</v>
      </c>
      <c r="BF169">
        <f t="shared" si="134"/>
        <v>-9.9503758841366086</v>
      </c>
      <c r="BG169">
        <f t="shared" si="135"/>
        <v>-120.84089806293022</v>
      </c>
      <c r="BH169">
        <f t="shared" si="150"/>
        <v>59.159101937069778</v>
      </c>
      <c r="BI169">
        <f t="shared" si="151"/>
        <v>59.159101937069778</v>
      </c>
      <c r="BJ169">
        <f t="shared" si="136"/>
        <v>0</v>
      </c>
      <c r="BK169">
        <f t="shared" si="152"/>
        <v>0</v>
      </c>
      <c r="BM169">
        <f t="shared" si="153"/>
        <v>-22.87271997396676</v>
      </c>
      <c r="BN169">
        <f t="shared" si="137"/>
        <v>-149.36176515203522</v>
      </c>
      <c r="BQ169" s="56">
        <f t="shared" si="154"/>
        <v>29.82430489011529</v>
      </c>
      <c r="BR169" s="59"/>
      <c r="BS169" s="59"/>
      <c r="BT169" s="59">
        <v>3890.451</v>
      </c>
      <c r="BU169" s="59">
        <v>3.9573</v>
      </c>
      <c r="BV169" s="59">
        <v>-244.768</v>
      </c>
      <c r="BW169" s="61"/>
      <c r="BY169" s="59"/>
      <c r="BZ169" s="59"/>
      <c r="CA169" s="59"/>
      <c r="CC169" s="59"/>
    </row>
    <row r="170" spans="1:81" x14ac:dyDescent="0.25">
      <c r="A170">
        <f t="shared" si="158"/>
        <v>68000</v>
      </c>
      <c r="B170">
        <f t="shared" si="138"/>
        <v>68</v>
      </c>
      <c r="C170">
        <f t="shared" si="107"/>
        <v>1.1480731632543026</v>
      </c>
      <c r="D170">
        <f t="shared" si="108"/>
        <v>0.51351204550633944</v>
      </c>
      <c r="F170">
        <f t="shared" si="109"/>
        <v>4.1175338686475441E-3</v>
      </c>
      <c r="G170">
        <f t="shared" si="110"/>
        <v>2.4197130566647664E-2</v>
      </c>
      <c r="H170">
        <f t="shared" si="111"/>
        <v>-3.1173955194333525</v>
      </c>
      <c r="J170">
        <f t="shared" si="112"/>
        <v>15</v>
      </c>
      <c r="M170">
        <f t="shared" si="113"/>
        <v>2.681000998479826E-2</v>
      </c>
      <c r="N170">
        <f t="shared" si="114"/>
        <v>-1.5707963250000001</v>
      </c>
      <c r="O170">
        <f t="shared" si="115"/>
        <v>11.289768818477736</v>
      </c>
      <c r="P170">
        <f t="shared" si="116"/>
        <v>1.4821043202868216</v>
      </c>
      <c r="Q170">
        <f t="shared" si="117"/>
        <v>17.511915390542963</v>
      </c>
      <c r="R170">
        <f t="shared" si="118"/>
        <v>1.513661270230251</v>
      </c>
      <c r="S170">
        <f t="shared" si="119"/>
        <v>0.87102462805194591</v>
      </c>
      <c r="T170">
        <f t="shared" si="120"/>
        <v>-0.51351204550633933</v>
      </c>
      <c r="U170">
        <f t="shared" si="121"/>
        <v>0.94450570702344283</v>
      </c>
      <c r="V170">
        <f t="shared" si="122"/>
        <v>-0.33470971370862435</v>
      </c>
      <c r="X170">
        <f t="shared" si="139"/>
        <v>-10.195025989557671</v>
      </c>
      <c r="Y170">
        <f t="shared" si="123"/>
        <v>-116.14633557679183</v>
      </c>
      <c r="Z170">
        <f t="shared" si="140"/>
        <v>63.853664423208173</v>
      </c>
      <c r="AC170">
        <v>1</v>
      </c>
      <c r="AD170">
        <f t="shared" si="124"/>
        <v>11.245393722528</v>
      </c>
      <c r="AE170">
        <f t="shared" si="125"/>
        <v>-7.2070030380702219E-4</v>
      </c>
      <c r="AF170">
        <f t="shared" si="126"/>
        <v>2.0721945119400002E-3</v>
      </c>
      <c r="AG170">
        <f t="shared" si="141"/>
        <v>4691.4753469794578</v>
      </c>
      <c r="AH170">
        <f t="shared" si="142"/>
        <v>-2114.2550482722754</v>
      </c>
      <c r="AJ170">
        <f t="shared" si="127"/>
        <v>18000</v>
      </c>
      <c r="AK170">
        <f t="shared" si="128"/>
        <v>10151.616825504001</v>
      </c>
      <c r="AL170">
        <v>1</v>
      </c>
      <c r="AM170">
        <f t="shared" si="129"/>
        <v>17.483340088367999</v>
      </c>
      <c r="AN170">
        <f t="shared" si="143"/>
        <v>637.44731012816658</v>
      </c>
      <c r="AO170">
        <f t="shared" si="144"/>
        <v>-993.09128588212218</v>
      </c>
      <c r="AQ170">
        <f t="shared" si="130"/>
        <v>0.54062820997999672</v>
      </c>
      <c r="AR170">
        <f t="shared" si="131"/>
        <v>-73.525436557279562</v>
      </c>
      <c r="AT170">
        <f t="shared" si="156"/>
        <v>-152915.18149864842</v>
      </c>
      <c r="AU170">
        <f t="shared" si="157"/>
        <v>-346085.79890656786</v>
      </c>
      <c r="AV170">
        <f t="shared" si="145"/>
        <v>-1.9868452383449049</v>
      </c>
      <c r="AW170">
        <f t="shared" si="146"/>
        <v>-67077.887046600707</v>
      </c>
      <c r="AX170">
        <f t="shared" si="147"/>
        <v>-52306.52533819872</v>
      </c>
      <c r="AY170">
        <f t="shared" si="155"/>
        <v>-2.4792982373684178</v>
      </c>
      <c r="BA170">
        <f t="shared" si="132"/>
        <v>4.4481223991935694</v>
      </c>
      <c r="BB170">
        <f t="shared" si="148"/>
        <v>12.963534584802792</v>
      </c>
      <c r="BC170">
        <f t="shared" si="149"/>
        <v>0.49245299902351292</v>
      </c>
      <c r="BD170">
        <f t="shared" si="133"/>
        <v>-151.78452151515177</v>
      </c>
      <c r="BF170">
        <f t="shared" si="134"/>
        <v>-10.022505326902703</v>
      </c>
      <c r="BG170">
        <f t="shared" si="135"/>
        <v>-120.97605508550892</v>
      </c>
      <c r="BH170">
        <f t="shared" si="150"/>
        <v>59.023944914491082</v>
      </c>
      <c r="BI170">
        <f t="shared" si="151"/>
        <v>59.023944914491082</v>
      </c>
      <c r="BJ170">
        <f t="shared" si="136"/>
        <v>0</v>
      </c>
      <c r="BK170">
        <f t="shared" si="152"/>
        <v>0</v>
      </c>
      <c r="BM170">
        <f t="shared" si="153"/>
        <v>-22.986039911705497</v>
      </c>
      <c r="BN170">
        <f t="shared" si="137"/>
        <v>-149.19153357035717</v>
      </c>
      <c r="BQ170" s="56">
        <f t="shared" si="154"/>
        <v>29.865495385087929</v>
      </c>
      <c r="BR170" s="59"/>
      <c r="BS170" s="59"/>
      <c r="BT170" s="59">
        <v>3981.0720000000001</v>
      </c>
      <c r="BU170" s="59">
        <v>3.8980899999999998</v>
      </c>
      <c r="BV170" s="59">
        <v>-244.315</v>
      </c>
      <c r="BW170" s="61"/>
      <c r="BY170" s="59"/>
      <c r="BZ170" s="59"/>
      <c r="CA170" s="59"/>
      <c r="CC170" s="59"/>
    </row>
    <row r="171" spans="1:81" x14ac:dyDescent="0.25">
      <c r="A171">
        <f t="shared" si="158"/>
        <v>68500</v>
      </c>
      <c r="B171">
        <f t="shared" si="138"/>
        <v>68.5</v>
      </c>
      <c r="C171">
        <f t="shared" si="107"/>
        <v>1.1501159568588815</v>
      </c>
      <c r="D171">
        <f t="shared" si="108"/>
        <v>0.51665265054533982</v>
      </c>
      <c r="F171">
        <f t="shared" si="109"/>
        <v>4.0574161782779075E-3</v>
      </c>
      <c r="G171">
        <f t="shared" si="110"/>
        <v>2.4019130506881831E-2</v>
      </c>
      <c r="H171">
        <f t="shared" si="111"/>
        <v>-3.1175735194931185</v>
      </c>
      <c r="J171">
        <f t="shared" si="112"/>
        <v>15</v>
      </c>
      <c r="M171">
        <f t="shared" si="113"/>
        <v>2.6614316481259583E-2</v>
      </c>
      <c r="N171">
        <f t="shared" si="114"/>
        <v>-1.5707963250000001</v>
      </c>
      <c r="O171">
        <f t="shared" si="115"/>
        <v>11.372132890513047</v>
      </c>
      <c r="P171">
        <f t="shared" si="116"/>
        <v>1.4827483543117843</v>
      </c>
      <c r="Q171">
        <f t="shared" si="117"/>
        <v>17.640261119574877</v>
      </c>
      <c r="R171">
        <f t="shared" si="118"/>
        <v>1.5140774173087139</v>
      </c>
      <c r="S171">
        <f t="shared" si="119"/>
        <v>0.86947754618684892</v>
      </c>
      <c r="T171">
        <f t="shared" si="120"/>
        <v>-0.5166526505453396</v>
      </c>
      <c r="U171">
        <f t="shared" si="121"/>
        <v>0.9437544326784687</v>
      </c>
      <c r="V171">
        <f t="shared" si="122"/>
        <v>-0.3369892643493741</v>
      </c>
      <c r="X171">
        <f t="shared" si="139"/>
        <v>-10.266758549315757</v>
      </c>
      <c r="Y171">
        <f t="shared" si="123"/>
        <v>-116.22639895721647</v>
      </c>
      <c r="Z171">
        <f t="shared" si="140"/>
        <v>63.773601042783525</v>
      </c>
      <c r="AC171">
        <v>1</v>
      </c>
      <c r="AD171">
        <f t="shared" si="124"/>
        <v>11.328080441076001</v>
      </c>
      <c r="AE171">
        <f t="shared" si="125"/>
        <v>-7.3133780288462357E-4</v>
      </c>
      <c r="AF171">
        <f t="shared" si="126"/>
        <v>2.0874312362924997E-3</v>
      </c>
      <c r="AG171">
        <f t="shared" si="141"/>
        <v>4684.0149721240841</v>
      </c>
      <c r="AH171">
        <f t="shared" si="142"/>
        <v>-2120.1164097995588</v>
      </c>
      <c r="AJ171">
        <f t="shared" si="127"/>
        <v>18000</v>
      </c>
      <c r="AK171">
        <f t="shared" si="128"/>
        <v>10226.261066868001</v>
      </c>
      <c r="AL171">
        <v>1</v>
      </c>
      <c r="AM171">
        <f t="shared" si="129"/>
        <v>17.611894059605998</v>
      </c>
      <c r="AN171">
        <f t="shared" si="143"/>
        <v>636.62376313091829</v>
      </c>
      <c r="AO171">
        <f t="shared" si="144"/>
        <v>-985.88920522143553</v>
      </c>
      <c r="AQ171">
        <f t="shared" si="130"/>
        <v>0.53276505061267976</v>
      </c>
      <c r="AR171">
        <f t="shared" si="131"/>
        <v>-72.988811933937129</v>
      </c>
      <c r="AT171">
        <f t="shared" si="156"/>
        <v>-152249.29843921974</v>
      </c>
      <c r="AU171">
        <f t="shared" si="157"/>
        <v>-343010.21182248218</v>
      </c>
      <c r="AV171">
        <f t="shared" si="145"/>
        <v>-1.9885344231836857</v>
      </c>
      <c r="AW171">
        <f t="shared" si="146"/>
        <v>-66032.78410330652</v>
      </c>
      <c r="AX171">
        <f t="shared" si="147"/>
        <v>-51879.667549006263</v>
      </c>
      <c r="AY171">
        <f t="shared" si="155"/>
        <v>-2.4756537007271748</v>
      </c>
      <c r="BA171">
        <f t="shared" si="132"/>
        <v>4.4689525754114108</v>
      </c>
      <c r="BB171">
        <f t="shared" si="148"/>
        <v>13.004114918911302</v>
      </c>
      <c r="BC171">
        <f t="shared" si="149"/>
        <v>0.48711927754348916</v>
      </c>
      <c r="BD171">
        <f t="shared" si="133"/>
        <v>-152.09012124540462</v>
      </c>
      <c r="BF171">
        <f t="shared" si="134"/>
        <v>-10.094236190022245</v>
      </c>
      <c r="BG171">
        <f t="shared" si="135"/>
        <v>-121.11191005389323</v>
      </c>
      <c r="BH171">
        <f t="shared" si="150"/>
        <v>58.888089946106774</v>
      </c>
      <c r="BI171">
        <f t="shared" si="151"/>
        <v>58.888089946106774</v>
      </c>
      <c r="BJ171">
        <f t="shared" si="136"/>
        <v>0</v>
      </c>
      <c r="BK171">
        <f t="shared" si="152"/>
        <v>0</v>
      </c>
      <c r="BM171">
        <f t="shared" si="153"/>
        <v>-23.098351108933549</v>
      </c>
      <c r="BN171">
        <f t="shared" si="137"/>
        <v>-149.02178880848862</v>
      </c>
      <c r="BQ171" s="56">
        <f t="shared" si="154"/>
        <v>29.906075719196437</v>
      </c>
      <c r="BR171" s="59"/>
      <c r="BS171" s="59"/>
      <c r="BT171" s="59">
        <v>4073.8029999999999</v>
      </c>
      <c r="BU171" s="59">
        <v>3.5600999999999998</v>
      </c>
      <c r="BV171" s="59">
        <v>-244.142</v>
      </c>
      <c r="BW171" s="61"/>
      <c r="BY171" s="59"/>
      <c r="BZ171" s="59"/>
      <c r="CA171" s="59"/>
      <c r="CC171" s="59"/>
    </row>
    <row r="172" spans="1:81" x14ac:dyDescent="0.25">
      <c r="A172">
        <f t="shared" si="158"/>
        <v>69000</v>
      </c>
      <c r="B172">
        <f t="shared" si="138"/>
        <v>69</v>
      </c>
      <c r="C172">
        <f t="shared" si="107"/>
        <v>1.1521700542261282</v>
      </c>
      <c r="D172">
        <f t="shared" si="108"/>
        <v>0.51978208817162952</v>
      </c>
      <c r="F172">
        <f t="shared" si="109"/>
        <v>3.9986071629283032E-3</v>
      </c>
      <c r="G172">
        <f t="shared" si="110"/>
        <v>2.3843739948483943E-2</v>
      </c>
      <c r="H172">
        <f t="shared" si="111"/>
        <v>-3.1177489100515161</v>
      </c>
      <c r="J172">
        <f t="shared" si="112"/>
        <v>15</v>
      </c>
      <c r="M172">
        <f t="shared" si="113"/>
        <v>2.642145911545336E-2</v>
      </c>
      <c r="N172">
        <f t="shared" si="114"/>
        <v>-1.5707963250000001</v>
      </c>
      <c r="O172">
        <f t="shared" si="115"/>
        <v>11.454501611643938</v>
      </c>
      <c r="P172">
        <f t="shared" si="116"/>
        <v>1.4833831261670103</v>
      </c>
      <c r="Q172">
        <f t="shared" si="117"/>
        <v>17.768609859386206</v>
      </c>
      <c r="R172">
        <f t="shared" si="118"/>
        <v>1.5144875525122952</v>
      </c>
      <c r="S172">
        <f t="shared" si="119"/>
        <v>0.8679274351316697</v>
      </c>
      <c r="T172">
        <f t="shared" si="120"/>
        <v>-0.51978208817162941</v>
      </c>
      <c r="U172">
        <f t="shared" si="121"/>
        <v>0.94299946406987056</v>
      </c>
      <c r="V172">
        <f t="shared" si="122"/>
        <v>-0.33926517968861369</v>
      </c>
      <c r="X172">
        <f t="shared" si="139"/>
        <v>-10.338042165101736</v>
      </c>
      <c r="Y172">
        <f t="shared" si="123"/>
        <v>-116.30697967508561</v>
      </c>
      <c r="Z172">
        <f t="shared" si="140"/>
        <v>63.693020324914386</v>
      </c>
      <c r="AC172">
        <v>1</v>
      </c>
      <c r="AD172">
        <f t="shared" si="124"/>
        <v>11.410767159624001</v>
      </c>
      <c r="AE172">
        <f t="shared" si="125"/>
        <v>-7.4205323235839794E-4</v>
      </c>
      <c r="AF172">
        <f t="shared" si="126"/>
        <v>2.1026679606450001E-3</v>
      </c>
      <c r="AG172">
        <f t="shared" si="141"/>
        <v>4676.5238924628748</v>
      </c>
      <c r="AH172">
        <f t="shared" si="142"/>
        <v>-2125.9798286135947</v>
      </c>
      <c r="AJ172">
        <f t="shared" si="127"/>
        <v>18000</v>
      </c>
      <c r="AK172">
        <f t="shared" si="128"/>
        <v>10300.905308232001</v>
      </c>
      <c r="AL172">
        <v>1</v>
      </c>
      <c r="AM172">
        <f t="shared" si="129"/>
        <v>17.740448030844</v>
      </c>
      <c r="AN172">
        <f t="shared" si="143"/>
        <v>635.81797877433576</v>
      </c>
      <c r="AO172">
        <f t="shared" si="144"/>
        <v>-978.79050129037626</v>
      </c>
      <c r="AQ172">
        <f t="shared" si="130"/>
        <v>0.52507219742714628</v>
      </c>
      <c r="AR172">
        <f t="shared" si="131"/>
        <v>-72.459963244946181</v>
      </c>
      <c r="AT172">
        <f t="shared" si="156"/>
        <v>-151592.907564302</v>
      </c>
      <c r="AU172">
        <f t="shared" si="157"/>
        <v>-339977.04226226849</v>
      </c>
      <c r="AV172">
        <f t="shared" si="145"/>
        <v>-1.9902284571314994</v>
      </c>
      <c r="AW172">
        <f t="shared" si="146"/>
        <v>-65010.412425202529</v>
      </c>
      <c r="AX172">
        <f t="shared" si="147"/>
        <v>-51460.540566350304</v>
      </c>
      <c r="AY172">
        <f t="shared" si="155"/>
        <v>-2.4720107853271189</v>
      </c>
      <c r="BA172">
        <f t="shared" si="132"/>
        <v>4.4895685384378909</v>
      </c>
      <c r="BB172">
        <f t="shared" si="148"/>
        <v>13.044092119045276</v>
      </c>
      <c r="BC172">
        <f t="shared" si="149"/>
        <v>0.4817823281956195</v>
      </c>
      <c r="BD172">
        <f t="shared" si="133"/>
        <v>-152.39590591886204</v>
      </c>
      <c r="BF172">
        <f t="shared" si="134"/>
        <v>-10.165576239374907</v>
      </c>
      <c r="BG172">
        <f t="shared" si="135"/>
        <v>-121.24844029768404</v>
      </c>
      <c r="BH172">
        <f t="shared" si="150"/>
        <v>58.751559702315959</v>
      </c>
      <c r="BI172">
        <f t="shared" si="151"/>
        <v>58.751559702315959</v>
      </c>
      <c r="BJ172">
        <f t="shared" si="136"/>
        <v>0</v>
      </c>
      <c r="BK172">
        <f t="shared" si="152"/>
        <v>0</v>
      </c>
      <c r="BM172">
        <f t="shared" si="153"/>
        <v>-23.209668358420181</v>
      </c>
      <c r="BN172">
        <f t="shared" si="137"/>
        <v>-148.85253437882199</v>
      </c>
      <c r="BQ172" s="56">
        <f t="shared" si="154"/>
        <v>29.946052919330413</v>
      </c>
      <c r="BR172" s="59"/>
      <c r="BS172" s="59"/>
      <c r="BT172" s="59">
        <v>4168.6940000000004</v>
      </c>
      <c r="BU172" s="59">
        <v>3.4098799999999998</v>
      </c>
      <c r="BV172" s="59">
        <v>-243.709</v>
      </c>
      <c r="BW172" s="61"/>
      <c r="BY172" s="59"/>
      <c r="BZ172" s="59"/>
      <c r="CA172" s="59"/>
      <c r="CC172" s="59"/>
    </row>
    <row r="173" spans="1:81" x14ac:dyDescent="0.25">
      <c r="A173">
        <f t="shared" si="158"/>
        <v>69500</v>
      </c>
      <c r="B173">
        <f t="shared" si="138"/>
        <v>69.5</v>
      </c>
      <c r="C173">
        <f t="shared" si="107"/>
        <v>1.1542353950069264</v>
      </c>
      <c r="D173">
        <f t="shared" si="108"/>
        <v>0.52290035687461767</v>
      </c>
      <c r="F173">
        <f t="shared" si="109"/>
        <v>3.941069066932569E-3</v>
      </c>
      <c r="G173">
        <f t="shared" si="110"/>
        <v>2.3670901718136361E-2</v>
      </c>
      <c r="H173">
        <f t="shared" si="111"/>
        <v>-3.117921748281864</v>
      </c>
      <c r="J173">
        <f t="shared" si="112"/>
        <v>15</v>
      </c>
      <c r="M173">
        <f t="shared" si="113"/>
        <v>2.6231376675773837E-2</v>
      </c>
      <c r="N173">
        <f t="shared" si="114"/>
        <v>-1.5707963250000001</v>
      </c>
      <c r="O173">
        <f t="shared" si="115"/>
        <v>11.536874882292302</v>
      </c>
      <c r="P173">
        <f t="shared" si="116"/>
        <v>1.4840088337310333</v>
      </c>
      <c r="Q173">
        <f t="shared" si="117"/>
        <v>17.896961545201197</v>
      </c>
      <c r="R173">
        <f t="shared" si="118"/>
        <v>1.5148918050476459</v>
      </c>
      <c r="S173">
        <f t="shared" si="119"/>
        <v>0.86637440189918902</v>
      </c>
      <c r="T173">
        <f t="shared" si="120"/>
        <v>-0.52290035687461767</v>
      </c>
      <c r="U173">
        <f t="shared" si="121"/>
        <v>0.94224083349141374</v>
      </c>
      <c r="V173">
        <f t="shared" si="122"/>
        <v>-0.34153744489449067</v>
      </c>
      <c r="X173">
        <f t="shared" si="139"/>
        <v>-10.408884047764857</v>
      </c>
      <c r="Y173">
        <f t="shared" si="123"/>
        <v>-116.38806141578588</v>
      </c>
      <c r="Z173">
        <f t="shared" si="140"/>
        <v>63.611938584214116</v>
      </c>
      <c r="AC173">
        <v>1</v>
      </c>
      <c r="AD173">
        <f t="shared" si="124"/>
        <v>11.493453878172001</v>
      </c>
      <c r="AE173">
        <f t="shared" si="125"/>
        <v>-7.5284659222834519E-4</v>
      </c>
      <c r="AF173">
        <f t="shared" si="126"/>
        <v>2.1179046849975E-3</v>
      </c>
      <c r="AG173">
        <f t="shared" si="141"/>
        <v>4669.0025160458845</v>
      </c>
      <c r="AH173">
        <f t="shared" si="142"/>
        <v>-2131.8441123879206</v>
      </c>
      <c r="AJ173">
        <f t="shared" si="127"/>
        <v>18000</v>
      </c>
      <c r="AK173">
        <f t="shared" si="128"/>
        <v>10375.549549596</v>
      </c>
      <c r="AL173">
        <v>1</v>
      </c>
      <c r="AM173">
        <f t="shared" si="129"/>
        <v>17.869002002081999</v>
      </c>
      <c r="AN173">
        <f t="shared" si="143"/>
        <v>635.02945041717805</v>
      </c>
      <c r="AO173">
        <f t="shared" si="144"/>
        <v>-971.79297128958569</v>
      </c>
      <c r="AQ173">
        <f t="shared" si="130"/>
        <v>0.51754476762239932</v>
      </c>
      <c r="AR173">
        <f t="shared" si="131"/>
        <v>-71.938722699513505</v>
      </c>
      <c r="AT173">
        <f t="shared" si="156"/>
        <v>-150945.72461746976</v>
      </c>
      <c r="AU173">
        <f t="shared" si="157"/>
        <v>-336985.40205090871</v>
      </c>
      <c r="AV173">
        <f t="shared" si="145"/>
        <v>-1.9919271442629582</v>
      </c>
      <c r="AW173">
        <f t="shared" si="146"/>
        <v>-64010.12466913445</v>
      </c>
      <c r="AX173">
        <f t="shared" si="147"/>
        <v>-51048.935211550779</v>
      </c>
      <c r="AY173">
        <f t="shared" si="155"/>
        <v>-2.4683697419370549</v>
      </c>
      <c r="BA173">
        <f t="shared" si="132"/>
        <v>4.509970017784724</v>
      </c>
      <c r="BB173">
        <f t="shared" si="148"/>
        <v>13.083473094082796</v>
      </c>
      <c r="BC173">
        <f t="shared" si="149"/>
        <v>0.47644259767409669</v>
      </c>
      <c r="BD173">
        <f t="shared" si="133"/>
        <v>-152.70184994183208</v>
      </c>
      <c r="BF173">
        <f t="shared" si="134"/>
        <v>-10.236533047417948</v>
      </c>
      <c r="BG173">
        <f t="shared" si="135"/>
        <v>-121.38562358552974</v>
      </c>
      <c r="BH173">
        <f t="shared" si="150"/>
        <v>58.614376414470257</v>
      </c>
      <c r="BI173">
        <f t="shared" si="151"/>
        <v>58.614376414470257</v>
      </c>
      <c r="BJ173">
        <f t="shared" si="136"/>
        <v>0</v>
      </c>
      <c r="BK173">
        <f t="shared" si="152"/>
        <v>0</v>
      </c>
      <c r="BM173">
        <f t="shared" si="153"/>
        <v>-23.320006141500748</v>
      </c>
      <c r="BN173">
        <f t="shared" si="137"/>
        <v>-148.68377364369766</v>
      </c>
      <c r="BQ173" s="56">
        <f t="shared" si="154"/>
        <v>29.985433894367933</v>
      </c>
      <c r="BR173" s="59"/>
      <c r="BS173" s="59"/>
      <c r="BT173" s="59">
        <v>4265.7950000000001</v>
      </c>
      <c r="BU173" s="59">
        <v>3.2244999999999999</v>
      </c>
      <c r="BV173" s="59">
        <v>-243.32400000000001</v>
      </c>
      <c r="BW173" s="61"/>
      <c r="BY173" s="59"/>
      <c r="BZ173" s="59"/>
      <c r="CA173" s="59"/>
      <c r="CC173" s="59"/>
    </row>
    <row r="174" spans="1:81" x14ac:dyDescent="0.25">
      <c r="A174">
        <f t="shared" si="158"/>
        <v>70000</v>
      </c>
      <c r="B174">
        <f t="shared" si="138"/>
        <v>70</v>
      </c>
      <c r="C174">
        <f t="shared" si="107"/>
        <v>1.1563119189541766</v>
      </c>
      <c r="D174">
        <f t="shared" si="108"/>
        <v>0.52600745602328525</v>
      </c>
      <c r="F174">
        <f t="shared" si="109"/>
        <v>3.8847654880448407E-3</v>
      </c>
      <c r="G174">
        <f t="shared" si="110"/>
        <v>2.3500560306403243E-2</v>
      </c>
      <c r="H174">
        <f t="shared" si="111"/>
        <v>-3.1180920896935969</v>
      </c>
      <c r="J174">
        <f t="shared" si="112"/>
        <v>15</v>
      </c>
      <c r="M174">
        <f t="shared" si="113"/>
        <v>2.6044009699518308E-2</v>
      </c>
      <c r="N174">
        <f t="shared" si="114"/>
        <v>-1.5707963250000001</v>
      </c>
      <c r="O174">
        <f t="shared" si="115"/>
        <v>11.619252605698392</v>
      </c>
      <c r="P174">
        <f t="shared" si="116"/>
        <v>1.4846256692995998</v>
      </c>
      <c r="Q174">
        <f t="shared" si="117"/>
        <v>18.025316114087605</v>
      </c>
      <c r="R174">
        <f t="shared" si="118"/>
        <v>1.5152903004490204</v>
      </c>
      <c r="S174">
        <f t="shared" si="119"/>
        <v>0.86481855250999007</v>
      </c>
      <c r="T174">
        <f t="shared" si="120"/>
        <v>-0.52600745602328502</v>
      </c>
      <c r="U174">
        <f t="shared" si="121"/>
        <v>0.94147857324708151</v>
      </c>
      <c r="V174">
        <f t="shared" si="122"/>
        <v>-0.34380604533345782</v>
      </c>
      <c r="X174">
        <f t="shared" si="139"/>
        <v>-10.479291237963992</v>
      </c>
      <c r="Y174">
        <f t="shared" si="123"/>
        <v>-116.46962831101544</v>
      </c>
      <c r="Z174">
        <f t="shared" si="140"/>
        <v>63.530371688984559</v>
      </c>
      <c r="AC174">
        <v>1</v>
      </c>
      <c r="AD174">
        <f t="shared" si="124"/>
        <v>11.57614059672</v>
      </c>
      <c r="AE174">
        <f t="shared" si="125"/>
        <v>-7.6371788249446544E-4</v>
      </c>
      <c r="AF174">
        <f t="shared" si="126"/>
        <v>2.1331414093499999E-3</v>
      </c>
      <c r="AG174">
        <f t="shared" si="141"/>
        <v>4661.4512504192671</v>
      </c>
      <c r="AH174">
        <f t="shared" si="142"/>
        <v>-2137.7081042699792</v>
      </c>
      <c r="AJ174">
        <f t="shared" si="127"/>
        <v>18000</v>
      </c>
      <c r="AK174">
        <f t="shared" si="128"/>
        <v>10450.19379096</v>
      </c>
      <c r="AL174">
        <v>1</v>
      </c>
      <c r="AM174">
        <f t="shared" si="129"/>
        <v>17.997555973319997</v>
      </c>
      <c r="AN174">
        <f t="shared" si="143"/>
        <v>634.25768933533516</v>
      </c>
      <c r="AO174">
        <f t="shared" si="144"/>
        <v>-964.89447436129933</v>
      </c>
      <c r="AQ174">
        <f t="shared" si="130"/>
        <v>0.51017805214019696</v>
      </c>
      <c r="AR174">
        <f t="shared" si="131"/>
        <v>-71.424927299627569</v>
      </c>
      <c r="AT174">
        <f t="shared" si="156"/>
        <v>-150307.47581622255</v>
      </c>
      <c r="AU174">
        <f t="shared" si="157"/>
        <v>-334034.42842863494</v>
      </c>
      <c r="AV174">
        <f t="shared" si="145"/>
        <v>-1.9936302939542376</v>
      </c>
      <c r="AW174">
        <f t="shared" si="146"/>
        <v>-63031.296348163451</v>
      </c>
      <c r="AX174">
        <f t="shared" si="147"/>
        <v>-50644.649726942276</v>
      </c>
      <c r="AY174">
        <f t="shared" si="155"/>
        <v>-2.4647308166525819</v>
      </c>
      <c r="BA174">
        <f t="shared" si="132"/>
        <v>4.5301567752951888</v>
      </c>
      <c r="BB174">
        <f t="shared" si="148"/>
        <v>13.122264638346913</v>
      </c>
      <c r="BC174">
        <f t="shared" si="149"/>
        <v>0.47110052269834424</v>
      </c>
      <c r="BD174">
        <f t="shared" si="133"/>
        <v>-153.00792829213489</v>
      </c>
      <c r="BF174">
        <f t="shared" si="134"/>
        <v>-10.307113998634092</v>
      </c>
      <c r="BG174">
        <f t="shared" si="135"/>
        <v>-121.52343811186155</v>
      </c>
      <c r="BH174">
        <f t="shared" si="150"/>
        <v>58.476561888138448</v>
      </c>
      <c r="BI174">
        <f t="shared" si="151"/>
        <v>58.476561888138448</v>
      </c>
      <c r="BJ174">
        <f t="shared" si="136"/>
        <v>0</v>
      </c>
      <c r="BK174">
        <f t="shared" si="152"/>
        <v>0</v>
      </c>
      <c r="BM174">
        <f t="shared" si="153"/>
        <v>-23.429378636981006</v>
      </c>
      <c r="BN174">
        <f t="shared" si="137"/>
        <v>-148.51550981972665</v>
      </c>
      <c r="BQ174" s="56">
        <f t="shared" si="154"/>
        <v>30.024225438632048</v>
      </c>
      <c r="BR174" s="59"/>
      <c r="BS174" s="59"/>
      <c r="BT174" s="59">
        <v>4365.1580000000004</v>
      </c>
      <c r="BU174" s="59">
        <v>3.07782</v>
      </c>
      <c r="BV174" s="59">
        <v>-242.172</v>
      </c>
      <c r="BW174" s="61"/>
      <c r="BY174" s="59"/>
      <c r="BZ174" s="59"/>
      <c r="CA174" s="59"/>
      <c r="CC174" s="59"/>
    </row>
    <row r="175" spans="1:81" x14ac:dyDescent="0.25">
      <c r="A175">
        <f t="shared" si="158"/>
        <v>70500</v>
      </c>
      <c r="B175">
        <f t="shared" si="138"/>
        <v>70.5</v>
      </c>
      <c r="C175">
        <f t="shared" si="107"/>
        <v>1.1583995659277173</v>
      </c>
      <c r="D175">
        <f t="shared" si="108"/>
        <v>0.52910338585376948</v>
      </c>
      <c r="F175">
        <f t="shared" si="109"/>
        <v>3.8296613195683933E-3</v>
      </c>
      <c r="G175">
        <f t="shared" si="110"/>
        <v>2.3332661807439092E-2</v>
      </c>
      <c r="H175">
        <f t="shared" si="111"/>
        <v>-3.1182599881925612</v>
      </c>
      <c r="J175">
        <f t="shared" si="112"/>
        <v>15</v>
      </c>
      <c r="M175">
        <f t="shared" si="113"/>
        <v>2.5859300410869243E-2</v>
      </c>
      <c r="N175">
        <f t="shared" si="114"/>
        <v>-1.5707963250000001</v>
      </c>
      <c r="O175">
        <f t="shared" si="115"/>
        <v>11.701634687822008</v>
      </c>
      <c r="P175">
        <f t="shared" si="116"/>
        <v>1.4852338197806849</v>
      </c>
      <c r="Q175">
        <f t="shared" si="117"/>
        <v>18.153673504891632</v>
      </c>
      <c r="R175">
        <f t="shared" si="118"/>
        <v>1.5156831607076955</v>
      </c>
      <c r="S175">
        <f t="shared" si="119"/>
        <v>0.86325999198656356</v>
      </c>
      <c r="T175">
        <f t="shared" si="120"/>
        <v>-0.52910338585376937</v>
      </c>
      <c r="U175">
        <f t="shared" si="121"/>
        <v>0.94071271564800862</v>
      </c>
      <c r="V175">
        <f t="shared" si="122"/>
        <v>-0.34607096657001746</v>
      </c>
      <c r="X175">
        <f t="shared" si="139"/>
        <v>-10.54927061137974</v>
      </c>
      <c r="Y175">
        <f t="shared" si="123"/>
        <v>-116.55166492363534</v>
      </c>
      <c r="Z175">
        <f t="shared" si="140"/>
        <v>63.448335076364657</v>
      </c>
      <c r="AC175">
        <v>1</v>
      </c>
      <c r="AD175">
        <f t="shared" si="124"/>
        <v>11.658827315268001</v>
      </c>
      <c r="AE175">
        <f t="shared" si="125"/>
        <v>-7.7466710315675857E-4</v>
      </c>
      <c r="AF175">
        <f t="shared" si="126"/>
        <v>2.1483781337024999E-3</v>
      </c>
      <c r="AG175">
        <f t="shared" si="141"/>
        <v>4653.8705025821455</v>
      </c>
      <c r="AH175">
        <f t="shared" si="142"/>
        <v>-2143.5706817428031</v>
      </c>
      <c r="AJ175">
        <f t="shared" si="127"/>
        <v>18000</v>
      </c>
      <c r="AK175">
        <f t="shared" si="128"/>
        <v>10524.838032324</v>
      </c>
      <c r="AL175">
        <v>1</v>
      </c>
      <c r="AM175">
        <f t="shared" si="129"/>
        <v>18.126109944557999</v>
      </c>
      <c r="AN175">
        <f t="shared" si="143"/>
        <v>633.50222396758477</v>
      </c>
      <c r="AO175">
        <f t="shared" si="144"/>
        <v>-958.09292943444598</v>
      </c>
      <c r="AQ175">
        <f t="shared" si="130"/>
        <v>0.50296750829896386</v>
      </c>
      <c r="AR175">
        <f t="shared" si="131"/>
        <v>-70.918418670153912</v>
      </c>
      <c r="AT175">
        <f t="shared" si="156"/>
        <v>-149677.89740627358</v>
      </c>
      <c r="AU175">
        <f t="shared" si="157"/>
        <v>-331123.28314345912</v>
      </c>
      <c r="AV175">
        <f t="shared" si="145"/>
        <v>-1.995337720704806</v>
      </c>
      <c r="AW175">
        <f t="shared" si="146"/>
        <v>-62073.324870548393</v>
      </c>
      <c r="AX175">
        <f t="shared" si="147"/>
        <v>-50247.489452539703</v>
      </c>
      <c r="AY175">
        <f t="shared" si="155"/>
        <v>-2.4610942510109504</v>
      </c>
      <c r="BA175">
        <f t="shared" si="132"/>
        <v>4.5501286050138408</v>
      </c>
      <c r="BB175">
        <f t="shared" si="148"/>
        <v>13.160473434938032</v>
      </c>
      <c r="BC175">
        <f t="shared" si="149"/>
        <v>0.46575653030614439</v>
      </c>
      <c r="BD175">
        <f t="shared" si="133"/>
        <v>-153.31411650230785</v>
      </c>
      <c r="BF175">
        <f t="shared" si="134"/>
        <v>-10.37732629477965</v>
      </c>
      <c r="BG175">
        <f t="shared" si="135"/>
        <v>-121.66186248426463</v>
      </c>
      <c r="BH175">
        <f t="shared" si="150"/>
        <v>58.338137515735369</v>
      </c>
      <c r="BI175">
        <f t="shared" si="151"/>
        <v>58.338137515735369</v>
      </c>
      <c r="BJ175">
        <f t="shared" si="136"/>
        <v>0</v>
      </c>
      <c r="BK175">
        <f t="shared" si="152"/>
        <v>0</v>
      </c>
      <c r="BM175">
        <f t="shared" si="153"/>
        <v>-23.537799729717683</v>
      </c>
      <c r="BN175">
        <f t="shared" si="137"/>
        <v>-148.34774598195679</v>
      </c>
      <c r="BQ175" s="56">
        <f t="shared" si="154"/>
        <v>30.062434235223169</v>
      </c>
      <c r="BR175" s="59"/>
      <c r="BS175" s="59"/>
      <c r="BT175" s="59">
        <v>4466.8360000000002</v>
      </c>
      <c r="BU175" s="59">
        <v>2.9233199999999999</v>
      </c>
      <c r="BV175" s="59">
        <v>-240.90300000000002</v>
      </c>
      <c r="BW175" s="61"/>
      <c r="BY175" s="59"/>
      <c r="BZ175" s="59"/>
      <c r="CA175" s="59"/>
      <c r="CC175" s="59"/>
    </row>
    <row r="176" spans="1:81" x14ac:dyDescent="0.25">
      <c r="A176">
        <f t="shared" si="158"/>
        <v>71000</v>
      </c>
      <c r="B176">
        <f t="shared" si="138"/>
        <v>71</v>
      </c>
      <c r="C176">
        <f t="shared" si="107"/>
        <v>1.1604982758991482</v>
      </c>
      <c r="D176">
        <f t="shared" si="108"/>
        <v>0.53218814745694909</v>
      </c>
      <c r="F176">
        <f t="shared" si="109"/>
        <v>3.7757226953542317E-3</v>
      </c>
      <c r="G176">
        <f t="shared" si="110"/>
        <v>2.3167153861308114E-2</v>
      </c>
      <c r="H176">
        <f t="shared" si="111"/>
        <v>-3.1184254961386921</v>
      </c>
      <c r="J176">
        <f t="shared" si="112"/>
        <v>15</v>
      </c>
      <c r="M176">
        <f t="shared" si="113"/>
        <v>2.5677192661496925E-2</v>
      </c>
      <c r="N176">
        <f t="shared" si="114"/>
        <v>-1.5707963250000001</v>
      </c>
      <c r="O176">
        <f t="shared" si="115"/>
        <v>11.784021037247774</v>
      </c>
      <c r="P176">
        <f t="shared" si="116"/>
        <v>1.4858334668814133</v>
      </c>
      <c r="Q176">
        <f t="shared" si="117"/>
        <v>18.282033658175571</v>
      </c>
      <c r="R176">
        <f t="shared" si="118"/>
        <v>1.5160705043959639</v>
      </c>
      <c r="S176">
        <f t="shared" si="119"/>
        <v>0.8616988243478475</v>
      </c>
      <c r="T176">
        <f t="shared" si="120"/>
        <v>-0.53218814745694898</v>
      </c>
      <c r="U176">
        <f t="shared" si="121"/>
        <v>0.93994329300944179</v>
      </c>
      <c r="V176">
        <f t="shared" si="122"/>
        <v>-0.34833219436644514</v>
      </c>
      <c r="X176">
        <f t="shared" si="139"/>
        <v>-10.618828883727819</v>
      </c>
      <c r="Y176">
        <f t="shared" si="123"/>
        <v>-116.634156233144</v>
      </c>
      <c r="Z176">
        <f t="shared" si="140"/>
        <v>63.365843766856003</v>
      </c>
      <c r="AC176">
        <v>1</v>
      </c>
      <c r="AD176">
        <f t="shared" si="124"/>
        <v>11.741514033816001</v>
      </c>
      <c r="AE176">
        <f t="shared" si="125"/>
        <v>-7.8569425421522469E-4</v>
      </c>
      <c r="AF176">
        <f t="shared" si="126"/>
        <v>2.1636148580550002E-3</v>
      </c>
      <c r="AG176">
        <f t="shared" si="141"/>
        <v>4646.2606789439906</v>
      </c>
      <c r="AH176">
        <f t="shared" si="142"/>
        <v>-2149.4307555333876</v>
      </c>
      <c r="AJ176">
        <f t="shared" si="127"/>
        <v>18000</v>
      </c>
      <c r="AK176">
        <f t="shared" si="128"/>
        <v>10599.482273688001</v>
      </c>
      <c r="AL176">
        <v>1</v>
      </c>
      <c r="AM176">
        <f t="shared" si="129"/>
        <v>18.254663915795998</v>
      </c>
      <c r="AN176">
        <f t="shared" si="143"/>
        <v>632.76259919809695</v>
      </c>
      <c r="AO176">
        <f t="shared" si="144"/>
        <v>-951.38631315878706</v>
      </c>
      <c r="AQ176">
        <f t="shared" si="130"/>
        <v>0.49590875278948676</v>
      </c>
      <c r="AR176">
        <f t="shared" si="131"/>
        <v>-70.419042896107115</v>
      </c>
      <c r="AT176">
        <f t="shared" si="156"/>
        <v>-149056.73523768759</v>
      </c>
      <c r="AU176">
        <f t="shared" si="157"/>
        <v>-328251.15158223658</v>
      </c>
      <c r="AV176">
        <f t="shared" si="145"/>
        <v>-1.9970492439665126</v>
      </c>
      <c r="AW176">
        <f t="shared" si="146"/>
        <v>-61135.628625491343</v>
      </c>
      <c r="AX176">
        <f t="shared" si="147"/>
        <v>-49857.266519281569</v>
      </c>
      <c r="AY176">
        <f t="shared" si="155"/>
        <v>-2.457460282100143</v>
      </c>
      <c r="BA176">
        <f t="shared" si="132"/>
        <v>4.5698853330466287</v>
      </c>
      <c r="BB176">
        <f t="shared" si="148"/>
        <v>13.19810605894677</v>
      </c>
      <c r="BC176">
        <f t="shared" si="149"/>
        <v>0.46041103813363038</v>
      </c>
      <c r="BD176">
        <f t="shared" si="133"/>
        <v>-153.62039064356307</v>
      </c>
      <c r="BF176">
        <f t="shared" si="134"/>
        <v>-10.447176959942537</v>
      </c>
      <c r="BG176">
        <f t="shared" si="135"/>
        <v>-121.80087571145171</v>
      </c>
      <c r="BH176">
        <f t="shared" si="150"/>
        <v>58.19912428854829</v>
      </c>
      <c r="BI176">
        <f t="shared" si="151"/>
        <v>58.19912428854829</v>
      </c>
      <c r="BJ176">
        <f t="shared" si="136"/>
        <v>0</v>
      </c>
      <c r="BK176">
        <f t="shared" si="152"/>
        <v>0</v>
      </c>
      <c r="BM176">
        <f t="shared" si="153"/>
        <v>-23.645283018889309</v>
      </c>
      <c r="BN176">
        <f t="shared" si="137"/>
        <v>-148.18048506788867</v>
      </c>
      <c r="BQ176" s="56">
        <f t="shared" si="154"/>
        <v>30.100066859231909</v>
      </c>
      <c r="BR176" s="59"/>
      <c r="BS176" s="59"/>
      <c r="BT176" s="59">
        <v>4570.8819999999996</v>
      </c>
      <c r="BU176" s="59">
        <v>2.7266900000000001</v>
      </c>
      <c r="BV176" s="59">
        <v>-241.25200000000001</v>
      </c>
      <c r="BW176" s="61"/>
      <c r="BY176" s="59"/>
      <c r="BZ176" s="59"/>
      <c r="CA176" s="59"/>
      <c r="CC176" s="59"/>
    </row>
    <row r="177" spans="1:81" x14ac:dyDescent="0.25">
      <c r="A177">
        <f t="shared" si="158"/>
        <v>71500</v>
      </c>
      <c r="B177">
        <f t="shared" si="138"/>
        <v>71.5</v>
      </c>
      <c r="C177">
        <f t="shared" si="107"/>
        <v>1.162607988956555</v>
      </c>
      <c r="D177">
        <f t="shared" si="108"/>
        <v>0.53526174276603211</v>
      </c>
      <c r="F177">
        <f t="shared" si="109"/>
        <v>3.7229169375077474E-3</v>
      </c>
      <c r="G177">
        <f t="shared" si="110"/>
        <v>2.3003985598783333E-2</v>
      </c>
      <c r="H177">
        <f t="shared" si="111"/>
        <v>-3.1185886644012171</v>
      </c>
      <c r="J177">
        <f t="shared" si="112"/>
        <v>15</v>
      </c>
      <c r="M177">
        <f t="shared" si="113"/>
        <v>2.5497631873654291E-2</v>
      </c>
      <c r="N177">
        <f t="shared" si="114"/>
        <v>-1.5707963250000001</v>
      </c>
      <c r="O177">
        <f t="shared" si="115"/>
        <v>11.866411565094371</v>
      </c>
      <c r="P177">
        <f t="shared" si="116"/>
        <v>1.4864247872872702</v>
      </c>
      <c r="Q177">
        <f t="shared" si="117"/>
        <v>18.410396516158116</v>
      </c>
      <c r="R177">
        <f t="shared" si="118"/>
        <v>1.5164524467859588</v>
      </c>
      <c r="S177">
        <f t="shared" si="119"/>
        <v>0.86013515260419271</v>
      </c>
      <c r="T177">
        <f t="shared" si="120"/>
        <v>-0.535261742766032</v>
      </c>
      <c r="U177">
        <f t="shared" si="121"/>
        <v>0.9391703376477254</v>
      </c>
      <c r="V177">
        <f t="shared" si="122"/>
        <v>-0.35058971468249273</v>
      </c>
      <c r="X177">
        <f t="shared" si="139"/>
        <v>-10.687972615582769</v>
      </c>
      <c r="Y177">
        <f t="shared" si="123"/>
        <v>-116.71708762174705</v>
      </c>
      <c r="Z177">
        <f t="shared" si="140"/>
        <v>63.282912378252945</v>
      </c>
      <c r="AC177">
        <v>1</v>
      </c>
      <c r="AD177">
        <f t="shared" si="124"/>
        <v>11.824200752364002</v>
      </c>
      <c r="AE177">
        <f t="shared" si="125"/>
        <v>-7.9679933566986359E-4</v>
      </c>
      <c r="AF177">
        <f t="shared" si="126"/>
        <v>2.1788515824074997E-3</v>
      </c>
      <c r="AG177">
        <f t="shared" si="141"/>
        <v>4638.6221852825083</v>
      </c>
      <c r="AH177">
        <f t="shared" si="142"/>
        <v>-2155.2872685654615</v>
      </c>
      <c r="AJ177">
        <f t="shared" si="127"/>
        <v>18000</v>
      </c>
      <c r="AK177">
        <f t="shared" si="128"/>
        <v>10674.126515051999</v>
      </c>
      <c r="AL177">
        <v>1</v>
      </c>
      <c r="AM177">
        <f t="shared" si="129"/>
        <v>18.383217887034</v>
      </c>
      <c r="AN177">
        <f t="shared" si="143"/>
        <v>632.03837567365485</v>
      </c>
      <c r="AO177">
        <f t="shared" si="144"/>
        <v>-944.77265792384821</v>
      </c>
      <c r="AQ177">
        <f t="shared" si="130"/>
        <v>0.48899755501222492</v>
      </c>
      <c r="AR177">
        <f t="shared" si="131"/>
        <v>-69.926650366748163</v>
      </c>
      <c r="AT177">
        <f t="shared" si="156"/>
        <v>-148443.74436165206</v>
      </c>
      <c r="AU177">
        <f t="shared" si="157"/>
        <v>-325417.24193836877</v>
      </c>
      <c r="AV177">
        <f t="shared" si="145"/>
        <v>-1.9987646879796823</v>
      </c>
      <c r="AW177">
        <f t="shared" si="146"/>
        <v>-60217.646113066898</v>
      </c>
      <c r="AX177">
        <f t="shared" si="147"/>
        <v>-49473.799557879232</v>
      </c>
      <c r="AY177">
        <f t="shared" si="155"/>
        <v>-2.4538291426625154</v>
      </c>
      <c r="BA177">
        <f t="shared" si="132"/>
        <v>4.589426817411403</v>
      </c>
      <c r="BB177">
        <f t="shared" si="148"/>
        <v>13.235168980551823</v>
      </c>
      <c r="BC177">
        <f t="shared" si="149"/>
        <v>0.45506445468283307</v>
      </c>
      <c r="BD177">
        <f t="shared" si="133"/>
        <v>-153.92672731045829</v>
      </c>
      <c r="BF177">
        <f t="shared" si="134"/>
        <v>-10.516672845419023</v>
      </c>
      <c r="BG177">
        <f t="shared" si="135"/>
        <v>-121.94045719180788</v>
      </c>
      <c r="BH177">
        <f t="shared" si="150"/>
        <v>58.05954280819212</v>
      </c>
      <c r="BI177">
        <f t="shared" si="151"/>
        <v>58.05954280819212</v>
      </c>
      <c r="BJ177">
        <f t="shared" si="136"/>
        <v>0</v>
      </c>
      <c r="BK177">
        <f t="shared" si="152"/>
        <v>0</v>
      </c>
      <c r="BM177">
        <f t="shared" si="153"/>
        <v>-23.751841825970846</v>
      </c>
      <c r="BN177">
        <f t="shared" si="137"/>
        <v>-148.0137298813496</v>
      </c>
      <c r="BQ177" s="56">
        <f t="shared" si="154"/>
        <v>30.137129780836961</v>
      </c>
      <c r="BR177" s="59"/>
      <c r="BS177" s="59"/>
      <c r="BT177" s="59">
        <v>4677.3509999999997</v>
      </c>
      <c r="BU177" s="59">
        <v>2.54392</v>
      </c>
      <c r="BV177" s="59">
        <v>-240.63800000000001</v>
      </c>
      <c r="BW177" s="61"/>
      <c r="BY177" s="59"/>
      <c r="BZ177" s="59"/>
      <c r="CA177" s="59"/>
      <c r="CC177" s="59"/>
    </row>
    <row r="178" spans="1:81" x14ac:dyDescent="0.25">
      <c r="A178">
        <f t="shared" si="158"/>
        <v>72000</v>
      </c>
      <c r="B178">
        <f t="shared" si="138"/>
        <v>72</v>
      </c>
      <c r="C178">
        <f t="shared" si="107"/>
        <v>1.1647286453091354</v>
      </c>
      <c r="D178">
        <f t="shared" si="108"/>
        <v>0.53832417454415138</v>
      </c>
      <c r="F178">
        <f t="shared" si="109"/>
        <v>3.6712125066519722E-3</v>
      </c>
      <c r="G178">
        <f t="shared" si="110"/>
        <v>2.284310758850136E-2</v>
      </c>
      <c r="H178">
        <f t="shared" si="111"/>
        <v>-3.118749542411499</v>
      </c>
      <c r="J178">
        <f t="shared" si="112"/>
        <v>15</v>
      </c>
      <c r="M178">
        <f t="shared" si="113"/>
        <v>2.53205649856428E-2</v>
      </c>
      <c r="N178">
        <f t="shared" si="114"/>
        <v>-1.5707963250000001</v>
      </c>
      <c r="O178">
        <f t="shared" si="115"/>
        <v>11.948806184927479</v>
      </c>
      <c r="P178">
        <f t="shared" si="116"/>
        <v>1.4870079528339706</v>
      </c>
      <c r="Q178">
        <f t="shared" si="117"/>
        <v>18.538762022657046</v>
      </c>
      <c r="R178">
        <f t="shared" si="118"/>
        <v>1.5168290999635639</v>
      </c>
      <c r="S178">
        <f t="shared" si="119"/>
        <v>0.85856907875274746</v>
      </c>
      <c r="T178">
        <f t="shared" si="120"/>
        <v>-0.53832417454415127</v>
      </c>
      <c r="U178">
        <f t="shared" si="121"/>
        <v>0.93839388187731521</v>
      </c>
      <c r="V178">
        <f t="shared" si="122"/>
        <v>-0.35284351367507094</v>
      </c>
      <c r="X178">
        <f t="shared" si="139"/>
        <v>-10.75670821702068</v>
      </c>
      <c r="Y178">
        <f t="shared" si="123"/>
        <v>-116.80044486099315</v>
      </c>
      <c r="Z178">
        <f t="shared" si="140"/>
        <v>63.199555139006847</v>
      </c>
      <c r="AC178">
        <v>1</v>
      </c>
      <c r="AD178">
        <f t="shared" si="124"/>
        <v>11.906887470912</v>
      </c>
      <c r="AE178">
        <f t="shared" si="125"/>
        <v>-8.0798234752067538E-4</v>
      </c>
      <c r="AF178">
        <f t="shared" si="126"/>
        <v>2.1940883067600001E-3</v>
      </c>
      <c r="AG178">
        <f t="shared" si="141"/>
        <v>4630.955426702053</v>
      </c>
      <c r="AH178">
        <f t="shared" si="142"/>
        <v>-2161.1391949544759</v>
      </c>
      <c r="AJ178">
        <f t="shared" si="127"/>
        <v>18000</v>
      </c>
      <c r="AK178">
        <f t="shared" si="128"/>
        <v>10748.770756416001</v>
      </c>
      <c r="AL178">
        <v>1</v>
      </c>
      <c r="AM178">
        <f t="shared" si="129"/>
        <v>18.511771858271999</v>
      </c>
      <c r="AN178">
        <f t="shared" si="143"/>
        <v>631.32912915368865</v>
      </c>
      <c r="AO178">
        <f t="shared" si="144"/>
        <v>-938.25004995862173</v>
      </c>
      <c r="AQ178">
        <f t="shared" si="130"/>
        <v>0.48222983073732939</v>
      </c>
      <c r="AR178">
        <f t="shared" si="131"/>
        <v>-69.441095626175439</v>
      </c>
      <c r="AT178">
        <f t="shared" si="156"/>
        <v>-147838.68864673894</v>
      </c>
      <c r="AU178">
        <f t="shared" si="157"/>
        <v>-322620.78441435605</v>
      </c>
      <c r="AV178">
        <f t="shared" si="145"/>
        <v>-2.0004838816158781</v>
      </c>
      <c r="AW178">
        <f t="shared" si="146"/>
        <v>-59318.835115914306</v>
      </c>
      <c r="AX178">
        <f t="shared" si="147"/>
        <v>-49096.913422364487</v>
      </c>
      <c r="AY178">
        <f t="shared" si="155"/>
        <v>-2.4502010611932801</v>
      </c>
      <c r="BA178">
        <f t="shared" si="132"/>
        <v>4.6087529478787594</v>
      </c>
      <c r="BB178">
        <f t="shared" si="148"/>
        <v>13.271668568007112</v>
      </c>
      <c r="BC178">
        <f t="shared" si="149"/>
        <v>0.44971717957740198</v>
      </c>
      <c r="BD178">
        <f t="shared" si="133"/>
        <v>-154.23310360624495</v>
      </c>
      <c r="BF178">
        <f t="shared" si="134"/>
        <v>-10.585820634417713</v>
      </c>
      <c r="BG178">
        <f t="shared" si="135"/>
        <v>-122.08058670247722</v>
      </c>
      <c r="BH178">
        <f t="shared" si="150"/>
        <v>57.91941329752278</v>
      </c>
      <c r="BI178">
        <f t="shared" si="151"/>
        <v>57.91941329752278</v>
      </c>
      <c r="BJ178">
        <f t="shared" si="136"/>
        <v>0</v>
      </c>
      <c r="BK178">
        <f t="shared" si="152"/>
        <v>0</v>
      </c>
      <c r="BM178">
        <f t="shared" si="153"/>
        <v>-23.857489202424826</v>
      </c>
      <c r="BN178">
        <f t="shared" si="137"/>
        <v>-147.84748309623228</v>
      </c>
      <c r="BQ178" s="56">
        <f t="shared" si="154"/>
        <v>30.173629368292247</v>
      </c>
      <c r="BR178" s="59"/>
      <c r="BS178" s="59"/>
      <c r="BT178" s="59">
        <v>4786.3010000000004</v>
      </c>
      <c r="BU178" s="59">
        <v>2.5307499999999998</v>
      </c>
      <c r="BV178" s="59">
        <v>-240.03100000000001</v>
      </c>
      <c r="BW178" s="61"/>
      <c r="BY178" s="59"/>
      <c r="BZ178" s="59"/>
      <c r="CA178" s="59"/>
      <c r="CC178" s="59"/>
    </row>
    <row r="179" spans="1:81" x14ac:dyDescent="0.25">
      <c r="A179">
        <f t="shared" si="158"/>
        <v>72500</v>
      </c>
      <c r="B179">
        <f t="shared" si="138"/>
        <v>72.5</v>
      </c>
      <c r="C179">
        <f t="shared" si="107"/>
        <v>1.1668601852917255</v>
      </c>
      <c r="D179">
        <f t="shared" si="108"/>
        <v>0.54137544637197421</v>
      </c>
      <c r="F179">
        <f t="shared" si="109"/>
        <v>3.6205789546054118E-3</v>
      </c>
      <c r="G179">
        <f t="shared" si="110"/>
        <v>2.268447178635619E-2</v>
      </c>
      <c r="H179">
        <f t="shared" si="111"/>
        <v>-3.1189081782136441</v>
      </c>
      <c r="J179">
        <f t="shared" si="112"/>
        <v>15</v>
      </c>
      <c r="M179">
        <f t="shared" si="113"/>
        <v>2.5145940399534918E-2</v>
      </c>
      <c r="N179">
        <f t="shared" si="114"/>
        <v>-1.5707963250000001</v>
      </c>
      <c r="O179">
        <f t="shared" si="115"/>
        <v>12.031204812676302</v>
      </c>
      <c r="P179">
        <f t="shared" si="116"/>
        <v>1.4875831306723337</v>
      </c>
      <c r="Q179">
        <f t="shared" si="117"/>
        <v>18.667130123034379</v>
      </c>
      <c r="R179">
        <f t="shared" si="118"/>
        <v>1.5172005729376419</v>
      </c>
      <c r="S179">
        <f t="shared" si="119"/>
        <v>0.85700070377325543</v>
      </c>
      <c r="T179">
        <f t="shared" si="120"/>
        <v>-0.54137544637197421</v>
      </c>
      <c r="U179">
        <f t="shared" si="121"/>
        <v>0.93761395800781699</v>
      </c>
      <c r="V179">
        <f t="shared" si="122"/>
        <v>-0.35509357769791206</v>
      </c>
      <c r="X179">
        <f t="shared" si="139"/>
        <v>-10.825041952089009</v>
      </c>
      <c r="Y179">
        <f t="shared" si="123"/>
        <v>-116.88421409894896</v>
      </c>
      <c r="Z179">
        <f t="shared" si="140"/>
        <v>63.115785901051041</v>
      </c>
      <c r="AC179">
        <v>1</v>
      </c>
      <c r="AD179">
        <f t="shared" si="124"/>
        <v>11.989574189460001</v>
      </c>
      <c r="AE179">
        <f t="shared" si="125"/>
        <v>-8.1924328976766005E-4</v>
      </c>
      <c r="AF179">
        <f t="shared" si="126"/>
        <v>2.2093250311125E-3</v>
      </c>
      <c r="AG179">
        <f t="shared" si="141"/>
        <v>4623.2608075925664</v>
      </c>
      <c r="AH179">
        <f t="shared" si="142"/>
        <v>-2166.9855390427783</v>
      </c>
      <c r="AJ179">
        <f t="shared" si="127"/>
        <v>18000</v>
      </c>
      <c r="AK179">
        <f t="shared" si="128"/>
        <v>10823.414997780001</v>
      </c>
      <c r="AL179">
        <v>1</v>
      </c>
      <c r="AM179">
        <f t="shared" si="129"/>
        <v>18.640325829509997</v>
      </c>
      <c r="AN179">
        <f t="shared" si="143"/>
        <v>630.63444989133279</v>
      </c>
      <c r="AO179">
        <f t="shared" si="144"/>
        <v>-931.81662750823614</v>
      </c>
      <c r="AQ179">
        <f t="shared" si="130"/>
        <v>0.47560163606962808</v>
      </c>
      <c r="AR179">
        <f t="shared" si="131"/>
        <v>-68.962237230096065</v>
      </c>
      <c r="AT179">
        <f t="shared" si="156"/>
        <v>-147241.34041358807</v>
      </c>
      <c r="AU179">
        <f t="shared" si="157"/>
        <v>-319861.03045751207</v>
      </c>
      <c r="AV179">
        <f t="shared" si="145"/>
        <v>-2.0022066582270233</v>
      </c>
      <c r="AW179">
        <f t="shared" si="146"/>
        <v>-58438.671910419696</v>
      </c>
      <c r="AX179">
        <f t="shared" si="147"/>
        <v>-48726.438927486786</v>
      </c>
      <c r="AY179">
        <f t="shared" si="155"/>
        <v>-2.4465762620341263</v>
      </c>
      <c r="BA179">
        <f t="shared" si="132"/>
        <v>4.6278636458032185</v>
      </c>
      <c r="BB179">
        <f t="shared" si="148"/>
        <v>13.30761109052238</v>
      </c>
      <c r="BC179">
        <f t="shared" si="149"/>
        <v>0.444369603807103</v>
      </c>
      <c r="BD179">
        <f t="shared" si="133"/>
        <v>-154.53949712885961</v>
      </c>
      <c r="BF179">
        <f t="shared" si="134"/>
        <v>-10.654626846598717</v>
      </c>
      <c r="BG179">
        <f t="shared" si="135"/>
        <v>-122.22124438896365</v>
      </c>
      <c r="BH179">
        <f t="shared" si="150"/>
        <v>57.778755611036345</v>
      </c>
      <c r="BI179">
        <f t="shared" si="151"/>
        <v>57.778755611036345</v>
      </c>
      <c r="BJ179">
        <f t="shared" si="136"/>
        <v>0</v>
      </c>
      <c r="BK179">
        <f t="shared" si="152"/>
        <v>0</v>
      </c>
      <c r="BM179">
        <f t="shared" si="153"/>
        <v>-23.962237937121095</v>
      </c>
      <c r="BN179">
        <f t="shared" si="137"/>
        <v>-147.68174726010403</v>
      </c>
      <c r="BQ179" s="56">
        <f t="shared" si="154"/>
        <v>30.209571890807517</v>
      </c>
      <c r="BR179" s="59"/>
      <c r="BS179" s="59"/>
      <c r="BT179" s="59">
        <v>4897.7879999999996</v>
      </c>
      <c r="BU179" s="59">
        <v>2.1795599999999999</v>
      </c>
      <c r="BV179" s="59">
        <v>-239.48099999999999</v>
      </c>
      <c r="BW179" s="61"/>
      <c r="BY179" s="59"/>
      <c r="BZ179" s="59"/>
      <c r="CA179" s="59"/>
      <c r="CC179" s="59"/>
    </row>
    <row r="180" spans="1:81" x14ac:dyDescent="0.25">
      <c r="A180">
        <f t="shared" si="158"/>
        <v>73000</v>
      </c>
      <c r="B180">
        <f t="shared" si="138"/>
        <v>73</v>
      </c>
      <c r="C180">
        <f t="shared" si="107"/>
        <v>1.1690025493692326</v>
      </c>
      <c r="D180">
        <f t="shared" si="108"/>
        <v>0.54441556263532886</v>
      </c>
      <c r="F180">
        <f t="shared" si="109"/>
        <v>3.5709868793412803E-3</v>
      </c>
      <c r="G180">
        <f t="shared" si="110"/>
        <v>2.2528031487021767E-2</v>
      </c>
      <c r="H180">
        <f t="shared" si="111"/>
        <v>-3.1190646185129784</v>
      </c>
      <c r="J180">
        <f t="shared" si="112"/>
        <v>15</v>
      </c>
      <c r="M180">
        <f t="shared" si="113"/>
        <v>2.4973707931044954E-2</v>
      </c>
      <c r="N180">
        <f t="shared" si="114"/>
        <v>-1.5707963250000001</v>
      </c>
      <c r="O180">
        <f t="shared" si="115"/>
        <v>12.113607366553456</v>
      </c>
      <c r="P180">
        <f t="shared" si="116"/>
        <v>1.4881504834264936</v>
      </c>
      <c r="Q180">
        <f t="shared" si="117"/>
        <v>18.795500764143696</v>
      </c>
      <c r="R180">
        <f t="shared" si="118"/>
        <v>1.517566971744803</v>
      </c>
      <c r="S180">
        <f t="shared" si="119"/>
        <v>0.85543012762425319</v>
      </c>
      <c r="T180">
        <f t="shared" si="120"/>
        <v>-0.54441556263532886</v>
      </c>
      <c r="U180">
        <f t="shared" si="121"/>
        <v>0.93683059834105564</v>
      </c>
      <c r="V180">
        <f t="shared" si="122"/>
        <v>-0.35733989330121246</v>
      </c>
      <c r="X180">
        <f t="shared" si="139"/>
        <v>-10.892979943111229</v>
      </c>
      <c r="Y180">
        <f t="shared" si="123"/>
        <v>-116.96838184788884</v>
      </c>
      <c r="Z180">
        <f t="shared" si="140"/>
        <v>63.031618152111164</v>
      </c>
      <c r="AC180">
        <v>1</v>
      </c>
      <c r="AD180">
        <f t="shared" si="124"/>
        <v>12.072260908008001</v>
      </c>
      <c r="AE180">
        <f t="shared" si="125"/>
        <v>-8.3058216241081772E-4</v>
      </c>
      <c r="AF180">
        <f t="shared" si="126"/>
        <v>2.2245617554649999E-3</v>
      </c>
      <c r="AG180">
        <f t="shared" si="141"/>
        <v>4615.5387315890339</v>
      </c>
      <c r="AH180">
        <f t="shared" si="142"/>
        <v>-2172.8253344730092</v>
      </c>
      <c r="AJ180">
        <f t="shared" si="127"/>
        <v>18000</v>
      </c>
      <c r="AK180">
        <f t="shared" si="128"/>
        <v>10898.059239144</v>
      </c>
      <c r="AL180">
        <v>1</v>
      </c>
      <c r="AM180">
        <f t="shared" si="129"/>
        <v>18.768879800748</v>
      </c>
      <c r="AN180">
        <f t="shared" si="143"/>
        <v>629.95394204382899</v>
      </c>
      <c r="AO180">
        <f t="shared" si="144"/>
        <v>-925.4705790839962</v>
      </c>
      <c r="AQ180">
        <f t="shared" si="130"/>
        <v>0.46910916170192801</v>
      </c>
      <c r="AR180">
        <f t="shared" si="131"/>
        <v>-68.489937608481497</v>
      </c>
      <c r="AT180">
        <f t="shared" si="156"/>
        <v>-146651.48008700582</v>
      </c>
      <c r="AU180">
        <f t="shared" si="157"/>
        <v>-317137.2520272421</v>
      </c>
      <c r="AV180">
        <f t="shared" si="145"/>
        <v>-2.0039328555005769</v>
      </c>
      <c r="AW180">
        <f t="shared" si="146"/>
        <v>-57576.650515254172</v>
      </c>
      <c r="AX180">
        <f t="shared" si="147"/>
        <v>-48362.21259916672</v>
      </c>
      <c r="AY180">
        <f t="shared" si="155"/>
        <v>-2.4429549654622411</v>
      </c>
      <c r="BA180">
        <f t="shared" si="132"/>
        <v>4.646758863944684</v>
      </c>
      <c r="BB180">
        <f t="shared" si="148"/>
        <v>13.343002721041074</v>
      </c>
      <c r="BC180">
        <f t="shared" si="149"/>
        <v>0.43902210996166424</v>
      </c>
      <c r="BD180">
        <f t="shared" si="133"/>
        <v>-154.84588595752552</v>
      </c>
      <c r="BF180">
        <f t="shared" si="134"/>
        <v>-10.723097842455637</v>
      </c>
      <c r="BG180">
        <f t="shared" si="135"/>
        <v>-122.36241075521912</v>
      </c>
      <c r="BH180">
        <f t="shared" si="150"/>
        <v>57.637589244780884</v>
      </c>
      <c r="BI180">
        <f t="shared" si="151"/>
        <v>57.637589244780884</v>
      </c>
      <c r="BJ180">
        <f t="shared" si="136"/>
        <v>0</v>
      </c>
      <c r="BK180">
        <f t="shared" si="152"/>
        <v>0</v>
      </c>
      <c r="BM180">
        <f t="shared" si="153"/>
        <v>-24.066100563496711</v>
      </c>
      <c r="BN180">
        <f t="shared" si="137"/>
        <v>-147.51652479769359</v>
      </c>
      <c r="BQ180" s="56">
        <f t="shared" si="154"/>
        <v>30.244963521326213</v>
      </c>
      <c r="BR180" s="59"/>
      <c r="BS180" s="59"/>
      <c r="BT180" s="59">
        <v>5011.8720000000003</v>
      </c>
      <c r="BU180" s="59">
        <v>2.08934</v>
      </c>
      <c r="BV180" s="59">
        <v>-238.50700000000001</v>
      </c>
      <c r="BW180" s="61"/>
      <c r="BY180" s="59"/>
      <c r="BZ180" s="59"/>
      <c r="CA180" s="59"/>
      <c r="CC180" s="59"/>
    </row>
    <row r="181" spans="1:81" x14ac:dyDescent="0.25">
      <c r="A181">
        <f t="shared" si="158"/>
        <v>73500</v>
      </c>
      <c r="B181">
        <f t="shared" si="138"/>
        <v>73.5</v>
      </c>
      <c r="C181">
        <f t="shared" si="107"/>
        <v>1.1711556781409671</v>
      </c>
      <c r="D181">
        <f t="shared" si="108"/>
        <v>0.54744452851285186</v>
      </c>
      <c r="F181">
        <f t="shared" si="109"/>
        <v>3.522407882103157E-3</v>
      </c>
      <c r="G181">
        <f t="shared" si="110"/>
        <v>2.2373741277499224E-2</v>
      </c>
      <c r="H181">
        <f t="shared" si="111"/>
        <v>-3.1192189087225008</v>
      </c>
      <c r="J181">
        <f t="shared" si="112"/>
        <v>15</v>
      </c>
      <c r="M181">
        <f t="shared" si="113"/>
        <v>2.4803818761446009E-2</v>
      </c>
      <c r="N181">
        <f t="shared" si="114"/>
        <v>-1.5707963250000001</v>
      </c>
      <c r="O181">
        <f t="shared" si="115"/>
        <v>12.196013766978101</v>
      </c>
      <c r="P181">
        <f t="shared" si="116"/>
        <v>1.4887101693457554</v>
      </c>
      <c r="Q181">
        <f t="shared" si="117"/>
        <v>18.923873894279602</v>
      </c>
      <c r="R181">
        <f t="shared" si="118"/>
        <v>1.5179283995499286</v>
      </c>
      <c r="S181">
        <f t="shared" si="119"/>
        <v>0.85385744923966833</v>
      </c>
      <c r="T181">
        <f t="shared" si="120"/>
        <v>-0.54744452851285164</v>
      </c>
      <c r="U181">
        <f t="shared" si="121"/>
        <v>0.93604383516817025</v>
      </c>
      <c r="V181">
        <f t="shared" si="122"/>
        <v>-0.35958244723125588</v>
      </c>
      <c r="X181">
        <f t="shared" si="139"/>
        <v>-10.960528174833716</v>
      </c>
      <c r="Y181">
        <f t="shared" si="123"/>
        <v>-117.05293497247425</v>
      </c>
      <c r="Z181">
        <f t="shared" si="140"/>
        <v>62.947065027525753</v>
      </c>
      <c r="AC181">
        <v>1</v>
      </c>
      <c r="AD181">
        <f t="shared" si="124"/>
        <v>12.154947626556</v>
      </c>
      <c r="AE181">
        <f t="shared" si="125"/>
        <v>-8.4199896545014816E-4</v>
      </c>
      <c r="AF181">
        <f t="shared" si="126"/>
        <v>2.2397984798174998E-3</v>
      </c>
      <c r="AG181">
        <f t="shared" si="141"/>
        <v>4607.7896015314809</v>
      </c>
      <c r="AH181">
        <f t="shared" si="142"/>
        <v>-2178.6576432979195</v>
      </c>
      <c r="AJ181">
        <f t="shared" si="127"/>
        <v>18000</v>
      </c>
      <c r="AK181">
        <f t="shared" si="128"/>
        <v>10972.703480508</v>
      </c>
      <c r="AL181">
        <v>1</v>
      </c>
      <c r="AM181">
        <f t="shared" si="129"/>
        <v>18.897433771985998</v>
      </c>
      <c r="AN181">
        <f t="shared" si="143"/>
        <v>629.28722311069737</v>
      </c>
      <c r="AO181">
        <f t="shared" si="144"/>
        <v>-919.210141783381</v>
      </c>
      <c r="AQ181">
        <f t="shared" si="130"/>
        <v>0.46274872744099954</v>
      </c>
      <c r="AR181">
        <f t="shared" si="131"/>
        <v>-68.024062933826926</v>
      </c>
      <c r="AT181">
        <f t="shared" si="156"/>
        <v>-146068.89586453617</v>
      </c>
      <c r="AU181">
        <f t="shared" si="157"/>
        <v>-314448.74089237646</v>
      </c>
      <c r="AV181">
        <f t="shared" si="145"/>
        <v>-2.0056623153204844</v>
      </c>
      <c r="AW181">
        <f t="shared" si="146"/>
        <v>-56732.281975261416</v>
      </c>
      <c r="AX181">
        <f t="shared" si="147"/>
        <v>-48004.076437262673</v>
      </c>
      <c r="AY181">
        <f t="shared" si="155"/>
        <v>-2.4393373877749882</v>
      </c>
      <c r="BA181">
        <f t="shared" si="132"/>
        <v>4.6654385862802528</v>
      </c>
      <c r="BB181">
        <f t="shared" si="148"/>
        <v>13.377849538919413</v>
      </c>
      <c r="BC181">
        <f t="shared" si="149"/>
        <v>0.43367507245450376</v>
      </c>
      <c r="BD181">
        <f t="shared" si="133"/>
        <v>-155.15224863993404</v>
      </c>
      <c r="BF181">
        <f t="shared" si="134"/>
        <v>-10.791239827547535</v>
      </c>
      <c r="BG181">
        <f t="shared" si="135"/>
        <v>-122.50406665419405</v>
      </c>
      <c r="BH181">
        <f t="shared" si="150"/>
        <v>57.495933345805952</v>
      </c>
      <c r="BI181">
        <f t="shared" si="151"/>
        <v>57.495933345805952</v>
      </c>
      <c r="BJ181">
        <f t="shared" si="136"/>
        <v>0</v>
      </c>
      <c r="BK181">
        <f t="shared" si="152"/>
        <v>0</v>
      </c>
      <c r="BM181">
        <f t="shared" si="153"/>
        <v>-24.169089366466949</v>
      </c>
      <c r="BN181">
        <f t="shared" si="137"/>
        <v>-147.35181801426</v>
      </c>
      <c r="BQ181" s="56">
        <f t="shared" si="154"/>
        <v>30.279810339204548</v>
      </c>
      <c r="BR181" s="59"/>
      <c r="BS181" s="59"/>
      <c r="BT181" s="59">
        <v>5128.6139999999996</v>
      </c>
      <c r="BU181" s="59">
        <v>1.7954699999999999</v>
      </c>
      <c r="BV181" s="59">
        <v>-237.881</v>
      </c>
      <c r="BW181" s="61"/>
      <c r="BY181" s="59"/>
      <c r="BZ181" s="59"/>
      <c r="CA181" s="59"/>
      <c r="CC181" s="59"/>
    </row>
    <row r="182" spans="1:81" x14ac:dyDescent="0.25">
      <c r="A182">
        <f t="shared" si="158"/>
        <v>74000</v>
      </c>
      <c r="B182">
        <f t="shared" si="138"/>
        <v>74</v>
      </c>
      <c r="C182">
        <f t="shared" si="107"/>
        <v>1.1733195123448812</v>
      </c>
      <c r="D182">
        <f t="shared" si="108"/>
        <v>0.5504623499636615</v>
      </c>
      <c r="F182">
        <f t="shared" si="109"/>
        <v>3.4748145265597742E-3</v>
      </c>
      <c r="G182">
        <f t="shared" si="110"/>
        <v>2.2221556992590645E-2</v>
      </c>
      <c r="H182">
        <f t="shared" si="111"/>
        <v>-3.1193710930074094</v>
      </c>
      <c r="J182">
        <f t="shared" si="112"/>
        <v>15</v>
      </c>
      <c r="M182">
        <f t="shared" si="113"/>
        <v>2.4636225391436235E-2</v>
      </c>
      <c r="N182">
        <f t="shared" si="114"/>
        <v>-1.5707963250000001</v>
      </c>
      <c r="O182">
        <f t="shared" si="115"/>
        <v>12.278423936502152</v>
      </c>
      <c r="P182">
        <f t="shared" si="116"/>
        <v>1.4892623424503941</v>
      </c>
      <c r="Q182">
        <f t="shared" si="117"/>
        <v>19.052249463129279</v>
      </c>
      <c r="R182">
        <f t="shared" si="118"/>
        <v>1.5182849567426426</v>
      </c>
      <c r="S182">
        <f t="shared" si="119"/>
        <v>0.85228276652580182</v>
      </c>
      <c r="T182">
        <f t="shared" si="120"/>
        <v>-0.5504623499636615</v>
      </c>
      <c r="U182">
        <f t="shared" si="121"/>
        <v>0.93525370076673586</v>
      </c>
      <c r="V182">
        <f t="shared" si="122"/>
        <v>-0.36182122643001713</v>
      </c>
      <c r="X182">
        <f t="shared" si="139"/>
        <v>-11.027692498421684</v>
      </c>
      <c r="Y182">
        <f t="shared" si="123"/>
        <v>-117.13786067840147</v>
      </c>
      <c r="Z182">
        <f t="shared" si="140"/>
        <v>62.862139321598534</v>
      </c>
      <c r="AC182">
        <v>1</v>
      </c>
      <c r="AD182">
        <f t="shared" si="124"/>
        <v>12.237634345104</v>
      </c>
      <c r="AE182">
        <f t="shared" si="125"/>
        <v>-8.5349369888565159E-4</v>
      </c>
      <c r="AF182">
        <f t="shared" si="126"/>
        <v>2.2550352041700002E-3</v>
      </c>
      <c r="AG182">
        <f t="shared" si="141"/>
        <v>4600.0138194254996</v>
      </c>
      <c r="AH182">
        <f t="shared" si="142"/>
        <v>-2184.481555124858</v>
      </c>
      <c r="AJ182">
        <f t="shared" si="127"/>
        <v>18000</v>
      </c>
      <c r="AK182">
        <f t="shared" si="128"/>
        <v>11047.347721872</v>
      </c>
      <c r="AL182">
        <v>1</v>
      </c>
      <c r="AM182">
        <f t="shared" si="129"/>
        <v>19.025987743224</v>
      </c>
      <c r="AN182">
        <f t="shared" si="143"/>
        <v>628.63392339818938</v>
      </c>
      <c r="AO182">
        <f t="shared" si="144"/>
        <v>-913.03359967676465</v>
      </c>
      <c r="AQ182">
        <f t="shared" si="130"/>
        <v>0.45651677699155446</v>
      </c>
      <c r="AR182">
        <f t="shared" si="131"/>
        <v>-67.564482994750051</v>
      </c>
      <c r="AT182">
        <f t="shared" si="156"/>
        <v>-145493.38340061789</v>
      </c>
      <c r="AU182">
        <f t="shared" si="157"/>
        <v>-311794.80795713246</v>
      </c>
      <c r="AV182">
        <f t="shared" si="145"/>
        <v>-2.0073948836336308</v>
      </c>
      <c r="AW182">
        <f t="shared" si="146"/>
        <v>-55905.093678809426</v>
      </c>
      <c r="AX182">
        <f t="shared" si="147"/>
        <v>-47651.877689955669</v>
      </c>
      <c r="AY182">
        <f t="shared" si="155"/>
        <v>-2.4357237413704822</v>
      </c>
      <c r="BA182">
        <f t="shared" si="132"/>
        <v>4.6839028278063699</v>
      </c>
      <c r="BB182">
        <f t="shared" si="148"/>
        <v>13.412157532510186</v>
      </c>
      <c r="BC182">
        <f t="shared" si="149"/>
        <v>0.42832885773685136</v>
      </c>
      <c r="BD182">
        <f t="shared" si="133"/>
        <v>-155.45856417997629</v>
      </c>
      <c r="BF182">
        <f t="shared" si="134"/>
        <v>-10.859058856587549</v>
      </c>
      <c r="BG182">
        <f t="shared" si="135"/>
        <v>-122.64619327882669</v>
      </c>
      <c r="BH182">
        <f t="shared" si="150"/>
        <v>57.353806721173314</v>
      </c>
      <c r="BI182">
        <f t="shared" si="151"/>
        <v>57.353806721173314</v>
      </c>
      <c r="BJ182">
        <f t="shared" si="136"/>
        <v>0</v>
      </c>
      <c r="BK182">
        <f t="shared" si="152"/>
        <v>0</v>
      </c>
      <c r="BM182">
        <f t="shared" si="153"/>
        <v>-24.271216389097738</v>
      </c>
      <c r="BN182">
        <f t="shared" si="137"/>
        <v>-147.18762909885041</v>
      </c>
      <c r="BQ182" s="56">
        <f t="shared" si="154"/>
        <v>30.314118332795324</v>
      </c>
      <c r="BR182" s="59"/>
      <c r="BS182" s="59"/>
      <c r="BT182" s="59">
        <v>5248.0749999999998</v>
      </c>
      <c r="BU182" s="59">
        <v>1.6024099999999999</v>
      </c>
      <c r="BV182" s="59">
        <v>-238.28</v>
      </c>
      <c r="BW182" s="61"/>
      <c r="BY182" s="59"/>
      <c r="BZ182" s="59"/>
      <c r="CA182" s="59"/>
      <c r="CC182" s="59"/>
    </row>
    <row r="183" spans="1:81" x14ac:dyDescent="0.25">
      <c r="A183">
        <f t="shared" si="158"/>
        <v>74500</v>
      </c>
      <c r="B183">
        <f t="shared" si="138"/>
        <v>74.5</v>
      </c>
      <c r="C183">
        <f t="shared" si="107"/>
        <v>1.1754939928617116</v>
      </c>
      <c r="D183">
        <f t="shared" si="108"/>
        <v>0.55346903371506206</v>
      </c>
      <c r="F183">
        <f t="shared" si="109"/>
        <v>3.4281802998887344E-3</v>
      </c>
      <c r="G183">
        <f t="shared" si="110"/>
        <v>2.2071435672206426E-2</v>
      </c>
      <c r="H183">
        <f t="shared" si="111"/>
        <v>-3.1195212143277939</v>
      </c>
      <c r="J183">
        <f t="shared" si="112"/>
        <v>15</v>
      </c>
      <c r="M183">
        <f t="shared" si="113"/>
        <v>2.447088159686284E-2</v>
      </c>
      <c r="N183">
        <f t="shared" si="114"/>
        <v>-1.5707963250000001</v>
      </c>
      <c r="O183">
        <f t="shared" si="115"/>
        <v>12.360837799739432</v>
      </c>
      <c r="P183">
        <f t="shared" si="116"/>
        <v>1.4898071526716727</v>
      </c>
      <c r="Q183">
        <f t="shared" si="117"/>
        <v>19.180627421725934</v>
      </c>
      <c r="R183">
        <f t="shared" si="118"/>
        <v>1.5186367410299266</v>
      </c>
      <c r="S183">
        <f t="shared" si="119"/>
        <v>0.8507061763586935</v>
      </c>
      <c r="T183">
        <f t="shared" si="120"/>
        <v>-0.55346903371506195</v>
      </c>
      <c r="U183">
        <f t="shared" si="121"/>
        <v>0.93446022739791712</v>
      </c>
      <c r="V183">
        <f t="shared" si="122"/>
        <v>-0.36405621803474686</v>
      </c>
      <c r="X183">
        <f t="shared" si="139"/>
        <v>-11.094478635310811</v>
      </c>
      <c r="Y183">
        <f t="shared" si="123"/>
        <v>-117.22314650149485</v>
      </c>
      <c r="Z183">
        <f t="shared" si="140"/>
        <v>62.776853498505147</v>
      </c>
      <c r="AC183">
        <v>1</v>
      </c>
      <c r="AD183">
        <f t="shared" si="124"/>
        <v>12.320321063652001</v>
      </c>
      <c r="AE183">
        <f t="shared" si="125"/>
        <v>-8.6506636271732802E-4</v>
      </c>
      <c r="AF183">
        <f t="shared" si="126"/>
        <v>2.2702719285224997E-3</v>
      </c>
      <c r="AG183">
        <f t="shared" si="141"/>
        <v>4592.2117864033207</v>
      </c>
      <c r="AH183">
        <f t="shared" si="142"/>
        <v>-2190.2961862932989</v>
      </c>
      <c r="AJ183">
        <f t="shared" si="127"/>
        <v>18000</v>
      </c>
      <c r="AK183">
        <f t="shared" si="128"/>
        <v>11121.991963236</v>
      </c>
      <c r="AL183">
        <v>1</v>
      </c>
      <c r="AM183">
        <f t="shared" si="129"/>
        <v>19.154541714461999</v>
      </c>
      <c r="AN183">
        <f t="shared" si="143"/>
        <v>627.99368550863119</v>
      </c>
      <c r="AO183">
        <f t="shared" si="144"/>
        <v>-906.93928225780587</v>
      </c>
      <c r="AQ183">
        <f t="shared" si="130"/>
        <v>0.45040987298441582</v>
      </c>
      <c r="AR183">
        <f t="shared" si="131"/>
        <v>-67.111071074677952</v>
      </c>
      <c r="AT183">
        <f t="shared" si="156"/>
        <v>-144924.74550549418</v>
      </c>
      <c r="AU183">
        <f t="shared" si="157"/>
        <v>-309174.78261435369</v>
      </c>
      <c r="AV183">
        <f t="shared" si="145"/>
        <v>-2.0091304103215446</v>
      </c>
      <c r="AW183">
        <f t="shared" si="146"/>
        <v>-55094.628706832846</v>
      </c>
      <c r="AX183">
        <f t="shared" si="147"/>
        <v>-47305.468639100691</v>
      </c>
      <c r="AY183">
        <f t="shared" si="155"/>
        <v>-2.4321142348242932</v>
      </c>
      <c r="BA183">
        <f t="shared" si="132"/>
        <v>4.7021516343313934</v>
      </c>
      <c r="BB183">
        <f t="shared" si="148"/>
        <v>13.445932601654869</v>
      </c>
      <c r="BC183">
        <f t="shared" si="149"/>
        <v>0.42298382450274863</v>
      </c>
      <c r="BD183">
        <f t="shared" si="133"/>
        <v>-155.76481202599746</v>
      </c>
      <c r="BF183">
        <f t="shared" si="134"/>
        <v>-10.926560837394735</v>
      </c>
      <c r="BG183">
        <f t="shared" si="135"/>
        <v>-122.78877215344801</v>
      </c>
      <c r="BH183">
        <f t="shared" si="150"/>
        <v>57.211227846551992</v>
      </c>
      <c r="BI183">
        <f t="shared" si="151"/>
        <v>57.211227846551992</v>
      </c>
      <c r="BJ183">
        <f t="shared" si="136"/>
        <v>0</v>
      </c>
      <c r="BK183">
        <f t="shared" si="152"/>
        <v>0</v>
      </c>
      <c r="BM183">
        <f t="shared" si="153"/>
        <v>-24.372493439049606</v>
      </c>
      <c r="BN183">
        <f t="shared" si="137"/>
        <v>-147.02396012745055</v>
      </c>
      <c r="BQ183" s="56">
        <f t="shared" si="154"/>
        <v>30.347893401940006</v>
      </c>
      <c r="BR183" s="59"/>
      <c r="BS183" s="59"/>
      <c r="BT183" s="59">
        <v>5370.3180000000002</v>
      </c>
      <c r="BU183" s="59">
        <v>1.48515</v>
      </c>
      <c r="BV183" s="59">
        <v>-237.34699999999998</v>
      </c>
      <c r="BW183" s="61"/>
      <c r="BY183" s="59"/>
      <c r="BZ183" s="59"/>
      <c r="CA183" s="59"/>
      <c r="CC183" s="59"/>
    </row>
    <row r="184" spans="1:81" x14ac:dyDescent="0.25">
      <c r="A184">
        <f t="shared" si="158"/>
        <v>75000</v>
      </c>
      <c r="B184">
        <f t="shared" si="138"/>
        <v>75</v>
      </c>
      <c r="C184">
        <f t="shared" si="107"/>
        <v>1.1776790607190262</v>
      </c>
      <c r="D184">
        <f t="shared" si="108"/>
        <v>0.55646458725027981</v>
      </c>
      <c r="F184">
        <f t="shared" si="109"/>
        <v>3.3824795756856648E-3</v>
      </c>
      <c r="G184">
        <f t="shared" si="110"/>
        <v>2.1923335520418575E-2</v>
      </c>
      <c r="H184">
        <f t="shared" si="111"/>
        <v>-3.1196693144795815</v>
      </c>
      <c r="J184">
        <f t="shared" si="112"/>
        <v>15</v>
      </c>
      <c r="M184">
        <f t="shared" si="113"/>
        <v>2.4307742386217086E-2</v>
      </c>
      <c r="N184">
        <f t="shared" si="114"/>
        <v>-1.5707963250000001</v>
      </c>
      <c r="O184">
        <f t="shared" si="115"/>
        <v>12.443255283297606</v>
      </c>
      <c r="P184">
        <f t="shared" si="116"/>
        <v>1.490344745986347</v>
      </c>
      <c r="Q184">
        <f t="shared" si="117"/>
        <v>19.309007722404118</v>
      </c>
      <c r="R184">
        <f t="shared" si="118"/>
        <v>1.5189838475250532</v>
      </c>
      <c r="S184">
        <f t="shared" si="119"/>
        <v>0.8491277745818584</v>
      </c>
      <c r="T184">
        <f t="shared" si="120"/>
        <v>-0.55646458725027959</v>
      </c>
      <c r="U184">
        <f t="shared" si="121"/>
        <v>0.93366344730364792</v>
      </c>
      <c r="V184">
        <f t="shared" si="122"/>
        <v>-0.36628740937753762</v>
      </c>
      <c r="X184">
        <f t="shared" si="139"/>
        <v>-11.160892180920932</v>
      </c>
      <c r="Y184">
        <f t="shared" si="123"/>
        <v>-117.30878029722577</v>
      </c>
      <c r="Z184">
        <f t="shared" si="140"/>
        <v>62.691219702774234</v>
      </c>
      <c r="AC184">
        <v>1</v>
      </c>
      <c r="AD184">
        <f t="shared" si="124"/>
        <v>12.403007782200001</v>
      </c>
      <c r="AE184">
        <f t="shared" si="125"/>
        <v>-8.7671695694517722E-4</v>
      </c>
      <c r="AF184">
        <f t="shared" si="126"/>
        <v>2.2855086528750001E-3</v>
      </c>
      <c r="AG184">
        <f t="shared" si="141"/>
        <v>4584.3839026854102</v>
      </c>
      <c r="AH184">
        <f t="shared" si="142"/>
        <v>-2196.1006790838528</v>
      </c>
      <c r="AJ184">
        <f t="shared" si="127"/>
        <v>18000</v>
      </c>
      <c r="AK184">
        <f t="shared" si="128"/>
        <v>11196.636204600001</v>
      </c>
      <c r="AL184">
        <v>1</v>
      </c>
      <c r="AM184">
        <f t="shared" si="129"/>
        <v>19.283095685699998</v>
      </c>
      <c r="AN184">
        <f t="shared" si="143"/>
        <v>627.36616385334537</v>
      </c>
      <c r="AO184">
        <f t="shared" si="144"/>
        <v>-900.92556295459815</v>
      </c>
      <c r="AQ184">
        <f t="shared" si="130"/>
        <v>0.44442469223590064</v>
      </c>
      <c r="AR184">
        <f t="shared" si="131"/>
        <v>-66.663703835385093</v>
      </c>
      <c r="AT184">
        <f t="shared" si="156"/>
        <v>-144362.79185809186</v>
      </c>
      <c r="AU184">
        <f t="shared" si="157"/>
        <v>-306588.01212474797</v>
      </c>
      <c r="AV184">
        <f t="shared" si="145"/>
        <v>-2.0108687490771153</v>
      </c>
      <c r="AW184">
        <f t="shared" si="146"/>
        <v>-54300.445211897772</v>
      </c>
      <c r="AX184">
        <f t="shared" si="147"/>
        <v>-46964.706395934591</v>
      </c>
      <c r="AY184">
        <f t="shared" si="155"/>
        <v>-2.4285090729624903</v>
      </c>
      <c r="BA184">
        <f t="shared" si="132"/>
        <v>4.7201850822585865</v>
      </c>
      <c r="BB184">
        <f t="shared" si="148"/>
        <v>13.479180560087245</v>
      </c>
      <c r="BC184">
        <f t="shared" si="149"/>
        <v>0.41764032388537498</v>
      </c>
      <c r="BD184">
        <f t="shared" si="133"/>
        <v>-156.07097205954835</v>
      </c>
      <c r="BF184">
        <f t="shared" si="134"/>
        <v>-10.993751534715155</v>
      </c>
      <c r="BG184">
        <f t="shared" si="135"/>
        <v>-122.93178512558168</v>
      </c>
      <c r="BH184">
        <f t="shared" si="150"/>
        <v>57.068214874418317</v>
      </c>
      <c r="BI184">
        <f t="shared" si="151"/>
        <v>57.068214874418317</v>
      </c>
      <c r="BJ184">
        <f t="shared" si="136"/>
        <v>0</v>
      </c>
      <c r="BK184">
        <f t="shared" si="152"/>
        <v>0</v>
      </c>
      <c r="BM184">
        <f t="shared" si="153"/>
        <v>-24.472932094802399</v>
      </c>
      <c r="BN184">
        <f t="shared" si="137"/>
        <v>-146.86081306603333</v>
      </c>
      <c r="BQ184" s="56">
        <f t="shared" si="154"/>
        <v>30.381141360372382</v>
      </c>
      <c r="BR184" s="59"/>
      <c r="BS184" s="59"/>
      <c r="BT184" s="59">
        <v>5495.4089999999997</v>
      </c>
      <c r="BU184" s="59">
        <v>1.35836</v>
      </c>
      <c r="BV184" s="59">
        <v>-235.61199999999999</v>
      </c>
      <c r="BW184" s="61"/>
      <c r="BY184" s="59"/>
      <c r="BZ184" s="59"/>
      <c r="CA184" s="59"/>
      <c r="CC184" s="59"/>
    </row>
    <row r="185" spans="1:81" x14ac:dyDescent="0.25">
      <c r="A185">
        <f t="shared" si="158"/>
        <v>75500</v>
      </c>
      <c r="B185">
        <f t="shared" si="138"/>
        <v>75.5</v>
      </c>
      <c r="C185">
        <f t="shared" si="107"/>
        <v>1.1798746570951781</v>
      </c>
      <c r="D185">
        <f t="shared" si="108"/>
        <v>0.55944901879623776</v>
      </c>
      <c r="F185">
        <f t="shared" si="109"/>
        <v>3.3376875786014994E-3</v>
      </c>
      <c r="G185">
        <f t="shared" si="110"/>
        <v>2.1777215866176949E-2</v>
      </c>
      <c r="H185">
        <f t="shared" si="111"/>
        <v>-3.1198154341338231</v>
      </c>
      <c r="J185">
        <f t="shared" si="112"/>
        <v>15</v>
      </c>
      <c r="M185">
        <f t="shared" si="113"/>
        <v>2.4146763959818299E-2</v>
      </c>
      <c r="N185">
        <f t="shared" si="114"/>
        <v>-1.5707963250000001</v>
      </c>
      <c r="O185">
        <f t="shared" si="115"/>
        <v>12.525676315712813</v>
      </c>
      <c r="P185">
        <f t="shared" si="116"/>
        <v>1.4908752645459087</v>
      </c>
      <c r="Q185">
        <f t="shared" si="117"/>
        <v>19.437390318756815</v>
      </c>
      <c r="R185">
        <f t="shared" si="118"/>
        <v>1.5193263688330063</v>
      </c>
      <c r="S185">
        <f t="shared" si="119"/>
        <v>0.84754765600438864</v>
      </c>
      <c r="T185">
        <f t="shared" si="120"/>
        <v>-0.55944901879623765</v>
      </c>
      <c r="U185">
        <f t="shared" si="121"/>
        <v>0.93286339270383956</v>
      </c>
      <c r="V185">
        <f t="shared" si="122"/>
        <v>-0.36851478798487119</v>
      </c>
      <c r="X185">
        <f t="shared" si="139"/>
        <v>-11.226938608237479</v>
      </c>
      <c r="Y185">
        <f t="shared" si="123"/>
        <v>-117.39475023063869</v>
      </c>
      <c r="Z185">
        <f t="shared" si="140"/>
        <v>62.605249769361308</v>
      </c>
      <c r="AC185">
        <v>1</v>
      </c>
      <c r="AD185">
        <f t="shared" si="124"/>
        <v>12.485694500748</v>
      </c>
      <c r="AE185">
        <f t="shared" si="125"/>
        <v>-8.8844548156919942E-4</v>
      </c>
      <c r="AF185">
        <f t="shared" si="126"/>
        <v>2.3007453772275E-3</v>
      </c>
      <c r="AG185">
        <f t="shared" si="141"/>
        <v>4576.5305675426307</v>
      </c>
      <c r="AH185">
        <f t="shared" si="142"/>
        <v>-2201.8942009573111</v>
      </c>
      <c r="AJ185">
        <f t="shared" si="127"/>
        <v>18000</v>
      </c>
      <c r="AK185">
        <f t="shared" si="128"/>
        <v>11271.280445963999</v>
      </c>
      <c r="AL185">
        <v>1</v>
      </c>
      <c r="AM185">
        <f t="shared" si="129"/>
        <v>19.411649656937996</v>
      </c>
      <c r="AN185">
        <f t="shared" si="143"/>
        <v>626.75102418791221</v>
      </c>
      <c r="AO185">
        <f t="shared" si="144"/>
        <v>-894.99085769882754</v>
      </c>
      <c r="AQ185">
        <f t="shared" si="130"/>
        <v>0.43855802122620824</v>
      </c>
      <c r="AR185">
        <f t="shared" si="131"/>
        <v>-66.222261205157437</v>
      </c>
      <c r="AT185">
        <f t="shared" si="156"/>
        <v>-143807.33873213374</v>
      </c>
      <c r="AU185">
        <f t="shared" si="157"/>
        <v>-304033.86102091678</v>
      </c>
      <c r="AV185">
        <f t="shared" si="145"/>
        <v>-2.0126097572860879</v>
      </c>
      <c r="AW185">
        <f t="shared" si="146"/>
        <v>-53522.115825718203</v>
      </c>
      <c r="AX185">
        <f t="shared" si="147"/>
        <v>-46629.452706567696</v>
      </c>
      <c r="AY185">
        <f t="shared" si="155"/>
        <v>-2.4249084569312362</v>
      </c>
      <c r="BA185">
        <f t="shared" si="132"/>
        <v>4.7380032783596988</v>
      </c>
      <c r="BB185">
        <f t="shared" si="148"/>
        <v>13.511907137751955</v>
      </c>
      <c r="BC185">
        <f t="shared" si="149"/>
        <v>0.41229869964514831</v>
      </c>
      <c r="BD185">
        <f t="shared" si="133"/>
        <v>-156.37702458460785</v>
      </c>
      <c r="BF185">
        <f t="shared" si="134"/>
        <v>-11.060636573917899</v>
      </c>
      <c r="BG185">
        <f t="shared" si="135"/>
        <v>-123.0752143581182</v>
      </c>
      <c r="BH185">
        <f t="shared" si="150"/>
        <v>56.924785641881797</v>
      </c>
      <c r="BI185">
        <f t="shared" si="151"/>
        <v>56.924785641881797</v>
      </c>
      <c r="BJ185">
        <f t="shared" si="136"/>
        <v>0</v>
      </c>
      <c r="BK185">
        <f t="shared" si="152"/>
        <v>0</v>
      </c>
      <c r="BM185">
        <f t="shared" si="153"/>
        <v>-24.572543711669855</v>
      </c>
      <c r="BN185">
        <f t="shared" si="137"/>
        <v>-146.69818977351036</v>
      </c>
      <c r="BQ185" s="56">
        <f t="shared" si="154"/>
        <v>30.413867938037093</v>
      </c>
      <c r="BR185" s="59"/>
      <c r="BS185" s="59"/>
      <c r="BT185" s="59">
        <v>5623.4129999999996</v>
      </c>
      <c r="BU185" s="59">
        <v>1.07298</v>
      </c>
      <c r="BV185" s="59">
        <v>-235.13800000000001</v>
      </c>
      <c r="BW185" s="61"/>
      <c r="BY185" s="59"/>
      <c r="BZ185" s="59"/>
      <c r="CA185" s="59"/>
      <c r="CC185" s="59"/>
    </row>
    <row r="186" spans="1:81" x14ac:dyDescent="0.25">
      <c r="A186">
        <f t="shared" si="158"/>
        <v>76000</v>
      </c>
      <c r="B186">
        <f t="shared" si="138"/>
        <v>76</v>
      </c>
      <c r="C186">
        <f t="shared" si="107"/>
        <v>1.182080723323166</v>
      </c>
      <c r="D186">
        <f t="shared" si="108"/>
        <v>0.56242233731137203</v>
      </c>
      <c r="F186">
        <f t="shared" si="109"/>
        <v>3.293780350616381E-3</v>
      </c>
      <c r="G186">
        <f t="shared" si="110"/>
        <v>2.1633037125609978E-2</v>
      </c>
      <c r="H186">
        <f t="shared" si="111"/>
        <v>-3.1199596128743901</v>
      </c>
      <c r="J186">
        <f t="shared" si="112"/>
        <v>15</v>
      </c>
      <c r="M186">
        <f t="shared" si="113"/>
        <v>2.3987903670608969E-2</v>
      </c>
      <c r="N186">
        <f t="shared" si="114"/>
        <v>-1.5707963250000001</v>
      </c>
      <c r="O186">
        <f t="shared" si="115"/>
        <v>12.608100827386828</v>
      </c>
      <c r="P186">
        <f t="shared" si="116"/>
        <v>1.4913988468008004</v>
      </c>
      <c r="Q186">
        <f t="shared" si="117"/>
        <v>19.565775165594193</v>
      </c>
      <c r="R186">
        <f t="shared" si="118"/>
        <v>1.5196643951325526</v>
      </c>
      <c r="S186">
        <f t="shared" si="119"/>
        <v>0.84596591439941171</v>
      </c>
      <c r="T186">
        <f t="shared" si="120"/>
        <v>-0.56242233731137192</v>
      </c>
      <c r="U186">
        <f t="shared" si="121"/>
        <v>0.93206009579362026</v>
      </c>
      <c r="V186">
        <f t="shared" si="122"/>
        <v>-0.37073834157714769</v>
      </c>
      <c r="X186">
        <f t="shared" si="139"/>
        <v>-11.292623271266603</v>
      </c>
      <c r="Y186">
        <f t="shared" si="123"/>
        <v>-117.48104476666423</v>
      </c>
      <c r="Z186">
        <f t="shared" si="140"/>
        <v>62.518955233335774</v>
      </c>
      <c r="AC186">
        <v>1</v>
      </c>
      <c r="AD186">
        <f t="shared" si="124"/>
        <v>12.568381219296</v>
      </c>
      <c r="AE186">
        <f t="shared" si="125"/>
        <v>-9.0025193658939439E-4</v>
      </c>
      <c r="AF186">
        <f t="shared" si="126"/>
        <v>2.3159821015799999E-3</v>
      </c>
      <c r="AG186">
        <f t="shared" si="141"/>
        <v>4568.6521792589301</v>
      </c>
      <c r="AH186">
        <f t="shared" si="142"/>
        <v>-2207.6759438223125</v>
      </c>
      <c r="AJ186">
        <f t="shared" si="127"/>
        <v>18000</v>
      </c>
      <c r="AK186">
        <f t="shared" si="128"/>
        <v>11345.924687328001</v>
      </c>
      <c r="AL186">
        <v>1</v>
      </c>
      <c r="AM186">
        <f t="shared" si="129"/>
        <v>19.540203628175998</v>
      </c>
      <c r="AN186">
        <f t="shared" si="143"/>
        <v>626.14794316861594</v>
      </c>
      <c r="AO186">
        <f t="shared" si="144"/>
        <v>-889.13362355032768</v>
      </c>
      <c r="AQ186">
        <f t="shared" si="130"/>
        <v>0.43280675178532785</v>
      </c>
      <c r="AR186">
        <f t="shared" si="131"/>
        <v>-65.78662627136984</v>
      </c>
      <c r="AT186">
        <f t="shared" si="156"/>
        <v>-143258.20873479013</v>
      </c>
      <c r="AU186">
        <f t="shared" si="157"/>
        <v>-301511.71053502691</v>
      </c>
      <c r="AV186">
        <f t="shared" si="145"/>
        <v>-2.0143532959131241</v>
      </c>
      <c r="AW186">
        <f t="shared" si="146"/>
        <v>-52759.227093645808</v>
      </c>
      <c r="AX186">
        <f t="shared" si="147"/>
        <v>-46299.57376672321</v>
      </c>
      <c r="AY186">
        <f t="shared" si="155"/>
        <v>-2.4213125842631236</v>
      </c>
      <c r="BA186">
        <f t="shared" si="132"/>
        <v>4.7556063595391294</v>
      </c>
      <c r="BB186">
        <f t="shared" si="148"/>
        <v>13.544117983040884</v>
      </c>
      <c r="BC186">
        <f t="shared" si="149"/>
        <v>0.4069592883499995</v>
      </c>
      <c r="BD186">
        <f t="shared" si="133"/>
        <v>-156.68295031725393</v>
      </c>
      <c r="BF186">
        <f t="shared" si="134"/>
        <v>-11.127221444571642</v>
      </c>
      <c r="BG186">
        <f t="shared" si="135"/>
        <v>-123.21904232184376</v>
      </c>
      <c r="BH186">
        <f t="shared" si="150"/>
        <v>56.780957678156241</v>
      </c>
      <c r="BI186">
        <f t="shared" si="151"/>
        <v>56.780957678156241</v>
      </c>
      <c r="BJ186">
        <f t="shared" si="136"/>
        <v>0</v>
      </c>
      <c r="BK186">
        <f t="shared" si="152"/>
        <v>0</v>
      </c>
      <c r="BM186">
        <f t="shared" si="153"/>
        <v>-24.671339427612526</v>
      </c>
      <c r="BN186">
        <f t="shared" si="137"/>
        <v>-146.53609200458985</v>
      </c>
      <c r="BQ186" s="56">
        <f t="shared" si="154"/>
        <v>30.446078783326023</v>
      </c>
      <c r="BR186" s="59"/>
      <c r="BS186" s="59"/>
      <c r="BT186" s="59">
        <v>5754.3990000000003</v>
      </c>
      <c r="BU186" s="59">
        <v>0.86915299999999995</v>
      </c>
      <c r="BV186" s="59">
        <v>-234.68899999999999</v>
      </c>
      <c r="BW186" s="61"/>
      <c r="BY186" s="59"/>
      <c r="BZ186" s="59"/>
      <c r="CA186" s="59"/>
      <c r="CC186" s="59"/>
    </row>
    <row r="187" spans="1:81" x14ac:dyDescent="0.25">
      <c r="A187">
        <f t="shared" si="158"/>
        <v>76500</v>
      </c>
      <c r="B187">
        <f t="shared" si="138"/>
        <v>76.5</v>
      </c>
      <c r="C187">
        <f t="shared" si="107"/>
        <v>1.1842972008944006</v>
      </c>
      <c r="D187">
        <f t="shared" si="108"/>
        <v>0.56538455247349162</v>
      </c>
      <c r="F187">
        <f t="shared" si="109"/>
        <v>3.2507347188641179E-3</v>
      </c>
      <c r="G187">
        <f t="shared" si="110"/>
        <v>2.1490760765835601E-2</v>
      </c>
      <c r="H187">
        <f t="shared" si="111"/>
        <v>-3.1201018892341645</v>
      </c>
      <c r="J187">
        <f t="shared" si="112"/>
        <v>15</v>
      </c>
      <c r="M187">
        <f t="shared" si="113"/>
        <v>2.3831119986487338E-2</v>
      </c>
      <c r="N187">
        <f t="shared" si="114"/>
        <v>-1.5707963250000001</v>
      </c>
      <c r="O187">
        <f t="shared" si="115"/>
        <v>12.690528750526688</v>
      </c>
      <c r="P187">
        <f t="shared" si="116"/>
        <v>1.491915627619836</v>
      </c>
      <c r="Q187">
        <f t="shared" si="117"/>
        <v>19.694162218904005</v>
      </c>
      <c r="R187">
        <f t="shared" si="118"/>
        <v>1.5199980142551137</v>
      </c>
      <c r="S187">
        <f t="shared" si="119"/>
        <v>0.84438264250289852</v>
      </c>
      <c r="T187">
        <f t="shared" si="120"/>
        <v>-0.56538455247349151</v>
      </c>
      <c r="U187">
        <f t="shared" si="121"/>
        <v>0.93125358874060227</v>
      </c>
      <c r="V187">
        <f t="shared" si="122"/>
        <v>-0.3729580580681966</v>
      </c>
      <c r="X187">
        <f t="shared" si="139"/>
        <v>-11.35795140836909</v>
      </c>
      <c r="Y187">
        <f t="shared" si="123"/>
        <v>-117.56765266080373</v>
      </c>
      <c r="Z187">
        <f t="shared" si="140"/>
        <v>62.432347339196269</v>
      </c>
      <c r="AC187">
        <v>1</v>
      </c>
      <c r="AD187">
        <f t="shared" si="124"/>
        <v>12.651067937844001</v>
      </c>
      <c r="AE187">
        <f t="shared" si="125"/>
        <v>-9.1213632200576236E-4</v>
      </c>
      <c r="AF187">
        <f t="shared" si="126"/>
        <v>2.3312188259324998E-3</v>
      </c>
      <c r="AG187">
        <f t="shared" si="141"/>
        <v>4560.7491350945938</v>
      </c>
      <c r="AH187">
        <f t="shared" si="142"/>
        <v>-2213.4451233303284</v>
      </c>
      <c r="AJ187">
        <f t="shared" si="127"/>
        <v>18000</v>
      </c>
      <c r="AK187">
        <f t="shared" si="128"/>
        <v>11420.568928692001</v>
      </c>
      <c r="AL187">
        <v>1</v>
      </c>
      <c r="AM187">
        <f t="shared" si="129"/>
        <v>19.668757599414</v>
      </c>
      <c r="AN187">
        <f t="shared" si="143"/>
        <v>625.55660792896902</v>
      </c>
      <c r="AO187">
        <f t="shared" si="144"/>
        <v>-883.352357374554</v>
      </c>
      <c r="AQ187">
        <f t="shared" si="130"/>
        <v>0.42716787697565145</v>
      </c>
      <c r="AR187">
        <f t="shared" si="131"/>
        <v>-65.35668517727467</v>
      </c>
      <c r="AT187">
        <f t="shared" si="156"/>
        <v>-142715.23055721729</v>
      </c>
      <c r="AU187">
        <f t="shared" si="157"/>
        <v>-299020.95804904023</v>
      </c>
      <c r="AV187">
        <f t="shared" si="145"/>
        <v>-2.0160992293922226</v>
      </c>
      <c r="AW187">
        <f t="shared" si="146"/>
        <v>-52011.378934740067</v>
      </c>
      <c r="AX187">
        <f t="shared" si="147"/>
        <v>-45974.94004521938</v>
      </c>
      <c r="AY187">
        <f t="shared" si="155"/>
        <v>-2.4177216489404421</v>
      </c>
      <c r="BA187">
        <f t="shared" si="132"/>
        <v>4.772994492588845</v>
      </c>
      <c r="BB187">
        <f t="shared" si="148"/>
        <v>13.575818664950464</v>
      </c>
      <c r="BC187">
        <f t="shared" si="149"/>
        <v>0.40162241954821942</v>
      </c>
      <c r="BD187">
        <f t="shared" si="133"/>
        <v>-156.98873037576035</v>
      </c>
      <c r="BF187">
        <f t="shared" si="134"/>
        <v>-11.193511503906821</v>
      </c>
      <c r="BG187">
        <f t="shared" si="135"/>
        <v>-123.36325178830603</v>
      </c>
      <c r="BH187">
        <f t="shared" si="150"/>
        <v>56.63674821169397</v>
      </c>
      <c r="BI187">
        <f t="shared" si="151"/>
        <v>56.63674821169397</v>
      </c>
      <c r="BJ187">
        <f t="shared" si="136"/>
        <v>0</v>
      </c>
      <c r="BK187">
        <f t="shared" si="152"/>
        <v>0</v>
      </c>
      <c r="BM187">
        <f t="shared" si="153"/>
        <v>-24.769330168857287</v>
      </c>
      <c r="BN187">
        <f t="shared" si="137"/>
        <v>-146.37452141254565</v>
      </c>
      <c r="BQ187" s="56">
        <f t="shared" si="154"/>
        <v>30.477779465235599</v>
      </c>
      <c r="BR187" s="59"/>
      <c r="BS187" s="59"/>
      <c r="BT187" s="59">
        <v>5888.4369999999999</v>
      </c>
      <c r="BU187" s="59">
        <v>0.80323599999999995</v>
      </c>
      <c r="BV187" s="59">
        <v>-233.95400000000001</v>
      </c>
      <c r="BW187" s="61"/>
      <c r="BY187" s="59"/>
      <c r="BZ187" s="59"/>
      <c r="CA187" s="59"/>
      <c r="CC187" s="59"/>
    </row>
    <row r="188" spans="1:81" x14ac:dyDescent="0.25">
      <c r="A188">
        <f t="shared" si="158"/>
        <v>77000</v>
      </c>
      <c r="B188">
        <f t="shared" si="138"/>
        <v>77</v>
      </c>
      <c r="C188">
        <f t="shared" si="107"/>
        <v>1.1865240314623819</v>
      </c>
      <c r="D188">
        <f t="shared" si="108"/>
        <v>0.56833567466768742</v>
      </c>
      <c r="F188">
        <f t="shared" si="109"/>
        <v>3.2085282649261695E-3</v>
      </c>
      <c r="G188">
        <f t="shared" si="110"/>
        <v>2.1350349270212107E-2</v>
      </c>
      <c r="H188">
        <f t="shared" si="111"/>
        <v>-3.1202423007297879</v>
      </c>
      <c r="J188">
        <f t="shared" si="112"/>
        <v>15</v>
      </c>
      <c r="M188">
        <f t="shared" si="113"/>
        <v>2.3676372454107555E-2</v>
      </c>
      <c r="N188">
        <f t="shared" si="114"/>
        <v>-1.5707963250000001</v>
      </c>
      <c r="O188">
        <f t="shared" si="115"/>
        <v>12.772960019086609</v>
      </c>
      <c r="P188">
        <f t="shared" si="116"/>
        <v>1.4924257384050326</v>
      </c>
      <c r="Q188">
        <f t="shared" si="117"/>
        <v>19.822551435813491</v>
      </c>
      <c r="R188">
        <f t="shared" si="118"/>
        <v>1.5203273117605833</v>
      </c>
      <c r="S188">
        <f t="shared" si="119"/>
        <v>0.84279793201281183</v>
      </c>
      <c r="T188">
        <f t="shared" si="120"/>
        <v>-0.56833567466768731</v>
      </c>
      <c r="U188">
        <f t="shared" si="121"/>
        <v>0.930443903682179</v>
      </c>
      <c r="V188">
        <f t="shared" si="122"/>
        <v>-0.37517392556477031</v>
      </c>
      <c r="X188">
        <f t="shared" si="139"/>
        <v>-11.422928145478352</v>
      </c>
      <c r="Y188">
        <f t="shared" si="123"/>
        <v>-117.65456295016781</v>
      </c>
      <c r="Z188">
        <f t="shared" si="140"/>
        <v>62.345437049832185</v>
      </c>
      <c r="AC188">
        <v>1</v>
      </c>
      <c r="AD188">
        <f t="shared" si="124"/>
        <v>12.733754656392001</v>
      </c>
      <c r="AE188">
        <f t="shared" si="125"/>
        <v>-9.2409863781830331E-4</v>
      </c>
      <c r="AF188">
        <f t="shared" si="126"/>
        <v>2.3464555502849998E-3</v>
      </c>
      <c r="AG188">
        <f t="shared" si="141"/>
        <v>4552.8218312500376</v>
      </c>
      <c r="AH188">
        <f t="shared" si="142"/>
        <v>-2219.2009781967195</v>
      </c>
      <c r="AJ188">
        <f t="shared" si="127"/>
        <v>18000</v>
      </c>
      <c r="AK188">
        <f t="shared" si="128"/>
        <v>11495.213170056</v>
      </c>
      <c r="AL188">
        <v>1</v>
      </c>
      <c r="AM188">
        <f t="shared" si="129"/>
        <v>19.797311570651999</v>
      </c>
      <c r="AN188">
        <f t="shared" si="143"/>
        <v>624.97671567529585</v>
      </c>
      <c r="AO188">
        <f t="shared" si="144"/>
        <v>-877.6455945706208</v>
      </c>
      <c r="AQ188">
        <f t="shared" si="130"/>
        <v>0.42163848716110808</v>
      </c>
      <c r="AR188">
        <f t="shared" si="131"/>
        <v>-64.93232702281064</v>
      </c>
      <c r="AT188">
        <f t="shared" si="156"/>
        <v>-142178.23873636831</v>
      </c>
      <c r="AU188">
        <f t="shared" si="157"/>
        <v>-296561.01656647236</v>
      </c>
      <c r="AV188">
        <f t="shared" si="145"/>
        <v>-2.017847425521305</v>
      </c>
      <c r="AW188">
        <f t="shared" si="146"/>
        <v>-51278.184126106185</v>
      </c>
      <c r="AX188">
        <f t="shared" si="147"/>
        <v>-45655.42611572289</v>
      </c>
      <c r="AY188">
        <f t="shared" si="155"/>
        <v>-2.4141358414555465</v>
      </c>
      <c r="BA188">
        <f t="shared" si="132"/>
        <v>4.7901678739341191</v>
      </c>
      <c r="BB188">
        <f t="shared" si="148"/>
        <v>13.60701467516267</v>
      </c>
      <c r="BC188">
        <f t="shared" si="149"/>
        <v>0.39628841593424147</v>
      </c>
      <c r="BD188">
        <f t="shared" si="133"/>
        <v>-157.29434627109805</v>
      </c>
      <c r="BF188">
        <f t="shared" si="134"/>
        <v>-11.259511980168408</v>
      </c>
      <c r="BG188">
        <f t="shared" si="135"/>
        <v>-123.50782582299924</v>
      </c>
      <c r="BH188">
        <f t="shared" si="150"/>
        <v>56.492174177000763</v>
      </c>
      <c r="BI188">
        <f t="shared" si="151"/>
        <v>56.492174177000763</v>
      </c>
      <c r="BJ188">
        <f t="shared" si="136"/>
        <v>0</v>
      </c>
      <c r="BK188">
        <f t="shared" si="152"/>
        <v>0</v>
      </c>
      <c r="BM188">
        <f t="shared" si="153"/>
        <v>-24.866526655331075</v>
      </c>
      <c r="BN188">
        <f t="shared" si="137"/>
        <v>-146.2134795519012</v>
      </c>
      <c r="BQ188" s="56">
        <f t="shared" si="154"/>
        <v>30.508975475447805</v>
      </c>
      <c r="BR188" s="59"/>
      <c r="BS188" s="59"/>
      <c r="BT188" s="59">
        <v>6025.5959999999995</v>
      </c>
      <c r="BU188" s="59">
        <v>0.76992799999999995</v>
      </c>
      <c r="BV188" s="59">
        <v>-234.14699999999999</v>
      </c>
      <c r="BW188" s="61"/>
      <c r="BY188" s="59"/>
      <c r="BZ188" s="59"/>
      <c r="CA188" s="59"/>
      <c r="CC188" s="59"/>
    </row>
    <row r="189" spans="1:81" x14ac:dyDescent="0.25">
      <c r="A189">
        <f t="shared" si="158"/>
        <v>77500</v>
      </c>
      <c r="B189">
        <f t="shared" si="138"/>
        <v>77.5</v>
      </c>
      <c r="C189">
        <f t="shared" si="107"/>
        <v>1.188761156846283</v>
      </c>
      <c r="D189">
        <f t="shared" si="108"/>
        <v>0.57127571497429264</v>
      </c>
      <c r="F189">
        <f t="shared" si="109"/>
        <v>3.1671392955188865E-3</v>
      </c>
      <c r="G189">
        <f t="shared" si="110"/>
        <v>2.1211766104962365E-2</v>
      </c>
      <c r="H189">
        <f t="shared" si="111"/>
        <v>-3.120380883895038</v>
      </c>
      <c r="J189">
        <f t="shared" si="112"/>
        <v>15</v>
      </c>
      <c r="M189">
        <f t="shared" si="113"/>
        <v>2.3523621664081052E-2</v>
      </c>
      <c r="N189">
        <f t="shared" si="114"/>
        <v>-1.5707963250000001</v>
      </c>
      <c r="O189">
        <f t="shared" si="115"/>
        <v>12.855394568712155</v>
      </c>
      <c r="P189">
        <f t="shared" si="116"/>
        <v>1.4929293072020646</v>
      </c>
      <c r="Q189">
        <f t="shared" si="117"/>
        <v>19.950942774552765</v>
      </c>
      <c r="R189">
        <f t="shared" si="118"/>
        <v>1.520652371010228</v>
      </c>
      <c r="S189">
        <f t="shared" si="119"/>
        <v>0.84121187358858873</v>
      </c>
      <c r="T189">
        <f t="shared" si="120"/>
        <v>-0.57127571497429253</v>
      </c>
      <c r="U189">
        <f t="shared" si="121"/>
        <v>0.92963107272285272</v>
      </c>
      <c r="V189">
        <f t="shared" si="122"/>
        <v>-0.37738593236602019</v>
      </c>
      <c r="X189">
        <f t="shared" si="139"/>
        <v>-11.487558499207211</v>
      </c>
      <c r="Y189">
        <f t="shared" si="123"/>
        <v>-117.74176494485299</v>
      </c>
      <c r="Z189">
        <f t="shared" si="140"/>
        <v>62.258235055147011</v>
      </c>
      <c r="AC189">
        <v>1</v>
      </c>
      <c r="AD189">
        <f t="shared" si="124"/>
        <v>12.816441374940002</v>
      </c>
      <c r="AE189">
        <f t="shared" si="125"/>
        <v>-9.3613888402701705E-4</v>
      </c>
      <c r="AF189">
        <f t="shared" si="126"/>
        <v>2.3616922746375001E-3</v>
      </c>
      <c r="AG189">
        <f t="shared" si="141"/>
        <v>4544.870662830157</v>
      </c>
      <c r="AH189">
        <f t="shared" si="142"/>
        <v>-2224.9427695466775</v>
      </c>
      <c r="AJ189">
        <f t="shared" si="127"/>
        <v>18000</v>
      </c>
      <c r="AK189">
        <f t="shared" si="128"/>
        <v>11569.857411420002</v>
      </c>
      <c r="AL189">
        <v>1</v>
      </c>
      <c r="AM189">
        <f t="shared" si="129"/>
        <v>19.925865541889998</v>
      </c>
      <c r="AN189">
        <f t="shared" si="143"/>
        <v>624.407973300393</v>
      </c>
      <c r="AO189">
        <f t="shared" si="144"/>
        <v>-872.01190784766823</v>
      </c>
      <c r="AQ189">
        <f t="shared" si="130"/>
        <v>0.41621576625322565</v>
      </c>
      <c r="AR189">
        <f t="shared" si="131"/>
        <v>-64.513443769249974</v>
      </c>
      <c r="AT189">
        <f t="shared" si="156"/>
        <v>-141647.07342749721</v>
      </c>
      <c r="AU189">
        <f t="shared" si="157"/>
        <v>-294131.31420470361</v>
      </c>
      <c r="AV189">
        <f t="shared" si="145"/>
        <v>-2.0195977553607802</v>
      </c>
      <c r="AW189">
        <f t="shared" si="146"/>
        <v>-50559.267810263322</v>
      </c>
      <c r="AX189">
        <f t="shared" si="147"/>
        <v>-45340.910496328099</v>
      </c>
      <c r="AY189">
        <f t="shared" si="155"/>
        <v>-2.4105553488684941</v>
      </c>
      <c r="BA189">
        <f t="shared" si="132"/>
        <v>4.8071267293702746</v>
      </c>
      <c r="BB189">
        <f t="shared" si="148"/>
        <v>13.637711430052541</v>
      </c>
      <c r="BC189">
        <f t="shared" si="149"/>
        <v>0.39095759350771386</v>
      </c>
      <c r="BD189">
        <f t="shared" si="133"/>
        <v>-157.59977989782078</v>
      </c>
      <c r="BF189">
        <f t="shared" si="134"/>
        <v>-11.32522797586385</v>
      </c>
      <c r="BG189">
        <f t="shared" si="135"/>
        <v>-123.65274777885212</v>
      </c>
      <c r="BH189">
        <f t="shared" si="150"/>
        <v>56.347252221147883</v>
      </c>
      <c r="BI189">
        <f t="shared" si="151"/>
        <v>56.347252221147883</v>
      </c>
      <c r="BJ189">
        <f t="shared" si="136"/>
        <v>0</v>
      </c>
      <c r="BK189">
        <f t="shared" si="152"/>
        <v>0</v>
      </c>
      <c r="BM189">
        <f t="shared" si="153"/>
        <v>-24.962939405916387</v>
      </c>
      <c r="BN189">
        <f t="shared" si="137"/>
        <v>-146.05296788103135</v>
      </c>
      <c r="BQ189" s="56">
        <f t="shared" si="154"/>
        <v>30.539672230337676</v>
      </c>
      <c r="BR189" s="59"/>
      <c r="BS189" s="59"/>
      <c r="BT189" s="59">
        <v>6165.95</v>
      </c>
      <c r="BU189" s="59">
        <v>0.46947800000000001</v>
      </c>
      <c r="BV189" s="59">
        <v>-232.05599999999998</v>
      </c>
      <c r="BW189" s="61"/>
      <c r="BY189" s="59"/>
      <c r="BZ189" s="59"/>
      <c r="CA189" s="59"/>
      <c r="CC189" s="59"/>
    </row>
    <row r="190" spans="1:81" x14ac:dyDescent="0.25">
      <c r="A190">
        <f t="shared" si="158"/>
        <v>78000</v>
      </c>
      <c r="B190">
        <f t="shared" si="138"/>
        <v>78</v>
      </c>
      <c r="C190">
        <f t="shared" si="107"/>
        <v>1.1910085190344448</v>
      </c>
      <c r="D190">
        <f t="shared" si="108"/>
        <v>0.57420468515689793</v>
      </c>
      <c r="F190">
        <f t="shared" si="109"/>
        <v>3.126546814502148E-3</v>
      </c>
      <c r="G190">
        <f t="shared" si="110"/>
        <v>2.107497568710829E-2</v>
      </c>
      <c r="H190">
        <f t="shared" si="111"/>
        <v>-3.1205176743128917</v>
      </c>
      <c r="J190">
        <f t="shared" si="112"/>
        <v>15</v>
      </c>
      <c r="M190">
        <f t="shared" si="113"/>
        <v>2.3372829217516433E-2</v>
      </c>
      <c r="N190">
        <f t="shared" si="114"/>
        <v>-1.5707963250000001</v>
      </c>
      <c r="O190">
        <f t="shared" si="115"/>
        <v>12.937832336686521</v>
      </c>
      <c r="P190">
        <f t="shared" si="116"/>
        <v>1.4934264588065282</v>
      </c>
      <c r="Q190">
        <f t="shared" si="117"/>
        <v>20.079336194419604</v>
      </c>
      <c r="R190">
        <f t="shared" si="118"/>
        <v>1.5209732732368004</v>
      </c>
      <c r="S190">
        <f t="shared" si="119"/>
        <v>0.8396245568509485</v>
      </c>
      <c r="T190">
        <f t="shared" si="120"/>
        <v>-0.57420468515689782</v>
      </c>
      <c r="U190">
        <f t="shared" si="121"/>
        <v>0.9288151279315906</v>
      </c>
      <c r="V190">
        <f t="shared" si="122"/>
        <v>-0.37959406696295495</v>
      </c>
      <c r="X190">
        <f t="shared" si="139"/>
        <v>-11.551847379848173</v>
      </c>
      <c r="Y190">
        <f t="shared" si="123"/>
        <v>-117.8292482196421</v>
      </c>
      <c r="Z190">
        <f t="shared" si="140"/>
        <v>62.170751780357904</v>
      </c>
      <c r="AC190">
        <v>1</v>
      </c>
      <c r="AD190">
        <f t="shared" si="124"/>
        <v>12.899128093488002</v>
      </c>
      <c r="AE190">
        <f t="shared" si="125"/>
        <v>-9.4825706063190378E-4</v>
      </c>
      <c r="AF190">
        <f t="shared" si="126"/>
        <v>2.37692899899E-3</v>
      </c>
      <c r="AG190">
        <f t="shared" si="141"/>
        <v>4536.896023809235</v>
      </c>
      <c r="AH190">
        <f t="shared" si="142"/>
        <v>-2230.6697802849362</v>
      </c>
      <c r="AJ190">
        <f t="shared" si="127"/>
        <v>18000</v>
      </c>
      <c r="AK190">
        <f t="shared" si="128"/>
        <v>11644.501652784</v>
      </c>
      <c r="AL190">
        <v>1</v>
      </c>
      <c r="AM190">
        <f t="shared" si="129"/>
        <v>20.054419513128</v>
      </c>
      <c r="AN190">
        <f t="shared" si="143"/>
        <v>623.85009701435297</v>
      </c>
      <c r="AO190">
        <f t="shared" si="144"/>
        <v>-866.44990604743714</v>
      </c>
      <c r="AQ190">
        <f t="shared" si="130"/>
        <v>0.41089698812507702</v>
      </c>
      <c r="AR190">
        <f t="shared" si="131"/>
        <v>-64.099930147512012</v>
      </c>
      <c r="AT190">
        <f t="shared" si="156"/>
        <v>-141121.58018681052</v>
      </c>
      <c r="AU190">
        <f t="shared" si="157"/>
        <v>-291731.29370691767</v>
      </c>
      <c r="AV190">
        <f t="shared" si="145"/>
        <v>-2.0213500931359083</v>
      </c>
      <c r="AW190">
        <f t="shared" si="146"/>
        <v>-49854.267024376517</v>
      </c>
      <c r="AX190">
        <f t="shared" si="147"/>
        <v>-45031.275496545277</v>
      </c>
      <c r="AY190">
        <f t="shared" si="155"/>
        <v>-2.406980354862112</v>
      </c>
      <c r="BA190">
        <f t="shared" si="132"/>
        <v>4.8238713137905327</v>
      </c>
      <c r="BB190">
        <f t="shared" si="148"/>
        <v>13.66791427262482</v>
      </c>
      <c r="BC190">
        <f t="shared" si="149"/>
        <v>0.38563026172620374</v>
      </c>
      <c r="BD190">
        <f t="shared" si="133"/>
        <v>-157.90501352531601</v>
      </c>
      <c r="BF190">
        <f t="shared" si="134"/>
        <v>-11.3906644709107</v>
      </c>
      <c r="BG190">
        <f t="shared" si="135"/>
        <v>-123.79800129000245</v>
      </c>
      <c r="BH190">
        <f t="shared" si="150"/>
        <v>56.201998709997554</v>
      </c>
      <c r="BI190">
        <f t="shared" si="151"/>
        <v>56.201998709997554</v>
      </c>
      <c r="BJ190">
        <f t="shared" si="136"/>
        <v>0</v>
      </c>
      <c r="BK190">
        <f t="shared" si="152"/>
        <v>0</v>
      </c>
      <c r="BM190">
        <f t="shared" si="153"/>
        <v>-25.058578743535524</v>
      </c>
      <c r="BN190">
        <f t="shared" si="137"/>
        <v>-145.89298776468644</v>
      </c>
      <c r="BQ190" s="56">
        <f t="shared" si="154"/>
        <v>30.569875072909959</v>
      </c>
      <c r="BR190" s="59"/>
      <c r="BS190" s="59"/>
      <c r="BT190" s="59">
        <v>6309.5730000000003</v>
      </c>
      <c r="BU190" s="59">
        <v>0.36985299999999999</v>
      </c>
      <c r="BV190" s="59">
        <v>-231.369</v>
      </c>
      <c r="BW190" s="61"/>
      <c r="BY190" s="59"/>
      <c r="BZ190" s="59"/>
      <c r="CA190" s="59"/>
      <c r="CC190" s="59"/>
    </row>
    <row r="191" spans="1:81" x14ac:dyDescent="0.25">
      <c r="A191">
        <f t="shared" si="158"/>
        <v>78500</v>
      </c>
      <c r="B191">
        <f t="shared" si="138"/>
        <v>78.5</v>
      </c>
      <c r="C191">
        <f t="shared" si="107"/>
        <v>1.1932660601877805</v>
      </c>
      <c r="D191">
        <f t="shared" si="108"/>
        <v>0.57712259765042484</v>
      </c>
      <c r="F191">
        <f t="shared" si="109"/>
        <v>3.0867304961417056E-3</v>
      </c>
      <c r="G191">
        <f t="shared" si="110"/>
        <v>2.0939943353655833E-2</v>
      </c>
      <c r="H191">
        <f t="shared" si="111"/>
        <v>-3.1206527066463443</v>
      </c>
      <c r="J191">
        <f t="shared" si="112"/>
        <v>15</v>
      </c>
      <c r="M191">
        <f t="shared" si="113"/>
        <v>2.322395769383798E-2</v>
      </c>
      <c r="N191">
        <f t="shared" si="114"/>
        <v>-1.5707963250000001</v>
      </c>
      <c r="O191">
        <f t="shared" si="115"/>
        <v>13.020273261878851</v>
      </c>
      <c r="P191">
        <f t="shared" si="116"/>
        <v>1.4939173148662035</v>
      </c>
      <c r="Q191">
        <f t="shared" si="117"/>
        <v>20.207731655745555</v>
      </c>
      <c r="R191">
        <f t="shared" si="118"/>
        <v>1.5212900976119885</v>
      </c>
      <c r="S191">
        <f t="shared" si="119"/>
        <v>0.83803607038201788</v>
      </c>
      <c r="T191">
        <f t="shared" si="120"/>
        <v>-0.57712259765042462</v>
      </c>
      <c r="U191">
        <f t="shared" si="121"/>
        <v>0.92799610133921306</v>
      </c>
      <c r="V191">
        <f t="shared" si="122"/>
        <v>-0.38179831803788261</v>
      </c>
      <c r="X191">
        <f t="shared" si="139"/>
        <v>-11.615799594271541</v>
      </c>
      <c r="Y191">
        <f t="shared" si="123"/>
        <v>-117.91700260601455</v>
      </c>
      <c r="Z191">
        <f t="shared" si="140"/>
        <v>62.082997393985451</v>
      </c>
      <c r="AC191">
        <v>1</v>
      </c>
      <c r="AD191">
        <f t="shared" si="124"/>
        <v>12.981814812035999</v>
      </c>
      <c r="AE191">
        <f t="shared" si="125"/>
        <v>-9.6045316763296318E-4</v>
      </c>
      <c r="AF191">
        <f t="shared" si="126"/>
        <v>2.3921657233425E-3</v>
      </c>
      <c r="AG191">
        <f t="shared" si="141"/>
        <v>4528.8983069963979</v>
      </c>
      <c r="AH191">
        <f t="shared" si="142"/>
        <v>-2236.3813144881742</v>
      </c>
      <c r="AJ191">
        <f t="shared" si="127"/>
        <v>18000</v>
      </c>
      <c r="AK191">
        <f t="shared" si="128"/>
        <v>11719.145894148001</v>
      </c>
      <c r="AL191">
        <v>1</v>
      </c>
      <c r="AM191">
        <f t="shared" si="129"/>
        <v>20.182973484365998</v>
      </c>
      <c r="AN191">
        <f t="shared" si="143"/>
        <v>623.30281199168951</v>
      </c>
      <c r="AO191">
        <f t="shared" si="144"/>
        <v>-860.95823301103439</v>
      </c>
      <c r="AQ191">
        <f t="shared" si="130"/>
        <v>0.40567951318458417</v>
      </c>
      <c r="AR191">
        <f t="shared" si="131"/>
        <v>-63.691683569979716</v>
      </c>
      <c r="AT191">
        <f t="shared" si="156"/>
        <v>-140601.6097637513</v>
      </c>
      <c r="AU191">
        <f t="shared" si="157"/>
        <v>-289360.41197278805</v>
      </c>
      <c r="AV191">
        <f t="shared" si="145"/>
        <v>-2.0231043161428088</v>
      </c>
      <c r="AW191">
        <f t="shared" si="146"/>
        <v>-49162.830250251369</v>
      </c>
      <c r="AX191">
        <f t="shared" si="147"/>
        <v>-44726.407071305337</v>
      </c>
      <c r="AY191">
        <f t="shared" si="155"/>
        <v>-2.4034110397946411</v>
      </c>
      <c r="BA191">
        <f t="shared" si="132"/>
        <v>4.8404019109051024</v>
      </c>
      <c r="BB191">
        <f t="shared" si="148"/>
        <v>13.697628474382187</v>
      </c>
      <c r="BC191">
        <f t="shared" si="149"/>
        <v>0.38030672365183227</v>
      </c>
      <c r="BD191">
        <f t="shared" si="133"/>
        <v>-158.21002978940322</v>
      </c>
      <c r="BF191">
        <f t="shared" si="134"/>
        <v>-11.45582632568815</v>
      </c>
      <c r="BG191">
        <f t="shared" si="135"/>
        <v>-123.94357026584451</v>
      </c>
      <c r="BH191">
        <f t="shared" si="150"/>
        <v>56.056429734155486</v>
      </c>
      <c r="BI191">
        <f t="shared" si="151"/>
        <v>56.056429734155486</v>
      </c>
      <c r="BJ191">
        <f t="shared" si="136"/>
        <v>0</v>
      </c>
      <c r="BK191">
        <f t="shared" si="152"/>
        <v>0</v>
      </c>
      <c r="BM191">
        <f t="shared" si="153"/>
        <v>-25.153454800070335</v>
      </c>
      <c r="BN191">
        <f t="shared" si="137"/>
        <v>-145.73354047644131</v>
      </c>
      <c r="BQ191" s="56">
        <f t="shared" si="154"/>
        <v>30.599589274667323</v>
      </c>
      <c r="BR191" s="59"/>
      <c r="BS191" s="59"/>
      <c r="BT191" s="59">
        <v>6456.5420000000004</v>
      </c>
      <c r="BU191" s="59">
        <v>0.12767600000000001</v>
      </c>
      <c r="BV191" s="59">
        <v>-230.779</v>
      </c>
      <c r="BW191" s="61"/>
      <c r="BY191" s="59"/>
      <c r="BZ191" s="59"/>
      <c r="CA191" s="59"/>
      <c r="CC191" s="59"/>
    </row>
    <row r="192" spans="1:81" x14ac:dyDescent="0.25">
      <c r="A192">
        <f t="shared" si="158"/>
        <v>79000</v>
      </c>
      <c r="B192">
        <f t="shared" si="138"/>
        <v>79</v>
      </c>
      <c r="C192">
        <f t="shared" si="107"/>
        <v>1.1955337226430931</v>
      </c>
      <c r="D192">
        <f t="shared" si="108"/>
        <v>0.58002946554925949</v>
      </c>
      <c r="F192">
        <f t="shared" si="109"/>
        <v>3.0476706595613957E-3</v>
      </c>
      <c r="G192">
        <f t="shared" si="110"/>
        <v>2.0806635331973834E-2</v>
      </c>
      <c r="H192">
        <f t="shared" si="111"/>
        <v>-3.1207860146680262</v>
      </c>
      <c r="J192">
        <f t="shared" si="112"/>
        <v>15</v>
      </c>
      <c r="M192">
        <f t="shared" si="113"/>
        <v>2.3076970619826349E-2</v>
      </c>
      <c r="N192">
        <f t="shared" si="114"/>
        <v>-1.5707963250000001</v>
      </c>
      <c r="O192">
        <f t="shared" si="115"/>
        <v>13.102717284694489</v>
      </c>
      <c r="P192">
        <f t="shared" si="116"/>
        <v>1.4944019939794868</v>
      </c>
      <c r="Q192">
        <f t="shared" si="117"/>
        <v>20.336129119863372</v>
      </c>
      <c r="R192">
        <f t="shared" si="118"/>
        <v>1.5216029213113178</v>
      </c>
      <c r="S192">
        <f t="shared" si="119"/>
        <v>0.83644650172576818</v>
      </c>
      <c r="T192">
        <f t="shared" si="120"/>
        <v>-0.58002946554925949</v>
      </c>
      <c r="U192">
        <f t="shared" si="121"/>
        <v>0.9271740249358108</v>
      </c>
      <c r="V192">
        <f t="shared" si="122"/>
        <v>-0.38399867446383557</v>
      </c>
      <c r="X192">
        <f t="shared" si="139"/>
        <v>-11.679419848725523</v>
      </c>
      <c r="Y192">
        <f t="shared" si="123"/>
        <v>-118.0050181844518</v>
      </c>
      <c r="Z192">
        <f t="shared" si="140"/>
        <v>61.994981815548201</v>
      </c>
      <c r="AC192">
        <v>1</v>
      </c>
      <c r="AD192">
        <f t="shared" si="124"/>
        <v>13.064501530584</v>
      </c>
      <c r="AE192">
        <f t="shared" si="125"/>
        <v>-9.7272720503019567E-4</v>
      </c>
      <c r="AF192">
        <f t="shared" si="126"/>
        <v>2.4074024476949999E-3</v>
      </c>
      <c r="AG192">
        <f t="shared" si="141"/>
        <v>4520.8779040016425</v>
      </c>
      <c r="AH192">
        <f t="shared" si="142"/>
        <v>-2242.0766968191274</v>
      </c>
      <c r="AJ192">
        <f t="shared" si="127"/>
        <v>18000</v>
      </c>
      <c r="AK192">
        <f t="shared" si="128"/>
        <v>11793.790135512001</v>
      </c>
      <c r="AL192">
        <v>1</v>
      </c>
      <c r="AM192">
        <f t="shared" si="129"/>
        <v>20.311527455604001</v>
      </c>
      <c r="AN192">
        <f t="shared" si="143"/>
        <v>622.76585203393881</v>
      </c>
      <c r="AO192">
        <f t="shared" si="144"/>
        <v>-855.53556648796689</v>
      </c>
      <c r="AQ192">
        <f t="shared" si="130"/>
        <v>0.40056078509913878</v>
      </c>
      <c r="AR192">
        <f t="shared" si="131"/>
        <v>-63.288604045663931</v>
      </c>
      <c r="AT192">
        <f t="shared" si="156"/>
        <v>-140087.0179024316</v>
      </c>
      <c r="AU192">
        <f t="shared" si="157"/>
        <v>-287018.13960708136</v>
      </c>
      <c r="AV192">
        <f t="shared" si="145"/>
        <v>-2.0248603046579401</v>
      </c>
      <c r="AW192">
        <f t="shared" si="146"/>
        <v>-48484.616984052111</v>
      </c>
      <c r="AX192">
        <f t="shared" si="147"/>
        <v>-44426.194681611567</v>
      </c>
      <c r="AY192">
        <f t="shared" si="155"/>
        <v>-2.3998475807500981</v>
      </c>
      <c r="BA192">
        <f t="shared" si="132"/>
        <v>4.8567188329517572</v>
      </c>
      <c r="BB192">
        <f t="shared" si="148"/>
        <v>13.726859237127695</v>
      </c>
      <c r="BC192">
        <f t="shared" si="149"/>
        <v>0.37498727609215798</v>
      </c>
      <c r="BD192">
        <f t="shared" si="133"/>
        <v>-158.51481168426199</v>
      </c>
      <c r="BF192">
        <f t="shared" si="134"/>
        <v>-11.52071828399624</v>
      </c>
      <c r="BG192">
        <f t="shared" si="135"/>
        <v>-124.089438885334</v>
      </c>
      <c r="BH192">
        <f t="shared" si="150"/>
        <v>55.910561114665995</v>
      </c>
      <c r="BI192">
        <f t="shared" si="151"/>
        <v>55.910561114665995</v>
      </c>
      <c r="BJ192">
        <f t="shared" si="136"/>
        <v>0</v>
      </c>
      <c r="BK192">
        <f t="shared" si="152"/>
        <v>0</v>
      </c>
      <c r="BM192">
        <f t="shared" si="153"/>
        <v>-25.247577521123937</v>
      </c>
      <c r="BN192">
        <f t="shared" si="137"/>
        <v>-145.57462720107202</v>
      </c>
      <c r="BQ192" s="56">
        <f t="shared" si="154"/>
        <v>30.628820037412829</v>
      </c>
      <c r="BR192" s="59"/>
      <c r="BS192" s="59"/>
      <c r="BT192" s="59">
        <v>6606.9340000000002</v>
      </c>
      <c r="BU192" s="59">
        <v>3.6938100000000001E-2</v>
      </c>
      <c r="BV192" s="59">
        <v>-229.60900000000001</v>
      </c>
      <c r="BW192" s="61"/>
      <c r="BY192" s="59"/>
      <c r="BZ192" s="59"/>
      <c r="CA192" s="59"/>
      <c r="CC192" s="59"/>
    </row>
    <row r="193" spans="1:81" x14ac:dyDescent="0.25">
      <c r="A193">
        <f t="shared" si="158"/>
        <v>79500</v>
      </c>
      <c r="B193">
        <f t="shared" si="138"/>
        <v>79.5</v>
      </c>
      <c r="C193">
        <f t="shared" si="107"/>
        <v>1.1978114489163041</v>
      </c>
      <c r="D193">
        <f t="shared" si="108"/>
        <v>0.5829253025954515</v>
      </c>
      <c r="F193">
        <f t="shared" si="109"/>
        <v>3.0093482443250413E-3</v>
      </c>
      <c r="G193">
        <f t="shared" si="110"/>
        <v>2.0675018711312863E-2</v>
      </c>
      <c r="H193">
        <f t="shared" si="111"/>
        <v>-3.1209176312886875</v>
      </c>
      <c r="J193">
        <f t="shared" si="112"/>
        <v>15</v>
      </c>
      <c r="M193">
        <f t="shared" si="113"/>
        <v>2.2931832439827441E-2</v>
      </c>
      <c r="N193">
        <f t="shared" si="114"/>
        <v>-1.5707963250000001</v>
      </c>
      <c r="O193">
        <f t="shared" si="115"/>
        <v>13.185164347027099</v>
      </c>
      <c r="P193">
        <f t="shared" si="116"/>
        <v>1.4948806117901594</v>
      </c>
      <c r="Q193">
        <f t="shared" si="117"/>
        <v>20.464528549075624</v>
      </c>
      <c r="R193">
        <f t="shared" si="118"/>
        <v>1.5219118195766199</v>
      </c>
      <c r="S193">
        <f t="shared" si="119"/>
        <v>0.83485593738875197</v>
      </c>
      <c r="T193">
        <f t="shared" si="120"/>
        <v>-0.58292530259545139</v>
      </c>
      <c r="U193">
        <f t="shared" si="121"/>
        <v>0.92634893066819379</v>
      </c>
      <c r="V193">
        <f t="shared" si="122"/>
        <v>-0.38619512530397943</v>
      </c>
      <c r="X193">
        <f t="shared" si="139"/>
        <v>-11.742712751542401</v>
      </c>
      <c r="Y193">
        <f t="shared" si="123"/>
        <v>-118.09328527702654</v>
      </c>
      <c r="Z193">
        <f t="shared" si="140"/>
        <v>61.906714722973462</v>
      </c>
      <c r="AC193">
        <v>1</v>
      </c>
      <c r="AD193">
        <f t="shared" si="124"/>
        <v>13.147188249132</v>
      </c>
      <c r="AE193">
        <f t="shared" si="125"/>
        <v>-9.8507917282360095E-4</v>
      </c>
      <c r="AF193">
        <f t="shared" si="126"/>
        <v>2.4226391720475002E-3</v>
      </c>
      <c r="AG193">
        <f t="shared" si="141"/>
        <v>4512.8352052024029</v>
      </c>
      <c r="AH193">
        <f t="shared" si="142"/>
        <v>-2247.7552719614159</v>
      </c>
      <c r="AJ193">
        <f t="shared" si="127"/>
        <v>18000</v>
      </c>
      <c r="AK193">
        <f t="shared" si="128"/>
        <v>11868.434376876001</v>
      </c>
      <c r="AL193">
        <v>1</v>
      </c>
      <c r="AM193">
        <f t="shared" si="129"/>
        <v>20.440081426841999</v>
      </c>
      <c r="AN193">
        <f t="shared" si="143"/>
        <v>622.23895924697695</v>
      </c>
      <c r="AO193">
        <f t="shared" si="144"/>
        <v>-850.18061708562834</v>
      </c>
      <c r="AQ193">
        <f t="shared" si="130"/>
        <v>0.39553832766395064</v>
      </c>
      <c r="AR193">
        <f t="shared" si="131"/>
        <v>-62.890594098568151</v>
      </c>
      <c r="AT193">
        <f t="shared" si="156"/>
        <v>-139577.66515175329</v>
      </c>
      <c r="AU193">
        <f t="shared" si="157"/>
        <v>-284703.96048538224</v>
      </c>
      <c r="AV193">
        <f t="shared" si="145"/>
        <v>-2.0266179418509056</v>
      </c>
      <c r="AW193">
        <f t="shared" si="146"/>
        <v>-47819.297324762949</v>
      </c>
      <c r="AX193">
        <f t="shared" si="147"/>
        <v>-44130.53116149165</v>
      </c>
      <c r="AY193">
        <f t="shared" si="155"/>
        <v>-2.3962901515864927</v>
      </c>
      <c r="BA193">
        <f t="shared" si="132"/>
        <v>4.8728224203979504</v>
      </c>
      <c r="BB193">
        <f t="shared" si="148"/>
        <v>13.755611694703578</v>
      </c>
      <c r="BC193">
        <f t="shared" si="149"/>
        <v>0.36967220973558712</v>
      </c>
      <c r="BD193">
        <f t="shared" si="133"/>
        <v>-158.81934255467345</v>
      </c>
      <c r="BF193">
        <f t="shared" si="134"/>
        <v>-11.585344975926898</v>
      </c>
      <c r="BG193">
        <f t="shared" si="135"/>
        <v>-124.23559159153774</v>
      </c>
      <c r="BH193">
        <f t="shared" si="150"/>
        <v>55.764408408462259</v>
      </c>
      <c r="BI193">
        <f t="shared" si="151"/>
        <v>55.764408408462259</v>
      </c>
      <c r="BJ193">
        <f t="shared" si="136"/>
        <v>0</v>
      </c>
      <c r="BK193">
        <f t="shared" si="152"/>
        <v>0</v>
      </c>
      <c r="BM193">
        <f t="shared" si="153"/>
        <v>-25.340956670630476</v>
      </c>
      <c r="BN193">
        <f t="shared" si="137"/>
        <v>-145.41624903686431</v>
      </c>
      <c r="BQ193" s="56">
        <f t="shared" si="154"/>
        <v>30.657572494988713</v>
      </c>
      <c r="BR193" s="59"/>
      <c r="BS193" s="59"/>
      <c r="BT193" s="59">
        <v>6760.83</v>
      </c>
      <c r="BU193" s="59">
        <v>-4.9019100000000003E-2</v>
      </c>
      <c r="BV193" s="59">
        <v>-229.1</v>
      </c>
      <c r="BW193" s="61"/>
      <c r="BY193" s="59"/>
      <c r="BZ193" s="59"/>
      <c r="CA193" s="59"/>
      <c r="CC193" s="59"/>
    </row>
    <row r="194" spans="1:81" x14ac:dyDescent="0.25">
      <c r="A194">
        <f t="shared" si="158"/>
        <v>80000</v>
      </c>
      <c r="B194">
        <f t="shared" si="138"/>
        <v>80</v>
      </c>
      <c r="C194">
        <f t="shared" si="107"/>
        <v>1.2000991817055942</v>
      </c>
      <c r="D194">
        <f t="shared" si="108"/>
        <v>0.58581012316697767</v>
      </c>
      <c r="F194">
        <f t="shared" si="109"/>
        <v>2.9717447870912669E-3</v>
      </c>
      <c r="G194">
        <f t="shared" si="110"/>
        <v>2.0545061415413308E-2</v>
      </c>
      <c r="H194">
        <f t="shared" si="111"/>
        <v>-3.1210475885845868</v>
      </c>
      <c r="J194">
        <f t="shared" si="112"/>
        <v>15</v>
      </c>
      <c r="M194">
        <f t="shared" si="113"/>
        <v>2.2788508487078519E-2</v>
      </c>
      <c r="N194">
        <f t="shared" si="114"/>
        <v>-1.5707963250000001</v>
      </c>
      <c r="O194">
        <f t="shared" si="115"/>
        <v>13.267614392212561</v>
      </c>
      <c r="P194">
        <f t="shared" si="116"/>
        <v>1.4953532810786512</v>
      </c>
      <c r="Q194">
        <f t="shared" si="117"/>
        <v>20.592929906624494</v>
      </c>
      <c r="R194">
        <f t="shared" si="118"/>
        <v>1.5222168657761697</v>
      </c>
      <c r="S194">
        <f t="shared" si="119"/>
        <v>0.83326446284113698</v>
      </c>
      <c r="T194">
        <f t="shared" si="120"/>
        <v>-0.58581012316697756</v>
      </c>
      <c r="U194">
        <f t="shared" si="121"/>
        <v>0.92552085043736954</v>
      </c>
      <c r="V194">
        <f t="shared" si="122"/>
        <v>-0.38838765981100559</v>
      </c>
      <c r="X194">
        <f t="shared" si="139"/>
        <v>-11.805682815754427</v>
      </c>
      <c r="Y194">
        <f t="shared" si="123"/>
        <v>-118.18179444026225</v>
      </c>
      <c r="Z194">
        <f t="shared" si="140"/>
        <v>61.818205559737748</v>
      </c>
      <c r="AC194">
        <v>1</v>
      </c>
      <c r="AD194">
        <f t="shared" si="124"/>
        <v>13.229874967680001</v>
      </c>
      <c r="AE194">
        <f t="shared" si="125"/>
        <v>-9.9750907101317943E-4</v>
      </c>
      <c r="AF194">
        <f t="shared" si="126"/>
        <v>2.4378758963999997E-3</v>
      </c>
      <c r="AG194">
        <f t="shared" si="141"/>
        <v>4504.7705997106923</v>
      </c>
      <c r="AH194">
        <f t="shared" si="142"/>
        <v>-2253.4164040742171</v>
      </c>
      <c r="AJ194">
        <f t="shared" si="127"/>
        <v>18000</v>
      </c>
      <c r="AK194">
        <f t="shared" si="128"/>
        <v>11943.078618240001</v>
      </c>
      <c r="AL194">
        <v>1</v>
      </c>
      <c r="AM194">
        <f t="shared" si="129"/>
        <v>20.568635398079998</v>
      </c>
      <c r="AN194">
        <f t="shared" si="143"/>
        <v>621.72188373231631</v>
      </c>
      <c r="AO194">
        <f t="shared" si="144"/>
        <v>-844.89212725749803</v>
      </c>
      <c r="AQ194">
        <f t="shared" si="130"/>
        <v>0.39060974180696068</v>
      </c>
      <c r="AR194">
        <f t="shared" si="131"/>
        <v>-62.49755868911371</v>
      </c>
      <c r="AT194">
        <f t="shared" si="156"/>
        <v>-139073.41668378736</v>
      </c>
      <c r="AU194">
        <f t="shared" si="157"/>
        <v>-282417.37133619195</v>
      </c>
      <c r="AV194">
        <f t="shared" si="145"/>
        <v>-2.0283771137004485</v>
      </c>
      <c r="AW194">
        <f t="shared" si="146"/>
        <v>-47166.551580465573</v>
      </c>
      <c r="AX194">
        <f t="shared" si="147"/>
        <v>-43839.312590922586</v>
      </c>
      <c r="AY194">
        <f t="shared" si="155"/>
        <v>-2.3927389229820291</v>
      </c>
      <c r="BA194">
        <f t="shared" si="132"/>
        <v>4.8887130416347668</v>
      </c>
      <c r="BB194">
        <f t="shared" si="148"/>
        <v>13.783890914668831</v>
      </c>
      <c r="BC194">
        <f t="shared" si="149"/>
        <v>0.36436180928158057</v>
      </c>
      <c r="BD194">
        <f t="shared" si="133"/>
        <v>-159.12360608856005</v>
      </c>
      <c r="BF194">
        <f t="shared" si="134"/>
        <v>-11.649710920650019</v>
      </c>
      <c r="BG194">
        <f t="shared" si="135"/>
        <v>-124.38201308641496</v>
      </c>
      <c r="BH194">
        <f t="shared" si="150"/>
        <v>55.617986913585042</v>
      </c>
      <c r="BI194">
        <f t="shared" si="151"/>
        <v>55.617986913585042</v>
      </c>
      <c r="BJ194">
        <f t="shared" si="136"/>
        <v>0</v>
      </c>
      <c r="BK194">
        <f t="shared" si="152"/>
        <v>0</v>
      </c>
      <c r="BM194">
        <f t="shared" si="153"/>
        <v>-25.43360183531885</v>
      </c>
      <c r="BN194">
        <f t="shared" si="137"/>
        <v>-145.25840699785491</v>
      </c>
      <c r="BQ194" s="56">
        <f t="shared" si="154"/>
        <v>30.685851714953966</v>
      </c>
      <c r="BR194" s="59"/>
      <c r="BS194" s="59"/>
      <c r="BT194" s="59">
        <v>6918.31</v>
      </c>
      <c r="BU194" s="59">
        <v>-0.21798300000000001</v>
      </c>
      <c r="BV194" s="59">
        <v>-228.376</v>
      </c>
      <c r="BW194" s="61"/>
      <c r="BY194" s="59"/>
      <c r="BZ194" s="59"/>
      <c r="CA194" s="59"/>
      <c r="CC194" s="59"/>
    </row>
    <row r="195" spans="1:81" x14ac:dyDescent="0.25">
      <c r="A195">
        <f t="shared" si="158"/>
        <v>80500</v>
      </c>
      <c r="B195">
        <f t="shared" si="138"/>
        <v>80.5</v>
      </c>
      <c r="C195">
        <f t="shared" si="107"/>
        <v>1.2023968638944615</v>
      </c>
      <c r="D195">
        <f t="shared" si="108"/>
        <v>0.58868394226607723</v>
      </c>
      <c r="F195">
        <f t="shared" si="109"/>
        <v>2.9348423992876173E-3</v>
      </c>
      <c r="G195">
        <f t="shared" si="110"/>
        <v>2.0416732176154001E-2</v>
      </c>
      <c r="H195">
        <f t="shared" si="111"/>
        <v>-3.1211759178238463</v>
      </c>
      <c r="J195">
        <f t="shared" si="112"/>
        <v>15</v>
      </c>
      <c r="M195">
        <f t="shared" si="113"/>
        <v>2.2646964956102879E-2</v>
      </c>
      <c r="N195">
        <f t="shared" si="114"/>
        <v>-1.5707963250000001</v>
      </c>
      <c r="O195">
        <f t="shared" si="115"/>
        <v>13.350067364984557</v>
      </c>
      <c r="P195">
        <f t="shared" si="116"/>
        <v>1.4958201118499477</v>
      </c>
      <c r="Q195">
        <f t="shared" si="117"/>
        <v>20.721333156662727</v>
      </c>
      <c r="R195">
        <f t="shared" si="118"/>
        <v>1.5225181314625948</v>
      </c>
      <c r="S195">
        <f t="shared" si="119"/>
        <v>0.83167216251802645</v>
      </c>
      <c r="T195">
        <f t="shared" si="120"/>
        <v>-0.58868394226607712</v>
      </c>
      <c r="U195">
        <f t="shared" si="121"/>
        <v>0.92468981609605416</v>
      </c>
      <c r="V195">
        <f t="shared" si="122"/>
        <v>-0.39057626742650803</v>
      </c>
      <c r="X195">
        <f t="shared" si="139"/>
        <v>-11.868334461623158</v>
      </c>
      <c r="Y195">
        <f t="shared" si="123"/>
        <v>-118.27053645825343</v>
      </c>
      <c r="Z195">
        <f t="shared" si="140"/>
        <v>61.729463541746568</v>
      </c>
      <c r="AC195">
        <v>1</v>
      </c>
      <c r="AD195">
        <f t="shared" si="124"/>
        <v>13.312561686228001</v>
      </c>
      <c r="AE195">
        <f t="shared" si="125"/>
        <v>-1.0100168995989306E-3</v>
      </c>
      <c r="AF195">
        <f t="shared" si="126"/>
        <v>2.4531126207525001E-3</v>
      </c>
      <c r="AG195">
        <f t="shared" si="141"/>
        <v>4496.6844753408013</v>
      </c>
      <c r="AH195">
        <f t="shared" si="142"/>
        <v>-2259.0594762658789</v>
      </c>
      <c r="AJ195">
        <f t="shared" si="127"/>
        <v>18000</v>
      </c>
      <c r="AK195">
        <f t="shared" si="128"/>
        <v>12017.722859604</v>
      </c>
      <c r="AL195">
        <v>1</v>
      </c>
      <c r="AM195">
        <f t="shared" si="129"/>
        <v>20.697189369318</v>
      </c>
      <c r="AN195">
        <f t="shared" si="143"/>
        <v>621.21438329169962</v>
      </c>
      <c r="AO195">
        <f t="shared" si="144"/>
        <v>-839.66887032840418</v>
      </c>
      <c r="AQ195">
        <f t="shared" si="130"/>
        <v>0.38577270272355529</v>
      </c>
      <c r="AR195">
        <f t="shared" si="131"/>
        <v>-62.109405138492399</v>
      </c>
      <c r="AT195">
        <f t="shared" si="156"/>
        <v>-138574.14212000064</v>
      </c>
      <c r="AU195">
        <f t="shared" si="157"/>
        <v>-280157.88133868331</v>
      </c>
      <c r="AV195">
        <f t="shared" si="145"/>
        <v>-2.0301377089134869</v>
      </c>
      <c r="AW195">
        <f t="shared" si="146"/>
        <v>-46526.069891557869</v>
      </c>
      <c r="AX195">
        <f t="shared" si="147"/>
        <v>-43552.438174420888</v>
      </c>
      <c r="AY195">
        <f t="shared" si="155"/>
        <v>-2.3891940624794055</v>
      </c>
      <c r="BA195">
        <f t="shared" si="132"/>
        <v>4.9043910926628262</v>
      </c>
      <c r="BB195">
        <f t="shared" si="148"/>
        <v>13.811701899917683</v>
      </c>
      <c r="BC195">
        <f t="shared" si="149"/>
        <v>0.35905635356591858</v>
      </c>
      <c r="BD195">
        <f t="shared" si="133"/>
        <v>-159.42758630980839</v>
      </c>
      <c r="BF195">
        <f t="shared" si="134"/>
        <v>-11.713820529118307</v>
      </c>
      <c r="BG195">
        <f t="shared" si="135"/>
        <v>-124.52868832581876</v>
      </c>
      <c r="BH195">
        <f t="shared" si="150"/>
        <v>55.471311674181237</v>
      </c>
      <c r="BI195">
        <f t="shared" si="151"/>
        <v>55.471311674181237</v>
      </c>
      <c r="BJ195">
        <f t="shared" si="136"/>
        <v>0</v>
      </c>
      <c r="BK195">
        <f t="shared" si="152"/>
        <v>0</v>
      </c>
      <c r="BM195">
        <f t="shared" si="153"/>
        <v>-25.525522429035988</v>
      </c>
      <c r="BN195">
        <f t="shared" si="137"/>
        <v>-145.10110201601037</v>
      </c>
      <c r="BQ195" s="56">
        <f t="shared" si="154"/>
        <v>30.713662700202818</v>
      </c>
      <c r="BR195" s="59"/>
      <c r="BS195" s="59"/>
      <c r="BT195" s="59">
        <v>7079.4579999999996</v>
      </c>
      <c r="BU195" s="59">
        <v>-0.38401400000000002</v>
      </c>
      <c r="BV195" s="59">
        <v>-227.04400000000001</v>
      </c>
      <c r="BW195" s="61"/>
      <c r="BY195" s="59"/>
      <c r="BZ195" s="59"/>
      <c r="CA195" s="59"/>
      <c r="CC195" s="59"/>
    </row>
    <row r="196" spans="1:81" x14ac:dyDescent="0.25">
      <c r="A196">
        <f t="shared" si="158"/>
        <v>81000</v>
      </c>
      <c r="B196">
        <f t="shared" si="138"/>
        <v>81</v>
      </c>
      <c r="C196">
        <f t="shared" si="107"/>
        <v>1.2047044385546914</v>
      </c>
      <c r="D196">
        <f t="shared" si="108"/>
        <v>0.59154677550765722</v>
      </c>
      <c r="F196">
        <f t="shared" si="109"/>
        <v>2.8986237457534155E-3</v>
      </c>
      <c r="G196">
        <f t="shared" si="110"/>
        <v>2.0290000508195731E-2</v>
      </c>
      <c r="H196">
        <f t="shared" si="111"/>
        <v>-3.1213026494918044</v>
      </c>
      <c r="J196">
        <f t="shared" si="112"/>
        <v>15</v>
      </c>
      <c r="M196">
        <f t="shared" si="113"/>
        <v>2.2507168876126932E-2</v>
      </c>
      <c r="N196">
        <f t="shared" si="114"/>
        <v>-1.5707963250000001</v>
      </c>
      <c r="O196">
        <f t="shared" si="115"/>
        <v>13.432523211431798</v>
      </c>
      <c r="P196">
        <f t="shared" si="116"/>
        <v>1.4962812114182866</v>
      </c>
      <c r="Q196">
        <f t="shared" si="117"/>
        <v>20.849738264225586</v>
      </c>
      <c r="R196">
        <f t="shared" si="118"/>
        <v>1.5228156864286526</v>
      </c>
      <c r="S196">
        <f t="shared" si="119"/>
        <v>0.83007911982105809</v>
      </c>
      <c r="T196">
        <f t="shared" si="120"/>
        <v>-0.59154677550765722</v>
      </c>
      <c r="U196">
        <f t="shared" si="121"/>
        <v>0.92385585944621251</v>
      </c>
      <c r="V196">
        <f t="shared" si="122"/>
        <v>-0.39276093778034438</v>
      </c>
      <c r="X196">
        <f t="shared" si="139"/>
        <v>-11.930672019085664</v>
      </c>
      <c r="Y196">
        <f t="shared" si="123"/>
        <v>-118.35950233603253</v>
      </c>
      <c r="Z196">
        <f t="shared" si="140"/>
        <v>61.640497663967466</v>
      </c>
      <c r="AC196">
        <v>1</v>
      </c>
      <c r="AD196">
        <f t="shared" si="124"/>
        <v>13.395248404776002</v>
      </c>
      <c r="AE196">
        <f t="shared" si="125"/>
        <v>-1.0226026585808546E-3</v>
      </c>
      <c r="AF196">
        <f t="shared" si="126"/>
        <v>2.468349345105E-3</v>
      </c>
      <c r="AG196">
        <f t="shared" si="141"/>
        <v>4488.5772185775595</v>
      </c>
      <c r="AH196">
        <f t="shared" si="142"/>
        <v>-2264.6838900856951</v>
      </c>
      <c r="AJ196">
        <f t="shared" si="127"/>
        <v>18000</v>
      </c>
      <c r="AK196">
        <f t="shared" si="128"/>
        <v>12092.367100968</v>
      </c>
      <c r="AL196">
        <v>1</v>
      </c>
      <c r="AM196">
        <f t="shared" si="129"/>
        <v>20.825743340555999</v>
      </c>
      <c r="AN196">
        <f t="shared" si="143"/>
        <v>620.71622314433876</v>
      </c>
      <c r="AO196">
        <f t="shared" si="144"/>
        <v>-834.50964955528343</v>
      </c>
      <c r="AQ196">
        <f t="shared" si="130"/>
        <v>0.38102495713469231</v>
      </c>
      <c r="AR196">
        <f t="shared" si="131"/>
        <v>-61.726043055820156</v>
      </c>
      <c r="AT196">
        <f t="shared" si="156"/>
        <v>-138079.71536494762</v>
      </c>
      <c r="AU196">
        <f t="shared" si="157"/>
        <v>-277925.01173543546</v>
      </c>
      <c r="AV196">
        <f t="shared" si="145"/>
        <v>-2.0318996188470697</v>
      </c>
      <c r="AW196">
        <f t="shared" si="146"/>
        <v>-45897.551870086696</v>
      </c>
      <c r="AX196">
        <f t="shared" si="147"/>
        <v>-43269.81012500808</v>
      </c>
      <c r="AY196">
        <f t="shared" si="155"/>
        <v>-2.3856557345283402</v>
      </c>
      <c r="BA196">
        <f t="shared" si="132"/>
        <v>4.9198569967703794</v>
      </c>
      <c r="BB196">
        <f t="shared" si="148"/>
        <v>13.839049590241084</v>
      </c>
      <c r="BC196">
        <f t="shared" si="149"/>
        <v>0.35375611568127052</v>
      </c>
      <c r="BD196">
        <f t="shared" si="133"/>
        <v>-159.73126757136109</v>
      </c>
      <c r="BF196">
        <f t="shared" si="134"/>
        <v>-11.777678106693932</v>
      </c>
      <c r="BG196">
        <f t="shared" si="135"/>
        <v>-124.67560251470468</v>
      </c>
      <c r="BH196">
        <f t="shared" si="150"/>
        <v>55.324397485295322</v>
      </c>
      <c r="BI196">
        <f t="shared" si="151"/>
        <v>55.324397485295322</v>
      </c>
      <c r="BJ196">
        <f t="shared" si="136"/>
        <v>0</v>
      </c>
      <c r="BK196">
        <f t="shared" si="152"/>
        <v>0</v>
      </c>
      <c r="BM196">
        <f t="shared" si="153"/>
        <v>-25.616727696935016</v>
      </c>
      <c r="BN196">
        <f t="shared" si="137"/>
        <v>-144.94433494334359</v>
      </c>
      <c r="BQ196" s="56">
        <f t="shared" si="154"/>
        <v>30.74101039052622</v>
      </c>
      <c r="BR196" s="59"/>
      <c r="BS196" s="59"/>
      <c r="BT196" s="59">
        <v>7244.36</v>
      </c>
      <c r="BU196" s="59">
        <v>-0.57486000000000004</v>
      </c>
      <c r="BV196" s="59">
        <v>-226.239</v>
      </c>
      <c r="BW196" s="61"/>
      <c r="BY196" s="59"/>
      <c r="BZ196" s="59"/>
      <c r="CA196" s="59"/>
      <c r="CC196" s="59"/>
    </row>
    <row r="197" spans="1:81" x14ac:dyDescent="0.25">
      <c r="A197">
        <f t="shared" si="158"/>
        <v>81500</v>
      </c>
      <c r="B197">
        <f t="shared" si="138"/>
        <v>81.5</v>
      </c>
      <c r="C197">
        <f t="shared" si="107"/>
        <v>1.2070218489492435</v>
      </c>
      <c r="D197">
        <f t="shared" si="108"/>
        <v>0.59439863910777402</v>
      </c>
      <c r="F197">
        <f t="shared" si="109"/>
        <v>2.86307202430356E-3</v>
      </c>
      <c r="G197">
        <f t="shared" si="110"/>
        <v>2.0164836684575752E-2</v>
      </c>
      <c r="H197">
        <f t="shared" si="111"/>
        <v>-3.1214278133154245</v>
      </c>
      <c r="J197">
        <f t="shared" si="112"/>
        <v>15</v>
      </c>
      <c r="M197">
        <f t="shared" si="113"/>
        <v>2.2369088085475847E-2</v>
      </c>
      <c r="N197">
        <f t="shared" si="114"/>
        <v>-1.5707963250000001</v>
      </c>
      <c r="O197">
        <f t="shared" si="115"/>
        <v>13.514981878956803</v>
      </c>
      <c r="P197">
        <f t="shared" si="116"/>
        <v>1.4967366844887744</v>
      </c>
      <c r="Q197">
        <f t="shared" si="117"/>
        <v>20.978145195203915</v>
      </c>
      <c r="R197">
        <f t="shared" si="118"/>
        <v>1.5231095987609642</v>
      </c>
      <c r="S197">
        <f t="shared" si="119"/>
        <v>0.82848541712027535</v>
      </c>
      <c r="T197">
        <f t="shared" si="120"/>
        <v>-0.5943986391077738</v>
      </c>
      <c r="U197">
        <f t="shared" si="121"/>
        <v>0.92301901223663108</v>
      </c>
      <c r="V197">
        <f t="shared" si="122"/>
        <v>-0.39494166068998199</v>
      </c>
      <c r="X197">
        <f t="shared" si="139"/>
        <v>-11.992699730120808</v>
      </c>
      <c r="Y197">
        <f t="shared" si="123"/>
        <v>-118.4486832931762</v>
      </c>
      <c r="Z197">
        <f t="shared" si="140"/>
        <v>61.551316706823798</v>
      </c>
      <c r="AC197">
        <v>1</v>
      </c>
      <c r="AD197">
        <f t="shared" si="124"/>
        <v>13.477935123324002</v>
      </c>
      <c r="AE197">
        <f t="shared" si="125"/>
        <v>-1.0352663479589518E-3</v>
      </c>
      <c r="AF197">
        <f t="shared" si="126"/>
        <v>2.4835860694574999E-3</v>
      </c>
      <c r="AG197">
        <f t="shared" si="141"/>
        <v>4480.449214545145</v>
      </c>
      <c r="AH197">
        <f t="shared" si="142"/>
        <v>-2270.2890650330223</v>
      </c>
      <c r="AJ197">
        <f t="shared" si="127"/>
        <v>18000</v>
      </c>
      <c r="AK197">
        <f t="shared" si="128"/>
        <v>12167.011342332002</v>
      </c>
      <c r="AL197">
        <v>1</v>
      </c>
      <c r="AM197">
        <f t="shared" si="129"/>
        <v>20.954297311793997</v>
      </c>
      <c r="AN197">
        <f t="shared" si="143"/>
        <v>620.22717565618302</v>
      </c>
      <c r="AO197">
        <f t="shared" si="144"/>
        <v>-829.41329722193643</v>
      </c>
      <c r="AQ197">
        <f t="shared" si="130"/>
        <v>0.37636432066240122</v>
      </c>
      <c r="AR197">
        <f t="shared" si="131"/>
        <v>-61.3473842679714</v>
      </c>
      <c r="AT197">
        <f t="shared" si="156"/>
        <v>-137590.01444705966</v>
      </c>
      <c r="AU197">
        <f t="shared" si="157"/>
        <v>-275718.29545950011</v>
      </c>
      <c r="AV197">
        <f t="shared" si="145"/>
        <v>-2.0336627374331249</v>
      </c>
      <c r="AW197">
        <f t="shared" si="146"/>
        <v>-45280.706254412369</v>
      </c>
      <c r="AX197">
        <f t="shared" si="147"/>
        <v>-42991.333553277902</v>
      </c>
      <c r="AY197">
        <f t="shared" si="155"/>
        <v>-2.3821241005264175</v>
      </c>
      <c r="BA197">
        <f t="shared" si="132"/>
        <v>4.9351112042037819</v>
      </c>
      <c r="BB197">
        <f t="shared" si="148"/>
        <v>13.865938863833218</v>
      </c>
      <c r="BC197">
        <f t="shared" si="149"/>
        <v>0.34846136309329268</v>
      </c>
      <c r="BD197">
        <f t="shared" si="133"/>
        <v>-160.03463454856484</v>
      </c>
      <c r="BF197">
        <f t="shared" si="134"/>
        <v>-11.841287855700189</v>
      </c>
      <c r="BG197">
        <f t="shared" si="135"/>
        <v>-124.82274110253741</v>
      </c>
      <c r="BH197">
        <f t="shared" si="150"/>
        <v>55.177258897462593</v>
      </c>
      <c r="BI197">
        <f t="shared" si="151"/>
        <v>55.177258897462593</v>
      </c>
      <c r="BJ197">
        <f t="shared" si="136"/>
        <v>0</v>
      </c>
      <c r="BK197">
        <f t="shared" si="152"/>
        <v>0</v>
      </c>
      <c r="BM197">
        <f t="shared" si="153"/>
        <v>-25.707226719533406</v>
      </c>
      <c r="BN197">
        <f t="shared" si="137"/>
        <v>-144.7881065539726</v>
      </c>
      <c r="BQ197" s="56">
        <f t="shared" si="154"/>
        <v>30.767899664118357</v>
      </c>
      <c r="BR197" s="59"/>
      <c r="BS197" s="59"/>
      <c r="BT197" s="59">
        <v>7413.1019999999999</v>
      </c>
      <c r="BU197" s="59">
        <v>-0.73329999999999995</v>
      </c>
      <c r="BV197" s="59">
        <v>-225.834</v>
      </c>
      <c r="BW197" s="61"/>
      <c r="BY197" s="59"/>
      <c r="BZ197" s="59"/>
      <c r="CA197" s="59"/>
      <c r="CC197" s="59"/>
    </row>
    <row r="198" spans="1:81" x14ac:dyDescent="0.25">
      <c r="A198">
        <f t="shared" si="158"/>
        <v>82000</v>
      </c>
      <c r="B198">
        <f t="shared" si="138"/>
        <v>82</v>
      </c>
      <c r="C198">
        <f t="shared" si="107"/>
        <v>1.2093490385350563</v>
      </c>
      <c r="D198">
        <f t="shared" si="108"/>
        <v>0.59723954987218941</v>
      </c>
      <c r="F198">
        <f t="shared" si="109"/>
        <v>2.8281709461681144E-3</v>
      </c>
      <c r="G198">
        <f t="shared" si="110"/>
        <v>2.0041211713212031E-2</v>
      </c>
      <c r="H198">
        <f t="shared" si="111"/>
        <v>-3.1215514382867884</v>
      </c>
      <c r="J198">
        <f t="shared" si="112"/>
        <v>15</v>
      </c>
      <c r="M198">
        <f t="shared" si="113"/>
        <v>2.2232691206905873E-2</v>
      </c>
      <c r="N198">
        <f t="shared" si="114"/>
        <v>-1.5707963250000001</v>
      </c>
      <c r="O198">
        <f t="shared" si="115"/>
        <v>13.597443316236181</v>
      </c>
      <c r="P198">
        <f t="shared" si="116"/>
        <v>1.4971866332360588</v>
      </c>
      <c r="Q198">
        <f t="shared" si="117"/>
        <v>21.106553916318127</v>
      </c>
      <c r="R198">
        <f t="shared" si="118"/>
        <v>1.5233999348917926</v>
      </c>
      <c r="S198">
        <f t="shared" si="119"/>
        <v>0.82689113575626516</v>
      </c>
      <c r="T198">
        <f t="shared" si="120"/>
        <v>-0.5972395498721893</v>
      </c>
      <c r="U198">
        <f t="shared" si="121"/>
        <v>0.92217930616052091</v>
      </c>
      <c r="V198">
        <f t="shared" si="122"/>
        <v>-0.39711842615982873</v>
      </c>
      <c r="X198">
        <f t="shared" si="139"/>
        <v>-12.054421751038831</v>
      </c>
      <c r="Y198">
        <f t="shared" si="123"/>
        <v>-118.53807075763871</v>
      </c>
      <c r="Z198">
        <f t="shared" si="140"/>
        <v>61.461929242361293</v>
      </c>
      <c r="AC198">
        <v>1</v>
      </c>
      <c r="AD198">
        <f t="shared" si="124"/>
        <v>13.560621841871999</v>
      </c>
      <c r="AE198">
        <f t="shared" si="125"/>
        <v>-1.0480079677332216E-3</v>
      </c>
      <c r="AF198">
        <f t="shared" si="126"/>
        <v>2.4988227938099999E-3</v>
      </c>
      <c r="AG198">
        <f t="shared" si="141"/>
        <v>4472.3008469764891</v>
      </c>
      <c r="AH198">
        <f t="shared" si="142"/>
        <v>-2275.8744380830276</v>
      </c>
      <c r="AJ198">
        <f t="shared" si="127"/>
        <v>18000</v>
      </c>
      <c r="AK198">
        <f t="shared" si="128"/>
        <v>12241.655583696</v>
      </c>
      <c r="AL198">
        <v>1</v>
      </c>
      <c r="AM198">
        <f t="shared" si="129"/>
        <v>21.082851283031999</v>
      </c>
      <c r="AN198">
        <f t="shared" si="143"/>
        <v>619.74702008063912</v>
      </c>
      <c r="AO198">
        <f t="shared" si="144"/>
        <v>-824.378673766362</v>
      </c>
      <c r="AQ198">
        <f t="shared" si="130"/>
        <v>0.37178867531694987</v>
      </c>
      <c r="AR198">
        <f t="shared" si="131"/>
        <v>-60.973342751979771</v>
      </c>
      <c r="AT198">
        <f t="shared" si="156"/>
        <v>-137104.92136618955</v>
      </c>
      <c r="AU198">
        <f t="shared" si="157"/>
        <v>-273537.2767751895</v>
      </c>
      <c r="AV198">
        <f t="shared" si="145"/>
        <v>-2.0354269611058808</v>
      </c>
      <c r="AW198">
        <f t="shared" si="146"/>
        <v>-44675.250578465464</v>
      </c>
      <c r="AX198">
        <f t="shared" si="147"/>
        <v>-42716.916361307842</v>
      </c>
      <c r="AY198">
        <f t="shared" si="155"/>
        <v>-2.3785993188583752</v>
      </c>
      <c r="BA198">
        <f t="shared" si="132"/>
        <v>4.9501541918305891</v>
      </c>
      <c r="BB198">
        <f t="shared" si="148"/>
        <v>13.892374538745036</v>
      </c>
      <c r="BC198">
        <f t="shared" si="149"/>
        <v>0.34317235775249433</v>
      </c>
      <c r="BD198">
        <f t="shared" si="133"/>
        <v>-160.33767223276101</v>
      </c>
      <c r="BF198">
        <f t="shared" si="134"/>
        <v>-11.904653877901053</v>
      </c>
      <c r="BG198">
        <f t="shared" si="135"/>
        <v>-124.97008977888294</v>
      </c>
      <c r="BH198">
        <f t="shared" si="150"/>
        <v>55.029910221117063</v>
      </c>
      <c r="BI198">
        <f t="shared" si="151"/>
        <v>55.029910221117063</v>
      </c>
      <c r="BJ198">
        <f t="shared" si="136"/>
        <v>0</v>
      </c>
      <c r="BK198">
        <f t="shared" si="152"/>
        <v>0</v>
      </c>
      <c r="BM198">
        <f t="shared" si="153"/>
        <v>-25.797028416646089</v>
      </c>
      <c r="BN198">
        <f t="shared" si="137"/>
        <v>-144.63241754612196</v>
      </c>
      <c r="BQ198" s="56">
        <f t="shared" si="154"/>
        <v>30.794335339030173</v>
      </c>
      <c r="BR198" s="59"/>
      <c r="BS198" s="59"/>
      <c r="BT198" s="59">
        <v>7585.7759999999998</v>
      </c>
      <c r="BU198" s="59">
        <v>-0.87090199999999995</v>
      </c>
      <c r="BV198" s="59">
        <v>-224.429</v>
      </c>
      <c r="BW198" s="61"/>
      <c r="BY198" s="59"/>
      <c r="BZ198" s="59"/>
      <c r="CA198" s="59"/>
      <c r="CC198" s="59"/>
    </row>
    <row r="199" spans="1:81" x14ac:dyDescent="0.25">
      <c r="A199">
        <f t="shared" si="158"/>
        <v>82500</v>
      </c>
      <c r="B199">
        <f t="shared" si="138"/>
        <v>82.5</v>
      </c>
      <c r="C199">
        <f t="shared" si="107"/>
        <v>1.2116859509657683</v>
      </c>
      <c r="D199">
        <f t="shared" si="108"/>
        <v>0.60006952518500889</v>
      </c>
      <c r="F199">
        <f t="shared" si="109"/>
        <v>2.7939047172650315E-3</v>
      </c>
      <c r="G199">
        <f t="shared" si="110"/>
        <v>1.9919097314277687E-2</v>
      </c>
      <c r="H199">
        <f t="shared" si="111"/>
        <v>-3.1216735526857224</v>
      </c>
      <c r="J199">
        <f t="shared" si="112"/>
        <v>15</v>
      </c>
      <c r="M199">
        <f t="shared" si="113"/>
        <v>2.2097947623833714E-2</v>
      </c>
      <c r="N199">
        <f t="shared" si="114"/>
        <v>-1.5707963250000001</v>
      </c>
      <c r="O199">
        <f t="shared" si="115"/>
        <v>13.679907473182327</v>
      </c>
      <c r="P199">
        <f t="shared" si="116"/>
        <v>1.4976311573801739</v>
      </c>
      <c r="Q199">
        <f t="shared" si="117"/>
        <v>21.234964395093129</v>
      </c>
      <c r="R199">
        <f t="shared" si="118"/>
        <v>1.5236867596489505</v>
      </c>
      <c r="S199">
        <f t="shared" si="119"/>
        <v>0.82529635604254981</v>
      </c>
      <c r="T199">
        <f t="shared" si="120"/>
        <v>-0.60006952518500878</v>
      </c>
      <c r="U199">
        <f t="shared" si="121"/>
        <v>0.92133677285315418</v>
      </c>
      <c r="V199">
        <f t="shared" si="122"/>
        <v>-0.3992912243805492</v>
      </c>
      <c r="X199">
        <f t="shared" si="139"/>
        <v>-12.115842154697207</v>
      </c>
      <c r="Y199">
        <f t="shared" si="123"/>
        <v>-118.62765635980413</v>
      </c>
      <c r="Z199">
        <f t="shared" si="140"/>
        <v>61.372343640195865</v>
      </c>
      <c r="AC199">
        <v>1</v>
      </c>
      <c r="AD199">
        <f t="shared" si="124"/>
        <v>13.64330856042</v>
      </c>
      <c r="AE199">
        <f t="shared" si="125"/>
        <v>-1.0608275179036645E-3</v>
      </c>
      <c r="AF199">
        <f t="shared" si="126"/>
        <v>2.5140595181625002E-3</v>
      </c>
      <c r="AG199">
        <f t="shared" si="141"/>
        <v>4464.1324981831976</v>
      </c>
      <c r="AH199">
        <f t="shared" si="142"/>
        <v>-2281.4394632283447</v>
      </c>
      <c r="AJ199">
        <f t="shared" si="127"/>
        <v>18000</v>
      </c>
      <c r="AK199">
        <f t="shared" si="128"/>
        <v>12316.299825060001</v>
      </c>
      <c r="AL199">
        <v>1</v>
      </c>
      <c r="AM199">
        <f t="shared" si="129"/>
        <v>21.211405254269998</v>
      </c>
      <c r="AN199">
        <f t="shared" si="143"/>
        <v>619.27554231019212</v>
      </c>
      <c r="AO199">
        <f t="shared" si="144"/>
        <v>-819.40466693930864</v>
      </c>
      <c r="AQ199">
        <f t="shared" si="130"/>
        <v>0.36729596709028134</v>
      </c>
      <c r="AR199">
        <f t="shared" si="131"/>
        <v>-60.603834569896421</v>
      </c>
      <c r="AT199">
        <f t="shared" si="156"/>
        <v>-136624.32194758454</v>
      </c>
      <c r="AU199">
        <f t="shared" si="157"/>
        <v>-271381.51093199733</v>
      </c>
      <c r="AV199">
        <f t="shared" si="145"/>
        <v>-2.0371921887318578</v>
      </c>
      <c r="AW199">
        <f t="shared" si="146"/>
        <v>-44080.910854895825</v>
      </c>
      <c r="AX199">
        <f t="shared" si="147"/>
        <v>-42446.469141171896</v>
      </c>
      <c r="AY199">
        <f t="shared" si="155"/>
        <v>-2.3750815449339107</v>
      </c>
      <c r="BA199">
        <f t="shared" si="132"/>
        <v>4.9649864627954479</v>
      </c>
      <c r="BB199">
        <f t="shared" si="148"/>
        <v>13.918361374286601</v>
      </c>
      <c r="BC199">
        <f t="shared" si="149"/>
        <v>0.33788935620205285</v>
      </c>
      <c r="BD199">
        <f t="shared" si="133"/>
        <v>-160.64036592510823</v>
      </c>
      <c r="BF199">
        <f t="shared" si="134"/>
        <v>-11.967780176911472</v>
      </c>
      <c r="BG199">
        <f t="shared" si="135"/>
        <v>-125.11763446917884</v>
      </c>
      <c r="BH199">
        <f t="shared" si="150"/>
        <v>54.882365530821161</v>
      </c>
      <c r="BI199">
        <f t="shared" si="151"/>
        <v>54.882365530821161</v>
      </c>
      <c r="BJ199">
        <f t="shared" si="136"/>
        <v>0</v>
      </c>
      <c r="BK199">
        <f t="shared" si="152"/>
        <v>0</v>
      </c>
      <c r="BM199">
        <f t="shared" si="153"/>
        <v>-25.886141551198072</v>
      </c>
      <c r="BN199">
        <f t="shared" si="137"/>
        <v>-144.4772685440706</v>
      </c>
      <c r="BQ199" s="56">
        <f t="shared" si="154"/>
        <v>30.820322174571736</v>
      </c>
      <c r="BR199" s="59"/>
      <c r="BS199" s="59"/>
      <c r="BT199" s="59">
        <v>7762.4709999999995</v>
      </c>
      <c r="BU199" s="59">
        <v>-1.0348599999999999</v>
      </c>
      <c r="BV199" s="59">
        <v>-223.255</v>
      </c>
      <c r="BW199" s="61"/>
      <c r="BY199" s="59"/>
      <c r="BZ199" s="59"/>
      <c r="CA199" s="59"/>
      <c r="CC199" s="59"/>
    </row>
    <row r="200" spans="1:81" x14ac:dyDescent="0.25">
      <c r="A200">
        <f t="shared" si="158"/>
        <v>83000</v>
      </c>
      <c r="B200">
        <f t="shared" si="138"/>
        <v>83</v>
      </c>
      <c r="C200">
        <f t="shared" si="107"/>
        <v>1.2140325300943584</v>
      </c>
      <c r="D200">
        <f t="shared" si="108"/>
        <v>0.60288858299739834</v>
      </c>
      <c r="F200">
        <f t="shared" si="109"/>
        <v>2.7602580202656618E-3</v>
      </c>
      <c r="G200">
        <f t="shared" si="110"/>
        <v>1.9798465898408231E-2</v>
      </c>
      <c r="H200">
        <f t="shared" si="111"/>
        <v>-3.1217941841015922</v>
      </c>
      <c r="J200">
        <f t="shared" si="112"/>
        <v>15</v>
      </c>
      <c r="M200">
        <f t="shared" si="113"/>
        <v>2.196482745742508E-2</v>
      </c>
      <c r="N200">
        <f t="shared" si="114"/>
        <v>-1.5707963250000001</v>
      </c>
      <c r="O200">
        <f t="shared" si="115"/>
        <v>13.762374300906508</v>
      </c>
      <c r="P200">
        <f t="shared" si="116"/>
        <v>1.4980703542596807</v>
      </c>
      <c r="Q200">
        <f t="shared" si="117"/>
        <v>21.363376599834211</v>
      </c>
      <c r="R200">
        <f t="shared" si="118"/>
        <v>1.52397013630391</v>
      </c>
      <c r="S200">
        <f t="shared" si="119"/>
        <v>0.8237011572682299</v>
      </c>
      <c r="T200">
        <f t="shared" si="120"/>
        <v>-0.60288858299739823</v>
      </c>
      <c r="U200">
        <f t="shared" si="121"/>
        <v>0.92049144388952875</v>
      </c>
      <c r="V200">
        <f t="shared" si="122"/>
        <v>-0.40146004572836635</v>
      </c>
      <c r="X200">
        <f t="shared" si="139"/>
        <v>-12.176964932645562</v>
      </c>
      <c r="Y200">
        <f t="shared" si="123"/>
        <v>-118.71743192674778</v>
      </c>
      <c r="Z200">
        <f t="shared" si="140"/>
        <v>61.282568073252222</v>
      </c>
      <c r="AC200">
        <v>1</v>
      </c>
      <c r="AD200">
        <f t="shared" si="124"/>
        <v>13.725995278968</v>
      </c>
      <c r="AE200">
        <f t="shared" si="125"/>
        <v>-1.0737249984702803E-3</v>
      </c>
      <c r="AF200">
        <f t="shared" si="126"/>
        <v>2.5292962425149997E-3</v>
      </c>
      <c r="AG200">
        <f t="shared" si="141"/>
        <v>4455.9445490260732</v>
      </c>
      <c r="AH200">
        <f t="shared" si="142"/>
        <v>-2286.9836110359738</v>
      </c>
      <c r="AJ200">
        <f t="shared" si="127"/>
        <v>18000</v>
      </c>
      <c r="AK200">
        <f t="shared" si="128"/>
        <v>12390.944066424001</v>
      </c>
      <c r="AL200">
        <v>1</v>
      </c>
      <c r="AM200">
        <f t="shared" si="129"/>
        <v>21.339959225508</v>
      </c>
      <c r="AN200">
        <f t="shared" si="143"/>
        <v>618.8125346384021</v>
      </c>
      <c r="AO200">
        <f t="shared" si="144"/>
        <v>-814.49019099275415</v>
      </c>
      <c r="AQ200">
        <f t="shared" si="130"/>
        <v>0.36288420365061508</v>
      </c>
      <c r="AR200">
        <f t="shared" si="131"/>
        <v>-60.238777806002105</v>
      </c>
      <c r="AT200">
        <f t="shared" si="156"/>
        <v>-136148.10570197974</v>
      </c>
      <c r="AU200">
        <f t="shared" si="157"/>
        <v>-269250.56383110071</v>
      </c>
      <c r="AV200">
        <f t="shared" si="145"/>
        <v>-2.0389583215423084</v>
      </c>
      <c r="AW200">
        <f t="shared" si="146"/>
        <v>-43497.421271451625</v>
      </c>
      <c r="AX200">
        <f t="shared" si="147"/>
        <v>-42179.905077824733</v>
      </c>
      <c r="AY200">
        <f t="shared" si="155"/>
        <v>-2.371570931224122</v>
      </c>
      <c r="BA200">
        <f t="shared" si="132"/>
        <v>4.9796085461690884</v>
      </c>
      <c r="BB200">
        <f t="shared" si="148"/>
        <v>13.94390407238021</v>
      </c>
      <c r="BC200">
        <f t="shared" si="149"/>
        <v>0.33261260968181361</v>
      </c>
      <c r="BD200">
        <f t="shared" si="133"/>
        <v>-160.94270123062375</v>
      </c>
      <c r="BF200">
        <f t="shared" si="134"/>
        <v>-12.030670660540963</v>
      </c>
      <c r="BG200">
        <f t="shared" si="135"/>
        <v>-125.2653613306704</v>
      </c>
      <c r="BH200">
        <f t="shared" si="150"/>
        <v>54.734638669329598</v>
      </c>
      <c r="BI200">
        <f t="shared" si="151"/>
        <v>54.734638669329598</v>
      </c>
      <c r="BJ200">
        <f t="shared" si="136"/>
        <v>0</v>
      </c>
      <c r="BK200">
        <f t="shared" si="152"/>
        <v>0</v>
      </c>
      <c r="BM200">
        <f t="shared" si="153"/>
        <v>-25.974574732921173</v>
      </c>
      <c r="BN200">
        <f t="shared" si="137"/>
        <v>-144.32266010004668</v>
      </c>
      <c r="BQ200" s="56">
        <f t="shared" si="154"/>
        <v>30.845864872665345</v>
      </c>
      <c r="BR200" s="59"/>
      <c r="BS200" s="59"/>
      <c r="BT200" s="59">
        <v>7943.2820000000002</v>
      </c>
      <c r="BU200" s="59">
        <v>-1.2307999999999999</v>
      </c>
      <c r="BV200" s="59">
        <v>-223.13499999999999</v>
      </c>
      <c r="BW200" s="61"/>
      <c r="BY200" s="59"/>
      <c r="BZ200" s="59"/>
      <c r="CA200" s="59"/>
      <c r="CC200" s="59"/>
    </row>
    <row r="201" spans="1:81" x14ac:dyDescent="0.25">
      <c r="A201">
        <f>A200+500</f>
        <v>83500</v>
      </c>
      <c r="B201">
        <f t="shared" si="138"/>
        <v>83.5</v>
      </c>
      <c r="C201">
        <f t="shared" ref="C201:C264" si="159">SQRT((A201/Fesr)^2+1)</f>
        <v>1.2163887199757069</v>
      </c>
      <c r="D201">
        <f t="shared" ref="D201:D264" si="160">ATAN(A201/Fesr)</f>
        <v>0.60569674181638578</v>
      </c>
      <c r="F201">
        <f t="shared" ref="F201:F264" si="161">(Ro/(Ro+Rdcr))/SQRT((A201/(Q*Fo))^2+(1-(A201^2/Fo^2))^2)</f>
        <v>2.7272159974148901E-3</v>
      </c>
      <c r="G201">
        <f t="shared" ref="G201:G264" si="162">-ATAN(A201*Fo/(Q*(Fo^2-A201^2)))</f>
        <v>1.9679290545705965E-2</v>
      </c>
      <c r="H201">
        <f t="shared" ref="H201:H264" si="163">IF(G201&gt;0,G201-Pi,G201)</f>
        <v>-3.121913359454294</v>
      </c>
      <c r="J201">
        <f t="shared" ref="J201:J264" si="164">Vin/Vramp</f>
        <v>15</v>
      </c>
      <c r="M201">
        <f t="shared" ref="M201:M264" si="165">1/(2*Pi*_Rfb1*(Cc1ea_u+Cc2ea_u)*A201)</f>
        <v>2.1833301544506366E-2</v>
      </c>
      <c r="N201">
        <f t="shared" ref="N201:N264" si="166">-Pi/2</f>
        <v>-1.5707963250000001</v>
      </c>
      <c r="O201">
        <f t="shared" ref="O201:O264" si="167">SQRT(1+(A201/Fz1_u)^2)</f>
        <v>13.844843751683241</v>
      </c>
      <c r="P201">
        <f t="shared" ref="P201:P264" si="168">ATAN2(Fz1_u,A201)</f>
        <v>1.4985043189022109</v>
      </c>
      <c r="Q201">
        <f t="shared" ref="Q201:Q264" si="169">SQRT(1+(A201/Fz2_u)^2)</f>
        <v>21.491790499603727</v>
      </c>
      <c r="R201">
        <f t="shared" ref="R201:R264" si="170">ATAN2(Fz2_u,A201)</f>
        <v>1.524250126618196</v>
      </c>
      <c r="S201">
        <f t="shared" ref="S201:S264" si="171">1/SQRT(1+(A201/Fp1_u)^2)</f>
        <v>0.82210561770087076</v>
      </c>
      <c r="T201">
        <f t="shared" ref="T201:T264" si="172">-ATAN2(Fp1_u,A201)</f>
        <v>-0.60569674181638566</v>
      </c>
      <c r="U201">
        <f t="shared" ref="U201:U264" si="173">1/SQRT(1+(A201/Fp2_u)^2)</f>
        <v>0.91964335078206738</v>
      </c>
      <c r="V201">
        <f t="shared" ref="V201:V264" si="174">-ATAN2(Fp2_u,A201)</f>
        <v>-0.40362488076434883</v>
      </c>
      <c r="X201">
        <f t="shared" si="139"/>
        <v>-12.237793997202484</v>
      </c>
      <c r="Y201">
        <f t="shared" ref="Y201:Y264" si="175">(180/Pi)*(D201+H201+N201+P201+R201+T201+V201)</f>
        <v>-118.80738947669823</v>
      </c>
      <c r="Z201">
        <f t="shared" si="140"/>
        <v>61.192610523301767</v>
      </c>
      <c r="AC201">
        <v>1</v>
      </c>
      <c r="AD201">
        <f t="shared" ref="AD201:AD264" si="176">Rcea1_u*Cc1ea_u*A201*2*Pi</f>
        <v>13.808681997516</v>
      </c>
      <c r="AE201">
        <f t="shared" ref="AE201:AE264" si="177">-Rcea1_u*Cc1ea_u*Cc2ea_u*(A201*2*Pi)^2</f>
        <v>-1.086700409433069E-3</v>
      </c>
      <c r="AF201">
        <f t="shared" ref="AF201:AF264" si="178">(Cc2ea_u+Cc1ea_u)*A201*2*Pi</f>
        <v>2.5445329668675001E-3</v>
      </c>
      <c r="AG201">
        <f t="shared" si="141"/>
        <v>4447.7373788861805</v>
      </c>
      <c r="AH201">
        <f t="shared" si="142"/>
        <v>-2292.5063682187829</v>
      </c>
      <c r="AJ201">
        <f t="shared" ref="AJ201:AJ264" si="179">_Rfb1</f>
        <v>18000</v>
      </c>
      <c r="AK201">
        <f t="shared" ref="AK201:AK264" si="180">_Rfb1*Rcea2_u*Cc3ea_u*A201*2*Pi</f>
        <v>12465.588307788001</v>
      </c>
      <c r="AL201">
        <v>1</v>
      </c>
      <c r="AM201">
        <f t="shared" ref="AM201:AM264" si="181">(_Rfb1+Rcea2_u)*Cc3ea_u*A201*2*Pi</f>
        <v>21.468513196745999</v>
      </c>
      <c r="AN201">
        <f t="shared" si="143"/>
        <v>618.35779553179395</v>
      </c>
      <c r="AO201">
        <f t="shared" si="144"/>
        <v>-809.63418589708192</v>
      </c>
      <c r="AQ201">
        <f t="shared" ref="AQ201:AQ264" si="182">Eadcg/(1+(Eadcg*A201/GBP)^2)</f>
        <v>0.35855145213338113</v>
      </c>
      <c r="AR201">
        <f t="shared" ref="AR201:AR264" si="183">-(A201*Eadcg*Eadcg/GBP)/(1+(Eadcg*A201/GBP)^2)</f>
        <v>-59.878092506274648</v>
      </c>
      <c r="AT201">
        <f t="shared" si="156"/>
        <v>-135676.16569152044</v>
      </c>
      <c r="AU201">
        <f t="shared" si="157"/>
        <v>-267144.01170391211</v>
      </c>
      <c r="AV201">
        <f t="shared" si="145"/>
        <v>-2.0407252630680173</v>
      </c>
      <c r="AW201">
        <f t="shared" si="146"/>
        <v>-42924.523899961459</v>
      </c>
      <c r="AX201">
        <f t="shared" si="147"/>
        <v>-41917.139856141541</v>
      </c>
      <c r="AY201">
        <f t="shared" si="155"/>
        <v>-2.3680676272966532</v>
      </c>
      <c r="BA201">
        <f t="shared" ref="BA201:BA264" si="184">SQRT(AT201^2+AU201^2)/SQRT(AW201^2+AX201^2)</f>
        <v>4.9940209965905655</v>
      </c>
      <c r="BB201">
        <f t="shared" si="148"/>
        <v>13.96900727886586</v>
      </c>
      <c r="BC201">
        <f t="shared" si="149"/>
        <v>0.32734236422863594</v>
      </c>
      <c r="BD201">
        <f t="shared" ref="BD201:BD264" si="185">BC201*180/Pi-180</f>
        <v>-161.2446640524339</v>
      </c>
      <c r="BF201">
        <f t="shared" ref="BF201:BF264" si="186">20*LOG(BA201*J201*F201*C201)</f>
        <v>-12.093329143073158</v>
      </c>
      <c r="BG201">
        <f t="shared" ref="BG201:BG264" si="187">(180/Pi)*(D201+H201+BC201)</f>
        <v>-125.41325674850589</v>
      </c>
      <c r="BH201">
        <f t="shared" si="150"/>
        <v>54.586743251494113</v>
      </c>
      <c r="BI201">
        <f t="shared" si="151"/>
        <v>54.586743251494113</v>
      </c>
      <c r="BJ201">
        <f t="shared" ref="BJ201:BJ264" si="188">SUM((BF202&lt;0)*(BF201&gt;0))*A201</f>
        <v>0</v>
      </c>
      <c r="BK201">
        <f t="shared" si="152"/>
        <v>0</v>
      </c>
      <c r="BM201">
        <f t="shared" si="153"/>
        <v>-26.062336421939015</v>
      </c>
      <c r="BN201">
        <f t="shared" ref="BN201:BN264" si="189">(H201+D201)*180/Pi</f>
        <v>-144.16859269607201</v>
      </c>
      <c r="BQ201" s="56">
        <f t="shared" si="154"/>
        <v>30.870968079150995</v>
      </c>
      <c r="BR201" s="59"/>
      <c r="BS201" s="59"/>
      <c r="BT201" s="59">
        <v>8128.3050000000003</v>
      </c>
      <c r="BU201" s="59">
        <v>-1.3526100000000001</v>
      </c>
      <c r="BV201" s="59">
        <v>-221.982</v>
      </c>
      <c r="BW201" s="61"/>
      <c r="BY201" s="59"/>
      <c r="BZ201" s="59"/>
      <c r="CA201" s="59"/>
      <c r="CC201" s="59"/>
    </row>
    <row r="202" spans="1:81" x14ac:dyDescent="0.25">
      <c r="A202">
        <f t="shared" ref="A202:A234" si="190">A201+500</f>
        <v>84000</v>
      </c>
      <c r="B202">
        <f t="shared" ref="B202:B265" si="191">A202/1000</f>
        <v>84</v>
      </c>
      <c r="C202">
        <f t="shared" si="159"/>
        <v>1.2187544648690756</v>
      </c>
      <c r="D202">
        <f t="shared" si="160"/>
        <v>0.60849402069374825</v>
      </c>
      <c r="F202">
        <f t="shared" si="161"/>
        <v>2.6947642340698053E-3</v>
      </c>
      <c r="G202">
        <f t="shared" si="162"/>
        <v>1.9561544985507686E-2</v>
      </c>
      <c r="H202">
        <f t="shared" si="163"/>
        <v>-3.1220311050144924</v>
      </c>
      <c r="J202">
        <f t="shared" si="164"/>
        <v>15</v>
      </c>
      <c r="M202">
        <f t="shared" si="165"/>
        <v>2.1703341416265256E-2</v>
      </c>
      <c r="N202">
        <f t="shared" si="166"/>
        <v>-1.5707963250000001</v>
      </c>
      <c r="O202">
        <f t="shared" si="167"/>
        <v>13.927315778915965</v>
      </c>
      <c r="P202">
        <f t="shared" si="168"/>
        <v>1.4989331440925242</v>
      </c>
      <c r="Q202">
        <f t="shared" si="169"/>
        <v>21.620206064198655</v>
      </c>
      <c r="R202">
        <f t="shared" si="170"/>
        <v>1.524526790888129</v>
      </c>
      <c r="S202">
        <f t="shared" si="171"/>
        <v>0.8205098145896228</v>
      </c>
      <c r="T202">
        <f t="shared" si="172"/>
        <v>-0.60849402069374825</v>
      </c>
      <c r="U202">
        <f t="shared" si="173"/>
        <v>0.91879252497834807</v>
      </c>
      <c r="V202">
        <f t="shared" si="174"/>
        <v>-0.40578572023368453</v>
      </c>
      <c r="X202">
        <f t="shared" ref="X202:X265" si="192">20*LOG(C202*J202*O202*Q202*F202*M202*S202*U202)</f>
        <v>-12.298333183466696</v>
      </c>
      <c r="Y202">
        <f t="shared" si="175"/>
        <v>-118.89752121369213</v>
      </c>
      <c r="Z202">
        <f t="shared" ref="Z202:Z265" si="193">Y202+180</f>
        <v>61.10247878630787</v>
      </c>
      <c r="AC202">
        <v>1</v>
      </c>
      <c r="AD202">
        <f t="shared" si="176"/>
        <v>13.891368716064001</v>
      </c>
      <c r="AE202">
        <f t="shared" si="177"/>
        <v>-1.0997537507920305E-3</v>
      </c>
      <c r="AF202">
        <f t="shared" si="178"/>
        <v>2.55976969122E-3</v>
      </c>
      <c r="AG202">
        <f t="shared" ref="AG202:AG265" si="194">AC202*AE202/(AE202^2+AF202^2)+AD202*AF202/(AE202^2+AF202^2)</f>
        <v>4439.5113656364747</v>
      </c>
      <c r="AH202">
        <f t="shared" ref="AH202:AH265" si="195">AD202*AE202/(AE202^2+AF202^2)-AC202*AF202/(AE202^2+AF202^2)</f>
        <v>-2298.0072372210152</v>
      </c>
      <c r="AJ202">
        <f t="shared" si="179"/>
        <v>18000</v>
      </c>
      <c r="AK202">
        <f t="shared" si="180"/>
        <v>12540.232549152001</v>
      </c>
      <c r="AL202">
        <v>1</v>
      </c>
      <c r="AM202">
        <f t="shared" si="181"/>
        <v>21.597067167983997</v>
      </c>
      <c r="AN202">
        <f t="shared" ref="AN202:AN265" si="196">AJ202*AL202/(AL202^2+AM202^2)+AK202*AM202/(AL202^2+AM202^2)</f>
        <v>617.91112941116478</v>
      </c>
      <c r="AO202">
        <f t="shared" ref="AO202:AO265" si="197">AK202*AL202/(AL202^2+AM202^2)-AJ202*AM202/(AL202^2+AM202^2)</f>
        <v>-804.83561658577673</v>
      </c>
      <c r="AQ202">
        <f t="shared" si="182"/>
        <v>0.35429583702391498</v>
      </c>
      <c r="AR202">
        <f t="shared" si="183"/>
        <v>-59.521700620017718</v>
      </c>
      <c r="AT202">
        <f t="shared" si="156"/>
        <v>-135208.39840123794</v>
      </c>
      <c r="AU202">
        <f t="shared" si="157"/>
        <v>-265061.44080217852</v>
      </c>
      <c r="AV202">
        <f t="shared" ref="AV202:AV265" si="198">ATAN2(AT202,AU202)</f>
        <v>-2.0424929190763619</v>
      </c>
      <c r="AW202">
        <f t="shared" ref="AW202:AW265" si="199">AG202-AH202*AO202/_Rfb2+AG202*AN202/_Rfb2+AN202-AO202*AR202+AQ202*AN202</f>
        <v>-42361.968417325457</v>
      </c>
      <c r="AX202">
        <f t="shared" ref="AX202:AX265" si="200">AH202+AH202*AN202/_Rfb2+AG202*AO202/_Rfb2+AO202+AO202*AQ202+AN202*AR202</f>
        <v>-41658.091571908546</v>
      </c>
      <c r="AY202">
        <f t="shared" si="155"/>
        <v>-2.3645717798496388</v>
      </c>
      <c r="BA202">
        <f t="shared" si="184"/>
        <v>5.0082243939030775</v>
      </c>
      <c r="BB202">
        <f t="shared" ref="BB202:BB265" si="201">20*LOG(BA202)</f>
        <v>13.993675584760927</v>
      </c>
      <c r="BC202">
        <f t="shared" ref="BC202:BC265" si="202">AV202-AY202</f>
        <v>0.32207886077327696</v>
      </c>
      <c r="BD202">
        <f t="shared" si="185"/>
        <v>-161.54624058622309</v>
      </c>
      <c r="BF202">
        <f t="shared" si="186"/>
        <v>-12.155759347483583</v>
      </c>
      <c r="BG202">
        <f t="shared" si="187"/>
        <v>-125.56130733198145</v>
      </c>
      <c r="BH202">
        <f t="shared" ref="BH202:BH265" si="203">IF(BG202&gt;180,BG202-180,BG202+180)</f>
        <v>54.438692668018547</v>
      </c>
      <c r="BI202">
        <f t="shared" ref="BI202:BI265" si="204">IF(BH202&gt;180,BH202-360,BH202)</f>
        <v>54.438692668018547</v>
      </c>
      <c r="BJ202">
        <f t="shared" si="188"/>
        <v>0</v>
      </c>
      <c r="BK202">
        <f t="shared" ref="BK202:BK265" si="205">IF(BJ202&gt;0,BI202,0)</f>
        <v>0</v>
      </c>
      <c r="BM202">
        <f t="shared" ref="BM202:BM265" si="206">20*LOG(J202*F202*C202)</f>
        <v>-26.149434932244514</v>
      </c>
      <c r="BN202">
        <f t="shared" si="189"/>
        <v>-144.01506674575836</v>
      </c>
      <c r="BQ202" s="56">
        <f t="shared" ref="BQ202:BQ265" si="207">20*LOG(BA202*7)</f>
        <v>30.895636385046068</v>
      </c>
      <c r="BR202" s="59"/>
      <c r="BS202" s="59"/>
      <c r="BT202" s="59">
        <v>8317.6380000000008</v>
      </c>
      <c r="BU202" s="59">
        <v>-1.29555</v>
      </c>
      <c r="BV202" s="59">
        <v>-220.93199999999999</v>
      </c>
      <c r="BW202" s="61"/>
      <c r="BY202" s="59"/>
      <c r="BZ202" s="59"/>
      <c r="CA202" s="59"/>
      <c r="CC202" s="59"/>
    </row>
    <row r="203" spans="1:81" x14ac:dyDescent="0.25">
      <c r="A203">
        <f t="shared" si="190"/>
        <v>84500</v>
      </c>
      <c r="B203">
        <f t="shared" si="191"/>
        <v>84.5</v>
      </c>
      <c r="C203">
        <f t="shared" si="159"/>
        <v>1.2211297092405102</v>
      </c>
      <c r="D203">
        <f t="shared" si="160"/>
        <v>0.61128043921498554</v>
      </c>
      <c r="F203">
        <f t="shared" si="161"/>
        <v>2.6628887429227277E-3</v>
      </c>
      <c r="G203">
        <f t="shared" si="162"/>
        <v>1.9445203576883348E-2</v>
      </c>
      <c r="H203">
        <f t="shared" si="163"/>
        <v>-3.1221474464231167</v>
      </c>
      <c r="J203">
        <f t="shared" si="164"/>
        <v>15</v>
      </c>
      <c r="M203">
        <f t="shared" si="165"/>
        <v>2.1574919277707477E-2</v>
      </c>
      <c r="N203">
        <f t="shared" si="166"/>
        <v>-1.5707963250000001</v>
      </c>
      <c r="O203">
        <f t="shared" si="167"/>
        <v>14.009790337103878</v>
      </c>
      <c r="P203">
        <f t="shared" si="168"/>
        <v>1.4993569204381767</v>
      </c>
      <c r="Q203">
        <f t="shared" si="169"/>
        <v>21.748623264128923</v>
      </c>
      <c r="R203">
        <f t="shared" si="170"/>
        <v>1.5248001879879884</v>
      </c>
      <c r="S203">
        <f t="shared" si="171"/>
        <v>0.81891382416856995</v>
      </c>
      <c r="T203">
        <f t="shared" si="172"/>
        <v>-0.61128043921498532</v>
      </c>
      <c r="U203">
        <f t="shared" si="173"/>
        <v>0.91793899785886479</v>
      </c>
      <c r="V203">
        <f t="shared" si="174"/>
        <v>-0.40794255506494065</v>
      </c>
      <c r="X203">
        <f t="shared" si="192"/>
        <v>-12.358586251265244</v>
      </c>
      <c r="Y203">
        <f t="shared" si="175"/>
        <v>-118.98781952241339</v>
      </c>
      <c r="Z203">
        <f t="shared" si="193"/>
        <v>61.012180477586611</v>
      </c>
      <c r="AC203">
        <v>1</v>
      </c>
      <c r="AD203">
        <f t="shared" si="176"/>
        <v>13.974055434612001</v>
      </c>
      <c r="AE203">
        <f t="shared" si="177"/>
        <v>-1.112885022547165E-3</v>
      </c>
      <c r="AF203">
        <f t="shared" si="178"/>
        <v>2.5750064155724999E-3</v>
      </c>
      <c r="AG203">
        <f t="shared" si="194"/>
        <v>4431.2668856139935</v>
      </c>
      <c r="AH203">
        <f t="shared" si="195"/>
        <v>-2303.4857358172012</v>
      </c>
      <c r="AJ203">
        <f t="shared" si="179"/>
        <v>18000</v>
      </c>
      <c r="AK203">
        <f t="shared" si="180"/>
        <v>12614.876790516</v>
      </c>
      <c r="AL203">
        <v>1</v>
      </c>
      <c r="AM203">
        <f t="shared" si="181"/>
        <v>21.725621139221996</v>
      </c>
      <c r="AN203">
        <f t="shared" si="196"/>
        <v>617.4723464418712</v>
      </c>
      <c r="AO203">
        <f t="shared" si="197"/>
        <v>-800.09347222652536</v>
      </c>
      <c r="AQ203">
        <f t="shared" si="182"/>
        <v>0.35011553812758212</v>
      </c>
      <c r="AR203">
        <f t="shared" si="183"/>
        <v>-59.169525943561375</v>
      </c>
      <c r="AT203">
        <f t="shared" si="156"/>
        <v>-134744.70361581579</v>
      </c>
      <c r="AU203">
        <f t="shared" si="157"/>
        <v>-263002.44709914643</v>
      </c>
      <c r="AV203">
        <f t="shared" si="198"/>
        <v>-2.0442611975105294</v>
      </c>
      <c r="AW203">
        <f t="shared" si="199"/>
        <v>-41809.511837953018</v>
      </c>
      <c r="AX203">
        <f t="shared" si="200"/>
        <v>-41402.680646571207</v>
      </c>
      <c r="AY203">
        <f t="shared" ref="AY203:AY266" si="208">ATAN2(AW203,AX203)</f>
        <v>-2.3610835327445243</v>
      </c>
      <c r="BA203">
        <f t="shared" si="184"/>
        <v>5.0222193427835302</v>
      </c>
      <c r="BB203">
        <f t="shared" si="201"/>
        <v>14.017913527475551</v>
      </c>
      <c r="BC203">
        <f t="shared" si="202"/>
        <v>0.31682233523399495</v>
      </c>
      <c r="BD203">
        <f t="shared" si="185"/>
        <v>-161.84741731487082</v>
      </c>
      <c r="BF203">
        <f t="shared" si="186"/>
        <v>-12.2179649075981</v>
      </c>
      <c r="BG203">
        <f t="shared" si="187"/>
        <v>-125.70949991092718</v>
      </c>
      <c r="BH203">
        <f t="shared" si="203"/>
        <v>54.290500089072822</v>
      </c>
      <c r="BI203">
        <f t="shared" si="204"/>
        <v>54.290500089072822</v>
      </c>
      <c r="BJ203">
        <f t="shared" si="188"/>
        <v>0</v>
      </c>
      <c r="BK203">
        <f t="shared" si="205"/>
        <v>0</v>
      </c>
      <c r="BM203">
        <f t="shared" si="206"/>
        <v>-26.235878435073655</v>
      </c>
      <c r="BN203">
        <f t="shared" si="189"/>
        <v>-143.86208259605638</v>
      </c>
      <c r="BQ203" s="56">
        <f t="shared" si="207"/>
        <v>30.919874327760688</v>
      </c>
      <c r="BR203" s="59"/>
      <c r="BS203" s="59"/>
      <c r="BT203" s="59">
        <v>8511.3799999999992</v>
      </c>
      <c r="BU203" s="59">
        <v>-1.5137499999999999</v>
      </c>
      <c r="BV203" s="59">
        <v>-219.99600000000001</v>
      </c>
      <c r="BW203" s="61"/>
      <c r="BY203" s="59"/>
      <c r="BZ203" s="59"/>
      <c r="CA203" s="59"/>
      <c r="CC203" s="59"/>
    </row>
    <row r="204" spans="1:81" x14ac:dyDescent="0.25">
      <c r="A204">
        <f t="shared" si="190"/>
        <v>85000</v>
      </c>
      <c r="B204">
        <f t="shared" si="191"/>
        <v>85</v>
      </c>
      <c r="C204">
        <f t="shared" si="159"/>
        <v>1.2235143977651661</v>
      </c>
      <c r="D204">
        <f t="shared" si="160"/>
        <v>0.61405601748838301</v>
      </c>
      <c r="F204">
        <f t="shared" si="161"/>
        <v>2.6315759488762494E-3</v>
      </c>
      <c r="G204">
        <f t="shared" si="162"/>
        <v>1.9330241289835105E-2</v>
      </c>
      <c r="H204">
        <f t="shared" si="163"/>
        <v>-3.1222624087101649</v>
      </c>
      <c r="J204">
        <f t="shared" si="164"/>
        <v>15</v>
      </c>
      <c r="M204">
        <f t="shared" si="165"/>
        <v>2.1448007987838608E-2</v>
      </c>
      <c r="N204">
        <f t="shared" si="166"/>
        <v>-1.5707963250000001</v>
      </c>
      <c r="O204">
        <f t="shared" si="167"/>
        <v>14.092267381809972</v>
      </c>
      <c r="P204">
        <f t="shared" si="168"/>
        <v>1.4997757364329003</v>
      </c>
      <c r="Q204">
        <f t="shared" si="169"/>
        <v>21.877042070596502</v>
      </c>
      <c r="R204">
        <f t="shared" si="170"/>
        <v>1.5250703754116592</v>
      </c>
      <c r="S204">
        <f t="shared" si="171"/>
        <v>0.81731772166030048</v>
      </c>
      <c r="T204">
        <f t="shared" si="172"/>
        <v>-0.61405601748838279</v>
      </c>
      <c r="U204">
        <f t="shared" si="173"/>
        <v>0.91708280073482218</v>
      </c>
      <c r="V204">
        <f t="shared" si="174"/>
        <v>-0.41009537636930976</v>
      </c>
      <c r="X204">
        <f t="shared" si="192"/>
        <v>-12.418556887040907</v>
      </c>
      <c r="Y204">
        <f t="shared" si="175"/>
        <v>-119.07827696320996</v>
      </c>
      <c r="Z204">
        <f t="shared" si="193"/>
        <v>60.921723036790041</v>
      </c>
      <c r="AC204">
        <v>1</v>
      </c>
      <c r="AD204">
        <f t="shared" si="176"/>
        <v>14.056742153160002</v>
      </c>
      <c r="AE204">
        <f t="shared" si="177"/>
        <v>-1.1260942246984723E-3</v>
      </c>
      <c r="AF204">
        <f t="shared" si="178"/>
        <v>2.5902431399249999E-3</v>
      </c>
      <c r="AG204">
        <f t="shared" si="194"/>
        <v>4423.0043135926071</v>
      </c>
      <c r="AH204">
        <f t="shared" si="195"/>
        <v>-2308.9413967239529</v>
      </c>
      <c r="AJ204">
        <f t="shared" si="179"/>
        <v>18000</v>
      </c>
      <c r="AK204">
        <f t="shared" si="180"/>
        <v>12689.52103188</v>
      </c>
      <c r="AL204">
        <v>1</v>
      </c>
      <c r="AM204">
        <f t="shared" si="181"/>
        <v>21.854175110459998</v>
      </c>
      <c r="AN204">
        <f t="shared" si="196"/>
        <v>617.04126233267891</v>
      </c>
      <c r="AO204">
        <f t="shared" si="197"/>
        <v>-795.40676551765011</v>
      </c>
      <c r="AQ204">
        <f t="shared" si="182"/>
        <v>0.34600878862323103</v>
      </c>
      <c r="AR204">
        <f t="shared" si="183"/>
        <v>-58.821494065949274</v>
      </c>
      <c r="AT204">
        <f t="shared" si="156"/>
        <v>-134284.98430140113</v>
      </c>
      <c r="AU204">
        <f t="shared" si="157"/>
        <v>-260966.63600133805</v>
      </c>
      <c r="AV204">
        <f t="shared" si="198"/>
        <v>-2.0460300084308258</v>
      </c>
      <c r="AW204">
        <f t="shared" si="199"/>
        <v>-41266.918257114055</v>
      </c>
      <c r="AX204">
        <f t="shared" si="200"/>
        <v>-41150.829745557894</v>
      </c>
      <c r="AY204">
        <f t="shared" si="208"/>
        <v>-2.3576030270378325</v>
      </c>
      <c r="BA204">
        <f t="shared" si="184"/>
        <v>5.0360064723661635</v>
      </c>
      <c r="BB204">
        <f t="shared" si="201"/>
        <v>14.041725591985376</v>
      </c>
      <c r="BC204">
        <f t="shared" si="202"/>
        <v>0.3115730186070067</v>
      </c>
      <c r="BD204">
        <f t="shared" si="185"/>
        <v>-162.14818100326877</v>
      </c>
      <c r="BF204">
        <f t="shared" si="186"/>
        <v>-12.27994937019403</v>
      </c>
      <c r="BG204">
        <f t="shared" si="187"/>
        <v>-125.85782153222809</v>
      </c>
      <c r="BH204">
        <f t="shared" si="203"/>
        <v>54.142178467771913</v>
      </c>
      <c r="BI204">
        <f t="shared" si="204"/>
        <v>54.142178467771913</v>
      </c>
      <c r="BJ204">
        <f t="shared" si="188"/>
        <v>0</v>
      </c>
      <c r="BK204">
        <f t="shared" si="205"/>
        <v>0</v>
      </c>
      <c r="BM204">
        <f t="shared" si="206"/>
        <v>-26.321674962179408</v>
      </c>
      <c r="BN204">
        <f t="shared" si="189"/>
        <v>-143.70964052895931</v>
      </c>
      <c r="BQ204" s="56">
        <f t="shared" si="207"/>
        <v>30.943686392270514</v>
      </c>
      <c r="BR204" s="59"/>
      <c r="BS204" s="59"/>
      <c r="BT204" s="59">
        <v>8709.6360000000004</v>
      </c>
      <c r="BU204" s="59">
        <v>-1.62094</v>
      </c>
      <c r="BV204" s="59">
        <v>-218.72200000000001</v>
      </c>
      <c r="BW204" s="61"/>
      <c r="BY204" s="59"/>
      <c r="BZ204" s="59"/>
      <c r="CA204" s="59"/>
      <c r="CC204" s="59"/>
    </row>
    <row r="205" spans="1:81" x14ac:dyDescent="0.25">
      <c r="A205">
        <f t="shared" si="190"/>
        <v>85500</v>
      </c>
      <c r="B205">
        <f t="shared" si="191"/>
        <v>85.5</v>
      </c>
      <c r="C205">
        <f t="shared" si="159"/>
        <v>1.2259084753295573</v>
      </c>
      <c r="D205">
        <f t="shared" si="160"/>
        <v>0.61682077613416608</v>
      </c>
      <c r="F205">
        <f t="shared" si="161"/>
        <v>2.6008126745396486E-3</v>
      </c>
      <c r="G205">
        <f t="shared" si="162"/>
        <v>1.9216633687167427E-2</v>
      </c>
      <c r="H205">
        <f t="shared" si="163"/>
        <v>-3.1223760163128329</v>
      </c>
      <c r="J205">
        <f t="shared" si="164"/>
        <v>15</v>
      </c>
      <c r="M205">
        <f t="shared" si="165"/>
        <v>2.1322581040541307E-2</v>
      </c>
      <c r="N205">
        <f t="shared" si="166"/>
        <v>-1.5707963250000001</v>
      </c>
      <c r="O205">
        <f t="shared" si="167"/>
        <v>14.174746869630152</v>
      </c>
      <c r="P205">
        <f t="shared" si="168"/>
        <v>1.5001896785177855</v>
      </c>
      <c r="Q205">
        <f t="shared" si="169"/>
        <v>22.00546245547525</v>
      </c>
      <c r="R205">
        <f t="shared" si="170"/>
        <v>1.525337409312826</v>
      </c>
      <c r="S205">
        <f t="shared" si="171"/>
        <v>0.81572158127968974</v>
      </c>
      <c r="T205">
        <f t="shared" si="172"/>
        <v>-0.61682077613416597</v>
      </c>
      <c r="U205">
        <f t="shared" si="173"/>
        <v>0.91622396484595958</v>
      </c>
      <c r="V205">
        <f t="shared" si="174"/>
        <v>-0.41224417543984376</v>
      </c>
      <c r="X205">
        <f t="shared" si="192"/>
        <v>-12.478248705681237</v>
      </c>
      <c r="Y205">
        <f t="shared" si="175"/>
        <v>-119.16888626727965</v>
      </c>
      <c r="Z205">
        <f t="shared" si="193"/>
        <v>60.831113732720354</v>
      </c>
      <c r="AC205">
        <v>1</v>
      </c>
      <c r="AD205">
        <f t="shared" si="176"/>
        <v>14.139428871707999</v>
      </c>
      <c r="AE205">
        <f t="shared" si="177"/>
        <v>-1.1393813572459525E-3</v>
      </c>
      <c r="AF205">
        <f t="shared" si="178"/>
        <v>2.6054798642775002E-3</v>
      </c>
      <c r="AG205">
        <f t="shared" si="194"/>
        <v>4414.7240227563325</v>
      </c>
      <c r="AH205">
        <f t="shared" si="195"/>
        <v>-2314.3737672240873</v>
      </c>
      <c r="AJ205">
        <f t="shared" si="179"/>
        <v>18000</v>
      </c>
      <c r="AK205">
        <f t="shared" si="180"/>
        <v>12764.165273244002</v>
      </c>
      <c r="AL205">
        <v>1</v>
      </c>
      <c r="AM205">
        <f t="shared" si="181"/>
        <v>21.982729081698</v>
      </c>
      <c r="AN205">
        <f t="shared" si="196"/>
        <v>616.61769814277511</v>
      </c>
      <c r="AO205">
        <f t="shared" si="197"/>
        <v>-790.77453200885702</v>
      </c>
      <c r="AQ205">
        <f t="shared" si="182"/>
        <v>0.3419738731960878</v>
      </c>
      <c r="AR205">
        <f t="shared" si="183"/>
        <v>-58.477532316531018</v>
      </c>
      <c r="AT205">
        <f t="shared" si="156"/>
        <v>-133829.14649222439</v>
      </c>
      <c r="AU205">
        <f t="shared" si="157"/>
        <v>-258953.62207050031</v>
      </c>
      <c r="AV205">
        <f t="shared" si="198"/>
        <v>-2.0477992639579625</v>
      </c>
      <c r="AW205">
        <f t="shared" si="199"/>
        <v>-40733.958604698179</v>
      </c>
      <c r="AX205">
        <f t="shared" si="200"/>
        <v>-40902.463700006119</v>
      </c>
      <c r="AY205">
        <f t="shared" si="208"/>
        <v>-2.3541304010119588</v>
      </c>
      <c r="BA205">
        <f t="shared" si="184"/>
        <v>5.0495864358604514</v>
      </c>
      <c r="BB205">
        <f t="shared" si="201"/>
        <v>14.065116211963149</v>
      </c>
      <c r="BC205">
        <f t="shared" si="202"/>
        <v>0.30633113705399628</v>
      </c>
      <c r="BD205">
        <f t="shared" si="185"/>
        <v>-162.44851869330694</v>
      </c>
      <c r="BF205">
        <f t="shared" si="186"/>
        <v>-12.341716197046189</v>
      </c>
      <c r="BG205">
        <f t="shared" si="187"/>
        <v>-126.00625945647049</v>
      </c>
      <c r="BH205">
        <f t="shared" si="203"/>
        <v>53.993740543529512</v>
      </c>
      <c r="BI205">
        <f t="shared" si="204"/>
        <v>53.993740543529512</v>
      </c>
      <c r="BJ205">
        <f t="shared" si="188"/>
        <v>0</v>
      </c>
      <c r="BK205">
        <f t="shared" si="205"/>
        <v>0</v>
      </c>
      <c r="BM205">
        <f t="shared" si="206"/>
        <v>-26.406832409009336</v>
      </c>
      <c r="BN205">
        <f t="shared" si="189"/>
        <v>-143.55774076316357</v>
      </c>
      <c r="BQ205" s="56">
        <f t="shared" si="207"/>
        <v>30.967077012248289</v>
      </c>
      <c r="BR205" s="59"/>
      <c r="BS205" s="59"/>
      <c r="BT205" s="59">
        <v>8912.509</v>
      </c>
      <c r="BU205" s="59">
        <v>-1.6954</v>
      </c>
      <c r="BV205" s="59">
        <v>-217.619</v>
      </c>
      <c r="BW205" s="61"/>
      <c r="BY205" s="59"/>
      <c r="BZ205" s="59"/>
      <c r="CA205" s="59"/>
      <c r="CC205" s="59"/>
    </row>
    <row r="206" spans="1:81" x14ac:dyDescent="0.25">
      <c r="A206">
        <f t="shared" si="190"/>
        <v>86000</v>
      </c>
      <c r="B206">
        <f t="shared" si="191"/>
        <v>86</v>
      </c>
      <c r="C206">
        <f t="shared" si="159"/>
        <v>1.2283118870337293</v>
      </c>
      <c r="D206">
        <f t="shared" si="160"/>
        <v>0.61957473627374593</v>
      </c>
      <c r="F206">
        <f t="shared" si="161"/>
        <v>2.5705861263176505E-3</v>
      </c>
      <c r="G206">
        <f t="shared" si="162"/>
        <v>1.9104356907000443E-2</v>
      </c>
      <c r="H206">
        <f t="shared" si="163"/>
        <v>-3.1224882930929998</v>
      </c>
      <c r="J206">
        <f t="shared" si="164"/>
        <v>15</v>
      </c>
      <c r="M206">
        <f t="shared" si="165"/>
        <v>2.1198612546119554E-2</v>
      </c>
      <c r="N206">
        <f t="shared" si="166"/>
        <v>-1.5707963250000001</v>
      </c>
      <c r="O206">
        <f t="shared" si="167"/>
        <v>14.257228758163446</v>
      </c>
      <c r="P206">
        <f t="shared" si="168"/>
        <v>1.5005988311403535</v>
      </c>
      <c r="Q206">
        <f t="shared" si="169"/>
        <v>22.133884391291435</v>
      </c>
      <c r="R206">
        <f t="shared" si="170"/>
        <v>1.5256013445437697</v>
      </c>
      <c r="S206">
        <f t="shared" si="171"/>
        <v>0.81412547623789311</v>
      </c>
      <c r="T206">
        <f t="shared" si="172"/>
        <v>-0.61957473627374582</v>
      </c>
      <c r="U206">
        <f t="shared" si="173"/>
        <v>0.91536252135841012</v>
      </c>
      <c r="V206">
        <f t="shared" si="174"/>
        <v>-0.4143889437506737</v>
      </c>
      <c r="X206">
        <f t="shared" si="192"/>
        <v>-12.537665252291287</v>
      </c>
      <c r="Y206">
        <f t="shared" si="175"/>
        <v>-119.25964033202047</v>
      </c>
      <c r="Z206">
        <f t="shared" si="193"/>
        <v>60.740359667979533</v>
      </c>
      <c r="AC206">
        <v>1</v>
      </c>
      <c r="AD206">
        <f t="shared" si="176"/>
        <v>14.222115590255999</v>
      </c>
      <c r="AE206">
        <f t="shared" si="177"/>
        <v>-1.1527464201896056E-3</v>
      </c>
      <c r="AF206">
        <f t="shared" si="178"/>
        <v>2.6207165886299997E-3</v>
      </c>
      <c r="AG206">
        <f t="shared" si="194"/>
        <v>4406.426384673201</v>
      </c>
      <c r="AH206">
        <f t="shared" si="195"/>
        <v>-2319.7824088026096</v>
      </c>
      <c r="AJ206">
        <f t="shared" si="179"/>
        <v>18000</v>
      </c>
      <c r="AK206">
        <f t="shared" si="180"/>
        <v>12838.809514608</v>
      </c>
      <c r="AL206">
        <v>1</v>
      </c>
      <c r="AM206">
        <f t="shared" si="181"/>
        <v>22.111283052935999</v>
      </c>
      <c r="AN206">
        <f t="shared" si="196"/>
        <v>616.20148009656828</v>
      </c>
      <c r="AO206">
        <f t="shared" si="197"/>
        <v>-786.1958294453276</v>
      </c>
      <c r="AQ206">
        <f t="shared" si="182"/>
        <v>0.33800912624640866</v>
      </c>
      <c r="AR206">
        <f t="shared" si="183"/>
        <v>-58.137569714382288</v>
      </c>
      <c r="AT206">
        <f t="shared" si="156"/>
        <v>-133377.09918180687</v>
      </c>
      <c r="AU206">
        <f t="shared" si="157"/>
        <v>-256963.02875531287</v>
      </c>
      <c r="AV206">
        <f t="shared" si="198"/>
        <v>-2.0495688782182713</v>
      </c>
      <c r="AW206">
        <f t="shared" si="199"/>
        <v>-40210.410408902819</v>
      </c>
      <c r="AX206">
        <f t="shared" si="200"/>
        <v>-40657.509431728395</v>
      </c>
      <c r="AY206">
        <f t="shared" si="208"/>
        <v>-2.350665790205051</v>
      </c>
      <c r="BA206">
        <f t="shared" si="184"/>
        <v>5.0629599101635652</v>
      </c>
      <c r="BB206">
        <f t="shared" si="201"/>
        <v>14.088089770870631</v>
      </c>
      <c r="BC206">
        <f t="shared" si="202"/>
        <v>0.30109691198677968</v>
      </c>
      <c r="BD206">
        <f t="shared" si="185"/>
        <v>-162.74841769902272</v>
      </c>
      <c r="BF206">
        <f t="shared" si="186"/>
        <v>-12.403268766919702</v>
      </c>
      <c r="BG206">
        <f t="shared" si="187"/>
        <v>-126.15480115470899</v>
      </c>
      <c r="BH206">
        <f t="shared" si="203"/>
        <v>53.845198845291009</v>
      </c>
      <c r="BI206">
        <f t="shared" si="204"/>
        <v>53.845198845291009</v>
      </c>
      <c r="BJ206">
        <f t="shared" si="188"/>
        <v>0</v>
      </c>
      <c r="BK206">
        <f t="shared" si="205"/>
        <v>0</v>
      </c>
      <c r="BM206">
        <f t="shared" si="206"/>
        <v>-26.49135853779033</v>
      </c>
      <c r="BN206">
        <f t="shared" si="189"/>
        <v>-143.4063834556863</v>
      </c>
      <c r="BQ206" s="56">
        <f t="shared" si="207"/>
        <v>30.990050571155766</v>
      </c>
      <c r="BR206" s="59"/>
      <c r="BS206" s="59"/>
      <c r="BT206" s="59">
        <v>9120.1080000000002</v>
      </c>
      <c r="BU206" s="59">
        <v>-1.76502</v>
      </c>
      <c r="BV206" s="59">
        <v>-216.501</v>
      </c>
      <c r="BW206" s="61"/>
      <c r="BY206" s="59"/>
      <c r="BZ206" s="59"/>
      <c r="CA206" s="59"/>
      <c r="CC206" s="59"/>
    </row>
    <row r="207" spans="1:81" x14ac:dyDescent="0.25">
      <c r="A207">
        <f t="shared" si="190"/>
        <v>86500</v>
      </c>
      <c r="B207">
        <f t="shared" si="191"/>
        <v>86.5</v>
      </c>
      <c r="C207">
        <f t="shared" si="159"/>
        <v>1.2307245781933585</v>
      </c>
      <c r="D207">
        <f t="shared" si="160"/>
        <v>0.6223179195190599</v>
      </c>
      <c r="F207">
        <f t="shared" si="161"/>
        <v>2.5408838810640258E-3</v>
      </c>
      <c r="G207">
        <f t="shared" si="162"/>
        <v>1.899338764590008E-2</v>
      </c>
      <c r="H207">
        <f t="shared" si="163"/>
        <v>-3.1225992623541003</v>
      </c>
      <c r="J207">
        <f t="shared" si="164"/>
        <v>15</v>
      </c>
      <c r="M207">
        <f t="shared" si="165"/>
        <v>2.1076077213483022E-2</v>
      </c>
      <c r="N207">
        <f t="shared" si="166"/>
        <v>-1.5707963250000001</v>
      </c>
      <c r="O207">
        <f t="shared" si="167"/>
        <v>14.339713005983219</v>
      </c>
      <c r="P207">
        <f t="shared" si="168"/>
        <v>1.5010032768116039</v>
      </c>
      <c r="Q207">
        <f t="shared" si="169"/>
        <v>22.262307851204927</v>
      </c>
      <c r="R207">
        <f t="shared" si="170"/>
        <v>1.5258622346928272</v>
      </c>
      <c r="S207">
        <f t="shared" si="171"/>
        <v>0.81252947874653603</v>
      </c>
      <c r="T207">
        <f t="shared" si="172"/>
        <v>-0.62231791951905979</v>
      </c>
      <c r="U207">
        <f t="shared" si="173"/>
        <v>0.9144985013625887</v>
      </c>
      <c r="V207">
        <f t="shared" si="174"/>
        <v>-0.41652967295621812</v>
      </c>
      <c r="X207">
        <f t="shared" si="192"/>
        <v>-12.596810003912255</v>
      </c>
      <c r="Y207">
        <f t="shared" si="175"/>
        <v>-119.35053221653664</v>
      </c>
      <c r="Z207">
        <f t="shared" si="193"/>
        <v>60.649467783463365</v>
      </c>
      <c r="AC207">
        <v>1</v>
      </c>
      <c r="AD207">
        <f t="shared" si="176"/>
        <v>14.304802308804</v>
      </c>
      <c r="AE207">
        <f t="shared" si="177"/>
        <v>-1.1661894135294312E-3</v>
      </c>
      <c r="AF207">
        <f t="shared" si="178"/>
        <v>2.6359533129825001E-3</v>
      </c>
      <c r="AG207">
        <f t="shared" si="194"/>
        <v>4398.1117692696698</v>
      </c>
      <c r="AH207">
        <f t="shared" si="195"/>
        <v>-2325.1668967940386</v>
      </c>
      <c r="AJ207">
        <f t="shared" si="179"/>
        <v>18000</v>
      </c>
      <c r="AK207">
        <f t="shared" si="180"/>
        <v>12913.453755971999</v>
      </c>
      <c r="AL207">
        <v>1</v>
      </c>
      <c r="AM207">
        <f t="shared" si="181"/>
        <v>22.239837024173998</v>
      </c>
      <c r="AN207">
        <f t="shared" si="196"/>
        <v>615.79243940592096</v>
      </c>
      <c r="AO207">
        <f t="shared" si="197"/>
        <v>-781.66973713422431</v>
      </c>
      <c r="AQ207">
        <f t="shared" si="182"/>
        <v>0.33411293017039762</v>
      </c>
      <c r="AR207">
        <f t="shared" si="183"/>
        <v>-57.801536919478785</v>
      </c>
      <c r="AT207">
        <f t="shared" si="156"/>
        <v>-132928.75421854295</v>
      </c>
      <c r="AU207">
        <f t="shared" si="157"/>
        <v>-254994.48813245803</v>
      </c>
      <c r="AV207">
        <f t="shared" si="198"/>
        <v>-2.051338767290745</v>
      </c>
      <c r="AW207">
        <f t="shared" si="199"/>
        <v>-39696.05756939562</v>
      </c>
      <c r="AX207">
        <f t="shared" si="200"/>
        <v>-40415.895881263488</v>
      </c>
      <c r="AY207">
        <f t="shared" si="208"/>
        <v>-2.3472093274400443</v>
      </c>
      <c r="BA207">
        <f t="shared" si="184"/>
        <v>5.0761275954676117</v>
      </c>
      <c r="BB207">
        <f t="shared" si="201"/>
        <v>14.110650603012209</v>
      </c>
      <c r="BC207">
        <f t="shared" si="202"/>
        <v>0.29587056014929924</v>
      </c>
      <c r="BD207">
        <f t="shared" si="185"/>
        <v>-163.04786560190294</v>
      </c>
      <c r="BF207">
        <f t="shared" si="186"/>
        <v>-12.464610377511606</v>
      </c>
      <c r="BG207">
        <f t="shared" si="187"/>
        <v>-126.30343430534617</v>
      </c>
      <c r="BH207">
        <f t="shared" si="203"/>
        <v>53.696565694653827</v>
      </c>
      <c r="BI207">
        <f t="shared" si="204"/>
        <v>53.696565694653827</v>
      </c>
      <c r="BJ207">
        <f t="shared" si="188"/>
        <v>0</v>
      </c>
      <c r="BK207">
        <f t="shared" si="205"/>
        <v>0</v>
      </c>
      <c r="BM207">
        <f t="shared" si="206"/>
        <v>-26.575260980523815</v>
      </c>
      <c r="BN207">
        <f t="shared" si="189"/>
        <v>-143.25556870344323</v>
      </c>
      <c r="BQ207" s="56">
        <f t="shared" si="207"/>
        <v>31.012611403297345</v>
      </c>
      <c r="BR207" s="59"/>
      <c r="BS207" s="59"/>
      <c r="BT207" s="59">
        <v>9332.5429999999997</v>
      </c>
      <c r="BU207" s="59">
        <v>-1.99203</v>
      </c>
      <c r="BV207" s="59">
        <v>-215.83600000000001</v>
      </c>
      <c r="BW207" s="61"/>
      <c r="BY207" s="59"/>
      <c r="BZ207" s="59"/>
      <c r="CA207" s="59"/>
      <c r="CC207" s="59"/>
    </row>
    <row r="208" spans="1:81" x14ac:dyDescent="0.25">
      <c r="A208">
        <f t="shared" si="190"/>
        <v>87000</v>
      </c>
      <c r="B208">
        <f t="shared" si="191"/>
        <v>87</v>
      </c>
      <c r="C208">
        <f t="shared" si="159"/>
        <v>1.2331464943417785</v>
      </c>
      <c r="D208">
        <f t="shared" si="160"/>
        <v>0.62505034796200698</v>
      </c>
      <c r="F208">
        <f t="shared" si="161"/>
        <v>2.5116938732739516E-3</v>
      </c>
      <c r="G208">
        <f t="shared" si="162"/>
        <v>1.8883703142599552E-2</v>
      </c>
      <c r="H208">
        <f t="shared" si="163"/>
        <v>-3.1227089468574007</v>
      </c>
      <c r="J208">
        <f t="shared" si="164"/>
        <v>15</v>
      </c>
      <c r="M208">
        <f t="shared" si="165"/>
        <v>2.0954950332945765E-2</v>
      </c>
      <c r="N208">
        <f t="shared" si="166"/>
        <v>-1.5707963250000001</v>
      </c>
      <c r="O208">
        <f t="shared" si="167"/>
        <v>14.422199572609383</v>
      </c>
      <c r="P208">
        <f t="shared" si="168"/>
        <v>1.5014030961611187</v>
      </c>
      <c r="Q208">
        <f t="shared" si="169"/>
        <v>22.390732808991057</v>
      </c>
      <c r="R208">
        <f t="shared" si="170"/>
        <v>1.5261201321205635</v>
      </c>
      <c r="S208">
        <f t="shared" si="171"/>
        <v>0.81093366002209977</v>
      </c>
      <c r="T208">
        <f t="shared" si="172"/>
        <v>-0.62505034796200687</v>
      </c>
      <c r="U208">
        <f t="shared" si="173"/>
        <v>0.91363193587111435</v>
      </c>
      <c r="V208">
        <f t="shared" si="174"/>
        <v>-0.41866635489037868</v>
      </c>
      <c r="X208">
        <f t="shared" si="192"/>
        <v>-12.655686371187835</v>
      </c>
      <c r="Y208">
        <f t="shared" si="175"/>
        <v>-119.44155513729555</v>
      </c>
      <c r="Z208">
        <f t="shared" si="193"/>
        <v>60.558444862704448</v>
      </c>
      <c r="AC208">
        <v>1</v>
      </c>
      <c r="AD208">
        <f t="shared" si="176"/>
        <v>14.387489027352</v>
      </c>
      <c r="AE208">
        <f t="shared" si="177"/>
        <v>-1.1797103372654303E-3</v>
      </c>
      <c r="AF208">
        <f t="shared" si="178"/>
        <v>2.651190037335E-3</v>
      </c>
      <c r="AG208">
        <f t="shared" si="194"/>
        <v>4389.7805448056242</v>
      </c>
      <c r="AH208">
        <f t="shared" si="195"/>
        <v>-2330.526820040679</v>
      </c>
      <c r="AJ208">
        <f t="shared" si="179"/>
        <v>18000</v>
      </c>
      <c r="AK208">
        <f t="shared" si="180"/>
        <v>12988.097997336001</v>
      </c>
      <c r="AL208">
        <v>1</v>
      </c>
      <c r="AM208">
        <f t="shared" si="181"/>
        <v>22.368390995411996</v>
      </c>
      <c r="AN208">
        <f t="shared" si="196"/>
        <v>615.39041209947277</v>
      </c>
      <c r="AO208">
        <f t="shared" si="197"/>
        <v>-777.19535533272381</v>
      </c>
      <c r="AQ208">
        <f t="shared" si="182"/>
        <v>0.33028371371007698</v>
      </c>
      <c r="AR208">
        <f t="shared" si="183"/>
        <v>-57.46936618555339</v>
      </c>
      <c r="AT208">
        <f t="shared" si="156"/>
        <v>-132484.02620546042</v>
      </c>
      <c r="AU208">
        <f t="shared" si="157"/>
        <v>-253047.64065667643</v>
      </c>
      <c r="AV208">
        <f t="shared" si="198"/>
        <v>-2.0531088491558496</v>
      </c>
      <c r="AW208">
        <f t="shared" si="199"/>
        <v>-39190.690139519866</v>
      </c>
      <c r="AX208">
        <f t="shared" si="200"/>
        <v>-40177.553938866789</v>
      </c>
      <c r="AY208">
        <f t="shared" si="208"/>
        <v>-2.3437611428529088</v>
      </c>
      <c r="BA208">
        <f t="shared" si="184"/>
        <v>5.0890902148620087</v>
      </c>
      <c r="BB208">
        <f t="shared" si="201"/>
        <v>14.132802994551692</v>
      </c>
      <c r="BC208">
        <f t="shared" si="202"/>
        <v>0.29065229369705925</v>
      </c>
      <c r="BD208">
        <f t="shared" si="185"/>
        <v>-163.34685024633265</v>
      </c>
      <c r="BF208">
        <f t="shared" si="186"/>
        <v>-12.52574424734285</v>
      </c>
      <c r="BG208">
        <f t="shared" si="187"/>
        <v>-126.45214679111888</v>
      </c>
      <c r="BH208">
        <f t="shared" si="203"/>
        <v>53.547853208881122</v>
      </c>
      <c r="BI208">
        <f t="shared" si="204"/>
        <v>53.547853208881122</v>
      </c>
      <c r="BJ208">
        <f t="shared" si="188"/>
        <v>0</v>
      </c>
      <c r="BK208">
        <f t="shared" si="205"/>
        <v>0</v>
      </c>
      <c r="BM208">
        <f t="shared" si="206"/>
        <v>-26.658547241894542</v>
      </c>
      <c r="BN208">
        <f t="shared" si="189"/>
        <v>-143.10529654478626</v>
      </c>
      <c r="BQ208" s="56">
        <f t="shared" si="207"/>
        <v>31.034763794836827</v>
      </c>
      <c r="BR208" s="59"/>
      <c r="BS208" s="59"/>
      <c r="BT208" s="59">
        <v>9549.9259999999995</v>
      </c>
      <c r="BU208" s="59">
        <v>-2.1278299999999999</v>
      </c>
      <c r="BV208" s="59">
        <v>-215.499</v>
      </c>
      <c r="BW208" s="61"/>
      <c r="BY208" s="59"/>
      <c r="BZ208" s="59"/>
      <c r="CA208" s="59"/>
      <c r="CC208" s="59"/>
    </row>
    <row r="209" spans="1:81" x14ac:dyDescent="0.25">
      <c r="A209">
        <f t="shared" si="190"/>
        <v>87500</v>
      </c>
      <c r="B209">
        <f t="shared" si="191"/>
        <v>87.5</v>
      </c>
      <c r="C209">
        <f t="shared" si="159"/>
        <v>1.2355775812319332</v>
      </c>
      <c r="D209">
        <f t="shared" si="160"/>
        <v>0.62777204416397991</v>
      </c>
      <c r="F209">
        <f t="shared" si="161"/>
        <v>2.483004382790394E-3</v>
      </c>
      <c r="G209">
        <f t="shared" si="162"/>
        <v>1.8775281162288278E-2</v>
      </c>
      <c r="H209">
        <f t="shared" si="163"/>
        <v>-3.1228173688377119</v>
      </c>
      <c r="J209">
        <f t="shared" si="164"/>
        <v>15</v>
      </c>
      <c r="M209">
        <f t="shared" si="165"/>
        <v>2.0835207759614647E-2</v>
      </c>
      <c r="N209">
        <f t="shared" si="166"/>
        <v>-1.5707963250000001</v>
      </c>
      <c r="O209">
        <f t="shared" si="167"/>
        <v>14.504688418481544</v>
      </c>
      <c r="P209">
        <f t="shared" si="168"/>
        <v>1.5017983679902962</v>
      </c>
      <c r="Q209">
        <f t="shared" si="169"/>
        <v>22.519159239023082</v>
      </c>
      <c r="R209">
        <f t="shared" si="170"/>
        <v>1.5263750879947113</v>
      </c>
      <c r="S209">
        <f t="shared" si="171"/>
        <v>0.80933809029049375</v>
      </c>
      <c r="T209">
        <f t="shared" si="172"/>
        <v>-0.62777204416397991</v>
      </c>
      <c r="U209">
        <f t="shared" si="173"/>
        <v>0.91276285581676331</v>
      </c>
      <c r="V209">
        <f t="shared" si="174"/>
        <v>-0.42079898156572371</v>
      </c>
      <c r="X209">
        <f t="shared" si="192"/>
        <v>-12.714297699980385</v>
      </c>
      <c r="Y209">
        <f t="shared" si="175"/>
        <v>-119.53270246392928</v>
      </c>
      <c r="Z209">
        <f t="shared" si="193"/>
        <v>60.467297536070717</v>
      </c>
      <c r="AC209">
        <v>1</v>
      </c>
      <c r="AD209">
        <f t="shared" si="176"/>
        <v>14.470175745900001</v>
      </c>
      <c r="AE209">
        <f t="shared" si="177"/>
        <v>-1.1933091913976022E-3</v>
      </c>
      <c r="AF209">
        <f t="shared" si="178"/>
        <v>2.6664267616874999E-3</v>
      </c>
      <c r="AG209">
        <f t="shared" si="194"/>
        <v>4381.4330778498934</v>
      </c>
      <c r="AH209">
        <f t="shared" si="195"/>
        <v>-2335.8617805613376</v>
      </c>
      <c r="AJ209">
        <f t="shared" si="179"/>
        <v>18000</v>
      </c>
      <c r="AK209">
        <f t="shared" si="180"/>
        <v>13062.742238700001</v>
      </c>
      <c r="AL209">
        <v>1</v>
      </c>
      <c r="AM209">
        <f t="shared" si="181"/>
        <v>22.496944966649998</v>
      </c>
      <c r="AN209">
        <f t="shared" si="196"/>
        <v>614.99523885873498</v>
      </c>
      <c r="AO209">
        <f t="shared" si="197"/>
        <v>-772.77180465673041</v>
      </c>
      <c r="AQ209">
        <f t="shared" si="182"/>
        <v>0.32651995036896753</v>
      </c>
      <c r="AR209">
        <f t="shared" si="183"/>
        <v>-57.14099131456932</v>
      </c>
      <c r="AT209">
        <f t="shared" si="156"/>
        <v>-132042.83240396532</v>
      </c>
      <c r="AU209">
        <f t="shared" si="157"/>
        <v>-251122.13491944515</v>
      </c>
      <c r="AV209">
        <f t="shared" si="198"/>
        <v>-2.0548790436460234</v>
      </c>
      <c r="AW209">
        <f t="shared" si="199"/>
        <v>-38694.104117133436</v>
      </c>
      <c r="AX209">
        <f t="shared" si="200"/>
        <v>-39942.416378301619</v>
      </c>
      <c r="AY209">
        <f t="shared" si="208"/>
        <v>-2.3403213639201699</v>
      </c>
      <c r="BA209">
        <f t="shared" si="184"/>
        <v>5.101848513931146</v>
      </c>
      <c r="BB209">
        <f t="shared" si="201"/>
        <v>14.154551184493442</v>
      </c>
      <c r="BC209">
        <f t="shared" si="202"/>
        <v>0.28544232027414651</v>
      </c>
      <c r="BD209">
        <f t="shared" si="185"/>
        <v>-163.64535973518198</v>
      </c>
      <c r="BF209">
        <f t="shared" si="186"/>
        <v>-12.586673517602613</v>
      </c>
      <c r="BG209">
        <f t="shared" si="187"/>
        <v>-126.60092669618557</v>
      </c>
      <c r="BH209">
        <f t="shared" si="203"/>
        <v>53.399073303814433</v>
      </c>
      <c r="BI209">
        <f t="shared" si="204"/>
        <v>53.399073303814433</v>
      </c>
      <c r="BJ209">
        <f t="shared" si="188"/>
        <v>0</v>
      </c>
      <c r="BK209">
        <f t="shared" si="205"/>
        <v>0</v>
      </c>
      <c r="BM209">
        <f t="shared" si="206"/>
        <v>-26.741224702096055</v>
      </c>
      <c r="BN209">
        <f t="shared" si="189"/>
        <v>-142.9555669610036</v>
      </c>
      <c r="BQ209" s="56">
        <f t="shared" si="207"/>
        <v>31.056511984778581</v>
      </c>
      <c r="BR209" s="59"/>
      <c r="BS209" s="59"/>
      <c r="BT209" s="59">
        <v>9772.3719999999994</v>
      </c>
      <c r="BU209" s="59">
        <v>-1.9944299999999999</v>
      </c>
      <c r="BV209" s="59">
        <v>-212.98699999999999</v>
      </c>
      <c r="BW209" s="61"/>
      <c r="BY209" s="59"/>
      <c r="BZ209" s="59"/>
      <c r="CA209" s="59"/>
      <c r="CC209" s="59"/>
    </row>
    <row r="210" spans="1:81" x14ac:dyDescent="0.25">
      <c r="A210">
        <f t="shared" si="190"/>
        <v>88000</v>
      </c>
      <c r="B210">
        <f t="shared" si="191"/>
        <v>88</v>
      </c>
      <c r="C210">
        <f t="shared" si="159"/>
        <v>1.2380177848382585</v>
      </c>
      <c r="D210">
        <f t="shared" si="160"/>
        <v>0.6304830311454962</v>
      </c>
      <c r="F210">
        <f t="shared" si="161"/>
        <v>2.454804023001066E-3</v>
      </c>
      <c r="G210">
        <f t="shared" si="162"/>
        <v>1.8668099981445072E-2</v>
      </c>
      <c r="H210">
        <f t="shared" si="163"/>
        <v>-3.122924550018555</v>
      </c>
      <c r="J210">
        <f t="shared" si="164"/>
        <v>15</v>
      </c>
      <c r="M210">
        <f t="shared" si="165"/>
        <v>2.071682589734411E-2</v>
      </c>
      <c r="N210">
        <f t="shared" si="166"/>
        <v>-1.5707963250000001</v>
      </c>
      <c r="O210">
        <f t="shared" si="167"/>
        <v>14.587179504933076</v>
      </c>
      <c r="P210">
        <f t="shared" si="168"/>
        <v>1.5021891693237934</v>
      </c>
      <c r="Q210">
        <f t="shared" si="169"/>
        <v>22.647587116255252</v>
      </c>
      <c r="R210">
        <f t="shared" si="170"/>
        <v>1.5266271523239232</v>
      </c>
      <c r="S210">
        <f t="shared" si="171"/>
        <v>0.80774283879180753</v>
      </c>
      <c r="T210">
        <f t="shared" si="172"/>
        <v>-0.63048303114549598</v>
      </c>
      <c r="U210">
        <f t="shared" si="173"/>
        <v>0.91189129205045472</v>
      </c>
      <c r="V210">
        <f t="shared" si="174"/>
        <v>-0.42292754517265996</v>
      </c>
      <c r="X210">
        <f t="shared" si="192"/>
        <v>-12.77264727293856</v>
      </c>
      <c r="Y210">
        <f t="shared" si="175"/>
        <v>-119.6239677151745</v>
      </c>
      <c r="Z210">
        <f t="shared" si="193"/>
        <v>60.376032284825499</v>
      </c>
      <c r="AC210">
        <v>1</v>
      </c>
      <c r="AD210">
        <f t="shared" si="176"/>
        <v>14.552862464448001</v>
      </c>
      <c r="AE210">
        <f t="shared" si="177"/>
        <v>-1.2069859759259471E-3</v>
      </c>
      <c r="AF210">
        <f t="shared" si="178"/>
        <v>2.6816634860399998E-3</v>
      </c>
      <c r="AG210">
        <f t="shared" si="194"/>
        <v>4373.0697332563459</v>
      </c>
      <c r="AH210">
        <f t="shared" si="195"/>
        <v>-2341.1713932301291</v>
      </c>
      <c r="AJ210">
        <f t="shared" si="179"/>
        <v>18000</v>
      </c>
      <c r="AK210">
        <f t="shared" si="180"/>
        <v>13137.386480064002</v>
      </c>
      <c r="AL210">
        <v>1</v>
      </c>
      <c r="AM210">
        <f t="shared" si="181"/>
        <v>22.625498937888</v>
      </c>
      <c r="AN210">
        <f t="shared" si="196"/>
        <v>614.60676486065199</v>
      </c>
      <c r="AO210">
        <f t="shared" si="197"/>
        <v>-768.39822550946144</v>
      </c>
      <c r="AQ210">
        <f t="shared" si="182"/>
        <v>0.32282015689059623</v>
      </c>
      <c r="AR210">
        <f t="shared" si="183"/>
        <v>-56.816347612744941</v>
      </c>
      <c r="AT210">
        <f t="shared" si="156"/>
        <v>-131605.09264139406</v>
      </c>
      <c r="AU210">
        <f t="shared" si="157"/>
        <v>-249217.62741593667</v>
      </c>
      <c r="AV210">
        <f t="shared" si="198"/>
        <v>-2.056649272397812</v>
      </c>
      <c r="AW210">
        <f t="shared" si="199"/>
        <v>-38206.101243692901</v>
      </c>
      <c r="AX210">
        <f t="shared" si="200"/>
        <v>-39710.417793300643</v>
      </c>
      <c r="AY210">
        <f t="shared" si="208"/>
        <v>-2.336890115485752</v>
      </c>
      <c r="BA210">
        <f t="shared" si="184"/>
        <v>5.1144032603476948</v>
      </c>
      <c r="BB210">
        <f t="shared" si="201"/>
        <v>14.17589936562926</v>
      </c>
      <c r="BC210">
        <f t="shared" si="202"/>
        <v>0.28024084308793995</v>
      </c>
      <c r="BD210">
        <f t="shared" si="185"/>
        <v>-163.94338242552573</v>
      </c>
      <c r="BF210">
        <f t="shared" si="186"/>
        <v>-12.64740125394647</v>
      </c>
      <c r="BG210">
        <f t="shared" si="187"/>
        <v>-126.74976230330859</v>
      </c>
      <c r="BH210">
        <f t="shared" si="203"/>
        <v>53.250237696691414</v>
      </c>
      <c r="BI210">
        <f t="shared" si="204"/>
        <v>53.250237696691414</v>
      </c>
      <c r="BJ210">
        <f t="shared" si="188"/>
        <v>0</v>
      </c>
      <c r="BK210">
        <f t="shared" si="205"/>
        <v>0</v>
      </c>
      <c r="BM210">
        <f t="shared" si="206"/>
        <v>-26.823300619575726</v>
      </c>
      <c r="BN210">
        <f t="shared" si="189"/>
        <v>-142.80637987778286</v>
      </c>
      <c r="BQ210" s="56">
        <f t="shared" si="207"/>
        <v>31.077860165914398</v>
      </c>
      <c r="BR210" s="59"/>
      <c r="BS210" s="59"/>
      <c r="BT210" s="59">
        <v>10000</v>
      </c>
      <c r="BU210" s="59">
        <v>-2.2209699999999999</v>
      </c>
      <c r="BV210" s="59">
        <v>-213.047</v>
      </c>
      <c r="BW210" s="61"/>
      <c r="BY210" s="59"/>
      <c r="BZ210" s="59"/>
      <c r="CA210" s="59"/>
      <c r="CC210" s="59"/>
    </row>
    <row r="211" spans="1:81" x14ac:dyDescent="0.25">
      <c r="A211">
        <f t="shared" si="190"/>
        <v>88500</v>
      </c>
      <c r="B211">
        <f t="shared" si="191"/>
        <v>88.5</v>
      </c>
      <c r="C211">
        <f t="shared" si="159"/>
        <v>1.2404670513584959</v>
      </c>
      <c r="D211">
        <f t="shared" si="160"/>
        <v>0.6331833323759265</v>
      </c>
      <c r="F211">
        <f t="shared" si="161"/>
        <v>2.427081729503686E-3</v>
      </c>
      <c r="G211">
        <f t="shared" si="162"/>
        <v>1.8562138373193874E-2</v>
      </c>
      <c r="H211">
        <f t="shared" si="163"/>
        <v>-3.1230305116268062</v>
      </c>
      <c r="J211">
        <f t="shared" si="164"/>
        <v>15</v>
      </c>
      <c r="M211">
        <f t="shared" si="165"/>
        <v>2.059978168323482E-2</v>
      </c>
      <c r="N211">
        <f t="shared" si="166"/>
        <v>-1.5707963250000001</v>
      </c>
      <c r="O211">
        <f t="shared" si="167"/>
        <v>14.669672794166029</v>
      </c>
      <c r="P211">
        <f t="shared" si="168"/>
        <v>1.5025755754592411</v>
      </c>
      <c r="Q211">
        <f t="shared" si="169"/>
        <v>22.776016416206442</v>
      </c>
      <c r="R211">
        <f t="shared" si="170"/>
        <v>1.5268763739903872</v>
      </c>
      <c r="S211">
        <f t="shared" si="171"/>
        <v>0.80614797378523795</v>
      </c>
      <c r="T211">
        <f t="shared" si="172"/>
        <v>-0.63318333237592639</v>
      </c>
      <c r="U211">
        <f t="shared" si="173"/>
        <v>0.91101727533926857</v>
      </c>
      <c r="V211">
        <f t="shared" si="174"/>
        <v>-0.42505203807859304</v>
      </c>
      <c r="X211">
        <f t="shared" si="192"/>
        <v>-12.830738311018273</v>
      </c>
      <c r="Y211">
        <f t="shared" si="175"/>
        <v>-119.7153445549469</v>
      </c>
      <c r="Z211">
        <f t="shared" si="193"/>
        <v>60.284655445053104</v>
      </c>
      <c r="AC211">
        <v>1</v>
      </c>
      <c r="AD211">
        <f t="shared" si="176"/>
        <v>14.635549182996002</v>
      </c>
      <c r="AE211">
        <f t="shared" si="177"/>
        <v>-1.2207406908504646E-3</v>
      </c>
      <c r="AF211">
        <f t="shared" si="178"/>
        <v>2.6969002103925002E-3</v>
      </c>
      <c r="AG211">
        <f t="shared" si="194"/>
        <v>4364.6908741405205</v>
      </c>
      <c r="AH211">
        <f t="shared" si="195"/>
        <v>-2346.4552854649496</v>
      </c>
      <c r="AJ211">
        <f t="shared" si="179"/>
        <v>18000</v>
      </c>
      <c r="AK211">
        <f t="shared" si="180"/>
        <v>13212.030721428</v>
      </c>
      <c r="AL211">
        <v>1</v>
      </c>
      <c r="AM211">
        <f t="shared" si="181"/>
        <v>22.754052909125999</v>
      </c>
      <c r="AN211">
        <f t="shared" si="196"/>
        <v>614.22483962633828</v>
      </c>
      <c r="AO211">
        <f t="shared" si="197"/>
        <v>-764.07377752913294</v>
      </c>
      <c r="AQ211">
        <f t="shared" si="182"/>
        <v>0.31918289179699966</v>
      </c>
      <c r="AR211">
        <f t="shared" si="183"/>
        <v>-56.495371848068942</v>
      </c>
      <c r="AT211">
        <f t="shared" si="156"/>
        <v>-131170.72922220093</v>
      </c>
      <c r="AU211">
        <f t="shared" si="157"/>
        <v>-247333.78231992884</v>
      </c>
      <c r="AV211">
        <f t="shared" si="198"/>
        <v>-2.0584194588055604</v>
      </c>
      <c r="AW211">
        <f t="shared" si="199"/>
        <v>-37726.488811213465</v>
      </c>
      <c r="AX211">
        <f t="shared" si="200"/>
        <v>-39481.49453657322</v>
      </c>
      <c r="AY211">
        <f t="shared" si="208"/>
        <v>-2.3334675197871979</v>
      </c>
      <c r="BA211">
        <f t="shared" si="184"/>
        <v>5.1267552434617834</v>
      </c>
      <c r="BB211">
        <f t="shared" si="201"/>
        <v>14.196851685452156</v>
      </c>
      <c r="BC211">
        <f t="shared" si="202"/>
        <v>0.27504806098163748</v>
      </c>
      <c r="BD211">
        <f t="shared" si="185"/>
        <v>-164.24090692448789</v>
      </c>
      <c r="BF211">
        <f t="shared" si="186"/>
        <v>-12.707930448249932</v>
      </c>
      <c r="BG211">
        <f t="shared" si="187"/>
        <v>-126.89864209112646</v>
      </c>
      <c r="BH211">
        <f t="shared" si="203"/>
        <v>53.101357908873538</v>
      </c>
      <c r="BI211">
        <f t="shared" si="204"/>
        <v>53.101357908873538</v>
      </c>
      <c r="BJ211">
        <f t="shared" si="188"/>
        <v>0</v>
      </c>
      <c r="BK211">
        <f t="shared" si="205"/>
        <v>0</v>
      </c>
      <c r="BM211">
        <f t="shared" si="206"/>
        <v>-26.904782133702088</v>
      </c>
      <c r="BN211">
        <f t="shared" si="189"/>
        <v>-142.65773516663859</v>
      </c>
      <c r="BQ211" s="56">
        <f t="shared" si="207"/>
        <v>31.098812485737291</v>
      </c>
      <c r="BR211" s="59"/>
      <c r="BS211" s="59"/>
      <c r="BT211" s="59">
        <v>10232.93</v>
      </c>
      <c r="BU211" s="59">
        <v>-2.4867400000000002</v>
      </c>
      <c r="BV211" s="59">
        <v>-211.715</v>
      </c>
      <c r="BW211" s="61"/>
      <c r="BY211" s="59"/>
      <c r="BZ211" s="59"/>
      <c r="CA211" s="59"/>
      <c r="CC211" s="59"/>
    </row>
    <row r="212" spans="1:81" x14ac:dyDescent="0.25">
      <c r="A212">
        <f t="shared" si="190"/>
        <v>89000</v>
      </c>
      <c r="B212">
        <f t="shared" si="191"/>
        <v>89</v>
      </c>
      <c r="C212">
        <f t="shared" si="159"/>
        <v>1.2429253272154333</v>
      </c>
      <c r="D212">
        <f t="shared" si="160"/>
        <v>0.63587297176332558</v>
      </c>
      <c r="F212">
        <f t="shared" si="161"/>
        <v>2.3998267492184159E-3</v>
      </c>
      <c r="G212">
        <f t="shared" si="162"/>
        <v>1.8457375593160897E-2</v>
      </c>
      <c r="H212">
        <f t="shared" si="163"/>
        <v>-3.1231352744068395</v>
      </c>
      <c r="J212">
        <f t="shared" si="164"/>
        <v>15</v>
      </c>
      <c r="M212">
        <f t="shared" si="165"/>
        <v>2.048405257265485E-2</v>
      </c>
      <c r="N212">
        <f t="shared" si="166"/>
        <v>-1.5707963250000001</v>
      </c>
      <c r="O212">
        <f t="shared" si="167"/>
        <v>14.752168249226917</v>
      </c>
      <c r="P212">
        <f t="shared" si="168"/>
        <v>1.5029576600153036</v>
      </c>
      <c r="Q212">
        <f t="shared" si="169"/>
        <v>22.904447114944332</v>
      </c>
      <c r="R212">
        <f t="shared" si="170"/>
        <v>1.5271228007813447</v>
      </c>
      <c r="S212">
        <f t="shared" si="171"/>
        <v>0.80455356255418264</v>
      </c>
      <c r="T212">
        <f t="shared" si="172"/>
        <v>-0.63587297176332558</v>
      </c>
      <c r="U212">
        <f t="shared" si="173"/>
        <v>0.91014083636449383</v>
      </c>
      <c r="V212">
        <f t="shared" si="174"/>
        <v>-0.42717245282707667</v>
      </c>
      <c r="X212">
        <f t="shared" si="192"/>
        <v>-12.888573974958639</v>
      </c>
      <c r="Y212">
        <f t="shared" si="175"/>
        <v>-119.80682678854248</v>
      </c>
      <c r="Z212">
        <f t="shared" si="193"/>
        <v>60.19317321145752</v>
      </c>
      <c r="AC212">
        <v>1</v>
      </c>
      <c r="AD212">
        <f t="shared" si="176"/>
        <v>14.718235901543999</v>
      </c>
      <c r="AE212">
        <f t="shared" si="177"/>
        <v>-1.2345733361711552E-3</v>
      </c>
      <c r="AF212">
        <f t="shared" si="178"/>
        <v>2.7121369347449997E-3</v>
      </c>
      <c r="AG212">
        <f t="shared" si="194"/>
        <v>4356.2968618568138</v>
      </c>
      <c r="AH212">
        <f t="shared" si="195"/>
        <v>-2351.7130969252435</v>
      </c>
      <c r="AJ212">
        <f t="shared" si="179"/>
        <v>18000</v>
      </c>
      <c r="AK212">
        <f t="shared" si="180"/>
        <v>13286.674962792</v>
      </c>
      <c r="AL212">
        <v>1</v>
      </c>
      <c r="AM212">
        <f t="shared" si="181"/>
        <v>22.882606880363998</v>
      </c>
      <c r="AN212">
        <f t="shared" si="196"/>
        <v>613.84931687571611</v>
      </c>
      <c r="AO212">
        <f t="shared" si="197"/>
        <v>-759.7976390550009</v>
      </c>
      <c r="AQ212">
        <f t="shared" si="182"/>
        <v>0.31560675398453525</v>
      </c>
      <c r="AR212">
        <f t="shared" si="183"/>
        <v>-56.178002209247275</v>
      </c>
      <c r="AT212">
        <f t="shared" si="156"/>
        <v>-130739.66684261843</v>
      </c>
      <c r="AU212">
        <f t="shared" si="157"/>
        <v>-245470.27126635253</v>
      </c>
      <c r="AV212">
        <f t="shared" si="198"/>
        <v>-2.0601895279766107</v>
      </c>
      <c r="AW212">
        <f t="shared" si="199"/>
        <v>-37255.079476754123</v>
      </c>
      <c r="AX212">
        <f t="shared" si="200"/>
        <v>-39255.584661241141</v>
      </c>
      <c r="AY212">
        <f t="shared" si="208"/>
        <v>-2.3300536964813152</v>
      </c>
      <c r="BA212">
        <f t="shared" si="184"/>
        <v>5.1389052738863494</v>
      </c>
      <c r="BB212">
        <f t="shared" si="201"/>
        <v>14.217412247038315</v>
      </c>
      <c r="BC212">
        <f t="shared" si="202"/>
        <v>0.26986416850470452</v>
      </c>
      <c r="BD212">
        <f t="shared" si="185"/>
        <v>-164.53792208520517</v>
      </c>
      <c r="BF212">
        <f t="shared" si="186"/>
        <v>-12.768264020318956</v>
      </c>
      <c r="BG212">
        <f t="shared" si="187"/>
        <v>-127.04755473151036</v>
      </c>
      <c r="BH212">
        <f t="shared" si="203"/>
        <v>52.95244526848964</v>
      </c>
      <c r="BI212">
        <f t="shared" si="204"/>
        <v>52.95244526848964</v>
      </c>
      <c r="BJ212">
        <f t="shared" si="188"/>
        <v>0</v>
      </c>
      <c r="BK212">
        <f t="shared" si="205"/>
        <v>0</v>
      </c>
      <c r="BM212">
        <f t="shared" si="206"/>
        <v>-26.98567626735727</v>
      </c>
      <c r="BN212">
        <f t="shared" si="189"/>
        <v>-142.50963264630522</v>
      </c>
      <c r="BQ212" s="56">
        <f t="shared" si="207"/>
        <v>31.11937304732345</v>
      </c>
      <c r="BR212" s="59"/>
      <c r="BS212" s="59"/>
      <c r="BT212" s="59">
        <v>10471.285</v>
      </c>
      <c r="BU212" s="59">
        <v>-2.3517399999999999</v>
      </c>
      <c r="BV212" s="59">
        <v>-211.89099999999999</v>
      </c>
      <c r="BW212" s="61"/>
      <c r="BY212" s="59"/>
      <c r="BZ212" s="59"/>
      <c r="CA212" s="59"/>
      <c r="CC212" s="59"/>
    </row>
    <row r="213" spans="1:81" x14ac:dyDescent="0.25">
      <c r="A213">
        <f t="shared" si="190"/>
        <v>89500</v>
      </c>
      <c r="B213">
        <f t="shared" si="191"/>
        <v>89.5</v>
      </c>
      <c r="C213">
        <f t="shared" si="159"/>
        <v>1.245392559058581</v>
      </c>
      <c r="D213">
        <f t="shared" si="160"/>
        <v>0.63855197364436334</v>
      </c>
      <c r="F213">
        <f t="shared" si="161"/>
        <v>2.3730286299274072E-3</v>
      </c>
      <c r="G213">
        <f t="shared" si="162"/>
        <v>1.8353791365813384E-2</v>
      </c>
      <c r="H213">
        <f t="shared" si="163"/>
        <v>-3.123238858634187</v>
      </c>
      <c r="J213">
        <f t="shared" si="164"/>
        <v>15</v>
      </c>
      <c r="M213">
        <f t="shared" si="165"/>
        <v>2.0369616524762924E-2</v>
      </c>
      <c r="N213">
        <f t="shared" si="166"/>
        <v>-1.5707963250000001</v>
      </c>
      <c r="O213">
        <f t="shared" si="167"/>
        <v>14.834665833983287</v>
      </c>
      <c r="P213">
        <f t="shared" si="168"/>
        <v>1.5033354949781434</v>
      </c>
      <c r="Q213">
        <f t="shared" si="169"/>
        <v>23.032879189070144</v>
      </c>
      <c r="R213">
        <f t="shared" si="170"/>
        <v>1.5273664794195607</v>
      </c>
      <c r="S213">
        <f t="shared" si="171"/>
        <v>0.80295967141149571</v>
      </c>
      <c r="T213">
        <f t="shared" si="172"/>
        <v>-0.63855197364436322</v>
      </c>
      <c r="U213">
        <f t="shared" si="173"/>
        <v>0.90926200571971261</v>
      </c>
      <c r="V213">
        <f t="shared" si="174"/>
        <v>-0.42928878213695049</v>
      </c>
      <c r="X213">
        <f t="shared" si="192"/>
        <v>-12.946157366714379</v>
      </c>
      <c r="Y213">
        <f t="shared" si="175"/>
        <v>-119.89840835896337</v>
      </c>
      <c r="Z213">
        <f t="shared" si="193"/>
        <v>60.101591641036634</v>
      </c>
      <c r="AC213">
        <v>1</v>
      </c>
      <c r="AD213">
        <f t="shared" si="176"/>
        <v>14.800922620091999</v>
      </c>
      <c r="AE213">
        <f t="shared" si="177"/>
        <v>-1.2484839118880188E-3</v>
      </c>
      <c r="AF213">
        <f t="shared" si="178"/>
        <v>2.7273736590975001E-3</v>
      </c>
      <c r="AG213">
        <f t="shared" si="194"/>
        <v>4347.8880559762119</v>
      </c>
      <c r="AH213">
        <f t="shared" si="195"/>
        <v>-2356.9444792187064</v>
      </c>
      <c r="AJ213">
        <f t="shared" si="179"/>
        <v>18000</v>
      </c>
      <c r="AK213">
        <f t="shared" si="180"/>
        <v>13361.319204156001</v>
      </c>
      <c r="AL213">
        <v>1</v>
      </c>
      <c r="AM213">
        <f t="shared" si="181"/>
        <v>23.011160851602</v>
      </c>
      <c r="AN213">
        <f t="shared" si="196"/>
        <v>613.48005438779353</v>
      </c>
      <c r="AO213">
        <f t="shared" si="197"/>
        <v>-755.56900661105874</v>
      </c>
      <c r="AQ213">
        <f t="shared" si="182"/>
        <v>0.31209038137444606</v>
      </c>
      <c r="AR213">
        <f t="shared" si="183"/>
        <v>-55.864178266025839</v>
      </c>
      <c r="AT213">
        <f t="shared" si="156"/>
        <v>-130311.83250863623</v>
      </c>
      <c r="AU213">
        <f t="shared" si="157"/>
        <v>-243626.7731411774</v>
      </c>
      <c r="AV213">
        <f t="shared" si="198"/>
        <v>-2.0619594066879445</v>
      </c>
      <c r="AW213">
        <f t="shared" si="199"/>
        <v>-36791.691084095037</v>
      </c>
      <c r="AX213">
        <f t="shared" si="200"/>
        <v>-39032.627864591392</v>
      </c>
      <c r="AY213">
        <f t="shared" si="208"/>
        <v>-2.3266487626692873</v>
      </c>
      <c r="BA213">
        <f t="shared" si="184"/>
        <v>5.1508541830789065</v>
      </c>
      <c r="BB213">
        <f t="shared" si="201"/>
        <v>14.23758510989825</v>
      </c>
      <c r="BC213">
        <f t="shared" si="202"/>
        <v>0.2646893559813428</v>
      </c>
      <c r="BD213">
        <f t="shared" si="185"/>
        <v>-164.83441700290402</v>
      </c>
      <c r="BF213">
        <f t="shared" si="186"/>
        <v>-12.828404819558726</v>
      </c>
      <c r="BG213">
        <f t="shared" si="187"/>
        <v>-127.19648908700066</v>
      </c>
      <c r="BH213">
        <f t="shared" si="203"/>
        <v>52.803510912999343</v>
      </c>
      <c r="BI213">
        <f t="shared" si="204"/>
        <v>52.803510912999343</v>
      </c>
      <c r="BJ213">
        <f t="shared" si="188"/>
        <v>0</v>
      </c>
      <c r="BK213">
        <f t="shared" si="205"/>
        <v>0</v>
      </c>
      <c r="BM213">
        <f t="shared" si="206"/>
        <v>-27.065989929456975</v>
      </c>
      <c r="BN213">
        <f t="shared" si="189"/>
        <v>-142.36207208409667</v>
      </c>
      <c r="BQ213" s="56">
        <f t="shared" si="207"/>
        <v>31.139545910183386</v>
      </c>
      <c r="BR213" s="59"/>
      <c r="BS213" s="59"/>
      <c r="BT213" s="59">
        <v>10715.192999999999</v>
      </c>
      <c r="BU213" s="59">
        <v>-2.5136799999999999</v>
      </c>
      <c r="BV213" s="59">
        <v>-209.68</v>
      </c>
      <c r="BW213" s="61"/>
      <c r="BY213" s="59"/>
      <c r="BZ213" s="59"/>
      <c r="CA213" s="59"/>
      <c r="CC213" s="59"/>
    </row>
    <row r="214" spans="1:81" x14ac:dyDescent="0.25">
      <c r="A214">
        <f t="shared" si="190"/>
        <v>90000</v>
      </c>
      <c r="B214">
        <f t="shared" si="191"/>
        <v>90</v>
      </c>
      <c r="C214">
        <f t="shared" si="159"/>
        <v>1.2478686937657781</v>
      </c>
      <c r="D214">
        <f t="shared" si="160"/>
        <v>0.64122036277435768</v>
      </c>
      <c r="F214">
        <f t="shared" si="161"/>
        <v>2.3466772102224073E-3</v>
      </c>
      <c r="G214">
        <f t="shared" si="162"/>
        <v>1.8251365871260857E-2</v>
      </c>
      <c r="H214">
        <f t="shared" si="163"/>
        <v>-3.1233412841287396</v>
      </c>
      <c r="J214">
        <f t="shared" si="164"/>
        <v>15</v>
      </c>
      <c r="M214">
        <f t="shared" si="165"/>
        <v>2.0256451988514241E-2</v>
      </c>
      <c r="N214">
        <f t="shared" si="166"/>
        <v>-1.5707963250000001</v>
      </c>
      <c r="O214">
        <f t="shared" si="167"/>
        <v>14.917165513101068</v>
      </c>
      <c r="P214">
        <f t="shared" si="168"/>
        <v>1.5037091507463549</v>
      </c>
      <c r="Q214">
        <f t="shared" si="169"/>
        <v>23.161312615703824</v>
      </c>
      <c r="R214">
        <f t="shared" si="170"/>
        <v>1.5276074555927788</v>
      </c>
      <c r="S214">
        <f t="shared" si="171"/>
        <v>0.80136636570489816</v>
      </c>
      <c r="T214">
        <f t="shared" si="172"/>
        <v>-0.64122036277435746</v>
      </c>
      <c r="U214">
        <f t="shared" si="173"/>
        <v>0.90838081390891146</v>
      </c>
      <c r="V214">
        <f t="shared" si="174"/>
        <v>-0.43140101890146781</v>
      </c>
      <c r="X214">
        <f t="shared" si="192"/>
        <v>-13.003491530846475</v>
      </c>
      <c r="Y214">
        <f t="shared" si="175"/>
        <v>-119.99008334336192</v>
      </c>
      <c r="Z214">
        <f t="shared" si="193"/>
        <v>60.009916656638083</v>
      </c>
      <c r="AC214">
        <v>1</v>
      </c>
      <c r="AD214">
        <f t="shared" si="176"/>
        <v>14.883609338639999</v>
      </c>
      <c r="AE214">
        <f t="shared" si="177"/>
        <v>-1.2624724180010552E-3</v>
      </c>
      <c r="AF214">
        <f t="shared" si="178"/>
        <v>2.74261038345E-3</v>
      </c>
      <c r="AG214">
        <f t="shared" si="194"/>
        <v>4339.4648142645638</v>
      </c>
      <c r="AH214">
        <f t="shared" si="195"/>
        <v>-2362.149095616589</v>
      </c>
      <c r="AJ214">
        <f t="shared" si="179"/>
        <v>18000</v>
      </c>
      <c r="AK214">
        <f t="shared" si="180"/>
        <v>13435.963445520001</v>
      </c>
      <c r="AL214">
        <v>1</v>
      </c>
      <c r="AM214">
        <f t="shared" si="181"/>
        <v>23.139714822839998</v>
      </c>
      <c r="AN214">
        <f t="shared" si="196"/>
        <v>613.11691386633356</v>
      </c>
      <c r="AO214">
        <f t="shared" si="197"/>
        <v>-751.38709440671175</v>
      </c>
      <c r="AQ214">
        <f t="shared" si="182"/>
        <v>0.30863244961575259</v>
      </c>
      <c r="AR214">
        <f t="shared" si="183"/>
        <v>-55.55384093083547</v>
      </c>
      <c r="AT214">
        <f t="shared" ref="AT214:AT277" si="209">-AR214*AH214+AG214*AQ214</f>
        <v>-129887.15545715301</v>
      </c>
      <c r="AU214">
        <f t="shared" ref="AU214:AU277" si="210">AQ214*AH214+AG214*AR214</f>
        <v>-241802.97387834886</v>
      </c>
      <c r="AV214">
        <f t="shared" si="198"/>
        <v>-2.0637290233442132</v>
      </c>
      <c r="AW214">
        <f t="shared" si="199"/>
        <v>-36336.146492290405</v>
      </c>
      <c r="AX214">
        <f t="shared" si="200"/>
        <v>-38812.56543404032</v>
      </c>
      <c r="AY214">
        <f t="shared" si="208"/>
        <v>-2.3232528329213</v>
      </c>
      <c r="BA214">
        <f t="shared" si="184"/>
        <v>5.1626028229200109</v>
      </c>
      <c r="BB214">
        <f t="shared" si="201"/>
        <v>14.257374290798388</v>
      </c>
      <c r="BC214">
        <f t="shared" si="202"/>
        <v>0.25952380957708687</v>
      </c>
      <c r="BD214">
        <f t="shared" si="185"/>
        <v>-165.13038101108506</v>
      </c>
      <c r="BF214">
        <f t="shared" si="186"/>
        <v>-12.888355626602198</v>
      </c>
      <c r="BG214">
        <f t="shared" si="187"/>
        <v>-127.34543420831884</v>
      </c>
      <c r="BH214">
        <f t="shared" si="203"/>
        <v>52.654565791681165</v>
      </c>
      <c r="BI214">
        <f t="shared" si="204"/>
        <v>52.654565791681165</v>
      </c>
      <c r="BJ214">
        <f t="shared" si="188"/>
        <v>0</v>
      </c>
      <c r="BK214">
        <f t="shared" si="205"/>
        <v>0</v>
      </c>
      <c r="BM214">
        <f t="shared" si="206"/>
        <v>-27.14572991740059</v>
      </c>
      <c r="BN214">
        <f t="shared" si="189"/>
        <v>-142.2150531972338</v>
      </c>
      <c r="BQ214" s="56">
        <f t="shared" si="207"/>
        <v>31.159335091083527</v>
      </c>
      <c r="BR214" s="59"/>
      <c r="BS214" s="59"/>
      <c r="BT214" s="59">
        <v>10964.781999999999</v>
      </c>
      <c r="BU214" s="59">
        <v>-2.5043700000000002</v>
      </c>
      <c r="BV214" s="59">
        <v>-209.52500000000001</v>
      </c>
      <c r="BW214" s="61"/>
      <c r="BY214" s="59"/>
      <c r="BZ214" s="59"/>
      <c r="CA214" s="59"/>
      <c r="CC214" s="59"/>
    </row>
    <row r="215" spans="1:81" x14ac:dyDescent="0.25">
      <c r="A215">
        <f t="shared" si="190"/>
        <v>90500</v>
      </c>
      <c r="B215">
        <f t="shared" si="191"/>
        <v>90.5</v>
      </c>
      <c r="C215">
        <f t="shared" si="159"/>
        <v>1.2503536784447331</v>
      </c>
      <c r="D215">
        <f t="shared" si="160"/>
        <v>0.64387816431741229</v>
      </c>
      <c r="F215">
        <f t="shared" si="161"/>
        <v>2.3207626098423148E-3</v>
      </c>
      <c r="G215">
        <f t="shared" si="162"/>
        <v>1.8150079732500636E-2</v>
      </c>
      <c r="H215">
        <f t="shared" si="163"/>
        <v>-3.1234425702674997</v>
      </c>
      <c r="J215">
        <f t="shared" si="164"/>
        <v>15</v>
      </c>
      <c r="M215">
        <f t="shared" si="165"/>
        <v>2.0144537889130183E-2</v>
      </c>
      <c r="N215">
        <f t="shared" si="166"/>
        <v>-1.5707963250000001</v>
      </c>
      <c r="O215">
        <f t="shared" si="167"/>
        <v>14.999667252022663</v>
      </c>
      <c r="P215">
        <f t="shared" si="168"/>
        <v>1.5040786961744232</v>
      </c>
      <c r="Q215">
        <f t="shared" si="169"/>
        <v>23.289747372469797</v>
      </c>
      <c r="R215">
        <f t="shared" si="170"/>
        <v>1.5278457739822069</v>
      </c>
      <c r="S215">
        <f t="shared" si="171"/>
        <v>0.79977370982253737</v>
      </c>
      <c r="T215">
        <f t="shared" si="172"/>
        <v>-0.64387816431741218</v>
      </c>
      <c r="U215">
        <f t="shared" si="173"/>
        <v>0.9074972913446282</v>
      </c>
      <c r="V215">
        <f t="shared" si="174"/>
        <v>-0.43350915618741265</v>
      </c>
      <c r="X215">
        <f t="shared" si="192"/>
        <v>-13.060579455872256</v>
      </c>
      <c r="Y215">
        <f t="shared" si="175"/>
        <v>-120.08184594959845</v>
      </c>
      <c r="Z215">
        <f t="shared" si="193"/>
        <v>59.918154050401554</v>
      </c>
      <c r="AC215">
        <v>1</v>
      </c>
      <c r="AD215">
        <f t="shared" si="176"/>
        <v>14.966296057188</v>
      </c>
      <c r="AE215">
        <f t="shared" si="177"/>
        <v>-1.2765388545102644E-3</v>
      </c>
      <c r="AF215">
        <f t="shared" si="178"/>
        <v>2.7578471078024999E-3</v>
      </c>
      <c r="AG215">
        <f t="shared" si="194"/>
        <v>4331.0274926613929</v>
      </c>
      <c r="AH215">
        <f t="shared" si="195"/>
        <v>-2367.3266207772622</v>
      </c>
      <c r="AJ215">
        <f t="shared" si="179"/>
        <v>18000</v>
      </c>
      <c r="AK215">
        <f t="shared" si="180"/>
        <v>13510.607686884003</v>
      </c>
      <c r="AL215">
        <v>1</v>
      </c>
      <c r="AM215">
        <f t="shared" si="181"/>
        <v>23.268268794077997</v>
      </c>
      <c r="AN215">
        <f t="shared" si="196"/>
        <v>612.75976081067756</v>
      </c>
      <c r="AO215">
        <f t="shared" si="197"/>
        <v>-747.25113385378063</v>
      </c>
      <c r="AQ215">
        <f t="shared" si="182"/>
        <v>0.30523167083816616</v>
      </c>
      <c r="AR215">
        <f t="shared" si="183"/>
        <v>-55.246932421708074</v>
      </c>
      <c r="AT215">
        <f t="shared" si="209"/>
        <v>-129465.56708016088</v>
      </c>
      <c r="AU215">
        <f t="shared" si="210"/>
        <v>-239998.56626350325</v>
      </c>
      <c r="AV215">
        <f t="shared" si="198"/>
        <v>-2.0654983079371099</v>
      </c>
      <c r="AW215">
        <f t="shared" si="199"/>
        <v>-35888.273410795526</v>
      </c>
      <c r="AX215">
        <f t="shared" si="200"/>
        <v>-38595.340195208759</v>
      </c>
      <c r="AY215">
        <f t="shared" si="208"/>
        <v>-2.3198660193007208</v>
      </c>
      <c r="BA215">
        <f t="shared" si="184"/>
        <v>5.174152065288717</v>
      </c>
      <c r="BB215">
        <f t="shared" si="201"/>
        <v>14.276783764554112</v>
      </c>
      <c r="BC215">
        <f t="shared" si="202"/>
        <v>0.25436771136361092</v>
      </c>
      <c r="BD215">
        <f t="shared" si="185"/>
        <v>-165.42580367780974</v>
      </c>
      <c r="BF215">
        <f t="shared" si="186"/>
        <v>-12.948119154899571</v>
      </c>
      <c r="BG215">
        <f t="shared" si="187"/>
        <v>-127.49437933194992</v>
      </c>
      <c r="BH215">
        <f t="shared" si="203"/>
        <v>52.505620668050085</v>
      </c>
      <c r="BI215">
        <f t="shared" si="204"/>
        <v>52.505620668050085</v>
      </c>
      <c r="BJ215">
        <f t="shared" si="188"/>
        <v>0</v>
      </c>
      <c r="BK215">
        <f t="shared" si="205"/>
        <v>0</v>
      </c>
      <c r="BM215">
        <f t="shared" si="206"/>
        <v>-27.224902919453683</v>
      </c>
      <c r="BN215">
        <f t="shared" si="189"/>
        <v>-142.0685756541402</v>
      </c>
      <c r="BQ215" s="56">
        <f t="shared" si="207"/>
        <v>31.178744564839249</v>
      </c>
      <c r="BR215" s="59"/>
      <c r="BS215" s="59"/>
      <c r="BT215" s="59">
        <v>11220.184999999999</v>
      </c>
      <c r="BU215" s="59">
        <v>-2.7486899999999999</v>
      </c>
      <c r="BV215" s="59">
        <v>-207.815</v>
      </c>
      <c r="BW215" s="61"/>
      <c r="BY215" s="59"/>
      <c r="BZ215" s="59"/>
      <c r="CA215" s="59"/>
      <c r="CC215" s="59"/>
    </row>
    <row r="216" spans="1:81" x14ac:dyDescent="0.25">
      <c r="A216">
        <f t="shared" si="190"/>
        <v>91000</v>
      </c>
      <c r="B216">
        <f t="shared" si="191"/>
        <v>91</v>
      </c>
      <c r="C216">
        <f t="shared" si="159"/>
        <v>1.2528474604345012</v>
      </c>
      <c r="D216">
        <f t="shared" si="160"/>
        <v>0.64652540383665713</v>
      </c>
      <c r="F216">
        <f t="shared" si="161"/>
        <v>2.2952752203834856E-3</v>
      </c>
      <c r="G216">
        <f t="shared" si="162"/>
        <v>1.8049914003090292E-2</v>
      </c>
      <c r="H216">
        <f t="shared" si="163"/>
        <v>-3.1235427359969101</v>
      </c>
      <c r="J216">
        <f t="shared" si="164"/>
        <v>15</v>
      </c>
      <c r="M216">
        <f t="shared" si="165"/>
        <v>2.0033853615014082E-2</v>
      </c>
      <c r="N216">
        <f t="shared" si="166"/>
        <v>-1.5707963250000001</v>
      </c>
      <c r="O216">
        <f t="shared" si="167"/>
        <v>15.082171016945765</v>
      </c>
      <c r="P216">
        <f t="shared" si="168"/>
        <v>1.5044441986147672</v>
      </c>
      <c r="Q216">
        <f t="shared" si="169"/>
        <v>23.418183437483126</v>
      </c>
      <c r="R216">
        <f t="shared" si="170"/>
        <v>1.5280814782900674</v>
      </c>
      <c r="S216">
        <f t="shared" si="171"/>
        <v>0.79818176719868927</v>
      </c>
      <c r="T216">
        <f t="shared" si="172"/>
        <v>-0.64652540383665702</v>
      </c>
      <c r="U216">
        <f t="shared" si="173"/>
        <v>0.90661146834612949</v>
      </c>
      <c r="V216">
        <f t="shared" si="174"/>
        <v>-0.43561318723420633</v>
      </c>
      <c r="X216">
        <f t="shared" si="192"/>
        <v>-13.117424075576533</v>
      </c>
      <c r="Y216">
        <f t="shared" si="175"/>
        <v>-120.17369051290933</v>
      </c>
      <c r="Z216">
        <f t="shared" si="193"/>
        <v>59.826309487090668</v>
      </c>
      <c r="AC216">
        <v>1</v>
      </c>
      <c r="AD216">
        <f t="shared" si="176"/>
        <v>15.048982775736</v>
      </c>
      <c r="AE216">
        <f t="shared" si="177"/>
        <v>-1.2906832214156466E-3</v>
      </c>
      <c r="AF216">
        <f t="shared" si="178"/>
        <v>2.7730838321549998E-3</v>
      </c>
      <c r="AG216">
        <f t="shared" si="194"/>
        <v>4322.576445259263</v>
      </c>
      <c r="AH216">
        <f t="shared" si="195"/>
        <v>-2372.4767404777417</v>
      </c>
      <c r="AJ216">
        <f t="shared" si="179"/>
        <v>18000</v>
      </c>
      <c r="AK216">
        <f t="shared" si="180"/>
        <v>13585.251928248001</v>
      </c>
      <c r="AL216">
        <v>1</v>
      </c>
      <c r="AM216">
        <f t="shared" si="181"/>
        <v>23.396822765315999</v>
      </c>
      <c r="AN216">
        <f t="shared" si="196"/>
        <v>612.40846439149811</v>
      </c>
      <c r="AO216">
        <f t="shared" si="197"/>
        <v>-743.1603730992174</v>
      </c>
      <c r="AQ216">
        <f t="shared" si="182"/>
        <v>0.30188679245283018</v>
      </c>
      <c r="AR216">
        <f t="shared" si="183"/>
        <v>-54.943396226415096</v>
      </c>
      <c r="AT216">
        <f t="shared" si="209"/>
        <v>-129047.00085183086</v>
      </c>
      <c r="AU216">
        <f t="shared" si="210"/>
        <v>-238213.24974420035</v>
      </c>
      <c r="AV216">
        <f t="shared" si="198"/>
        <v>-2.0672671920060157</v>
      </c>
      <c r="AW216">
        <f t="shared" si="199"/>
        <v>-35447.904240881981</v>
      </c>
      <c r="AX216">
        <f t="shared" si="200"/>
        <v>-38380.896462013254</v>
      </c>
      <c r="AY216">
        <f t="shared" si="208"/>
        <v>-2.3164884313878669</v>
      </c>
      <c r="BA216">
        <f t="shared" si="184"/>
        <v>5.1855028016352822</v>
      </c>
      <c r="BB216">
        <f t="shared" si="201"/>
        <v>14.295817464795295</v>
      </c>
      <c r="BC216">
        <f t="shared" si="202"/>
        <v>0.24922123938185115</v>
      </c>
      <c r="BD216">
        <f t="shared" si="185"/>
        <v>-165.72067480208383</v>
      </c>
      <c r="BF216">
        <f t="shared" si="186"/>
        <v>-13.007698052269967</v>
      </c>
      <c r="BG216">
        <f t="shared" si="187"/>
        <v>-127.64331387779136</v>
      </c>
      <c r="BH216">
        <f t="shared" si="203"/>
        <v>52.356686122208643</v>
      </c>
      <c r="BI216">
        <f t="shared" si="204"/>
        <v>52.356686122208643</v>
      </c>
      <c r="BJ216">
        <f t="shared" si="188"/>
        <v>0</v>
      </c>
      <c r="BK216">
        <f t="shared" si="205"/>
        <v>0</v>
      </c>
      <c r="BM216">
        <f t="shared" si="206"/>
        <v>-27.303515517065264</v>
      </c>
      <c r="BN216">
        <f t="shared" si="189"/>
        <v>-141.92263907570751</v>
      </c>
      <c r="BQ216" s="56">
        <f t="shared" si="207"/>
        <v>31.197778265080434</v>
      </c>
      <c r="BR216" s="59"/>
      <c r="BS216" s="59"/>
      <c r="BT216" s="59">
        <v>11481.536</v>
      </c>
      <c r="BU216" s="59">
        <v>-2.86917</v>
      </c>
      <c r="BV216" s="59">
        <v>-207.916</v>
      </c>
      <c r="BW216" s="61"/>
      <c r="BY216" s="59"/>
      <c r="BZ216" s="59"/>
      <c r="CA216" s="59"/>
      <c r="CC216" s="59"/>
    </row>
    <row r="217" spans="1:81" x14ac:dyDescent="0.25">
      <c r="A217">
        <f t="shared" si="190"/>
        <v>91500</v>
      </c>
      <c r="B217">
        <f t="shared" si="191"/>
        <v>91.5</v>
      </c>
      <c r="C217">
        <f t="shared" si="159"/>
        <v>1.2553499873068952</v>
      </c>
      <c r="D217">
        <f t="shared" si="160"/>
        <v>0.64916210728459411</v>
      </c>
      <c r="F217">
        <f t="shared" si="161"/>
        <v>2.2702056963664298E-3</v>
      </c>
      <c r="G217">
        <f t="shared" si="162"/>
        <v>1.7950850155230368E-2</v>
      </c>
      <c r="H217">
        <f t="shared" si="163"/>
        <v>-3.1236417998447696</v>
      </c>
      <c r="J217">
        <f t="shared" si="164"/>
        <v>15</v>
      </c>
      <c r="M217">
        <f t="shared" si="165"/>
        <v>1.9924379005095971E-2</v>
      </c>
      <c r="N217">
        <f t="shared" si="166"/>
        <v>-1.5707963250000001</v>
      </c>
      <c r="O217">
        <f t="shared" si="167"/>
        <v>15.164676774802853</v>
      </c>
      <c r="P217">
        <f t="shared" si="168"/>
        <v>1.5048057239584152</v>
      </c>
      <c r="Q217">
        <f t="shared" si="169"/>
        <v>23.546620789336121</v>
      </c>
      <c r="R217">
        <f t="shared" si="170"/>
        <v>1.528314611266246</v>
      </c>
      <c r="S217">
        <f t="shared" si="171"/>
        <v>0.79659060031959861</v>
      </c>
      <c r="T217">
        <f t="shared" si="172"/>
        <v>-0.649162107284594</v>
      </c>
      <c r="U217">
        <f t="shared" si="173"/>
        <v>0.90572337513761969</v>
      </c>
      <c r="V217">
        <f t="shared" si="174"/>
        <v>-0.43771310545300474</v>
      </c>
      <c r="X217">
        <f t="shared" si="192"/>
        <v>-13.174028270285092</v>
      </c>
      <c r="Y217">
        <f t="shared" si="175"/>
        <v>-120.26561149268042</v>
      </c>
      <c r="Z217">
        <f t="shared" si="193"/>
        <v>59.734388507319579</v>
      </c>
      <c r="AC217">
        <v>1</v>
      </c>
      <c r="AD217">
        <f t="shared" si="176"/>
        <v>15.131669494284001</v>
      </c>
      <c r="AE217">
        <f t="shared" si="177"/>
        <v>-1.3049055187172019E-3</v>
      </c>
      <c r="AF217">
        <f t="shared" si="178"/>
        <v>2.7883205565075002E-3</v>
      </c>
      <c r="AG217">
        <f t="shared" si="194"/>
        <v>4314.1120242836587</v>
      </c>
      <c r="AH217">
        <f t="shared" si="195"/>
        <v>-2377.599151352867</v>
      </c>
      <c r="AJ217">
        <f t="shared" si="179"/>
        <v>18000</v>
      </c>
      <c r="AK217">
        <f t="shared" si="180"/>
        <v>13659.896169612</v>
      </c>
      <c r="AL217">
        <v>1</v>
      </c>
      <c r="AM217">
        <f t="shared" si="181"/>
        <v>23.525376736553998</v>
      </c>
      <c r="AN217">
        <f t="shared" si="196"/>
        <v>612.06289733127198</v>
      </c>
      <c r="AO217">
        <f t="shared" si="197"/>
        <v>-739.1140765729441</v>
      </c>
      <c r="AQ217">
        <f t="shared" si="182"/>
        <v>0.29859659599880561</v>
      </c>
      <c r="AR217">
        <f t="shared" si="183"/>
        <v>-54.64317706778143</v>
      </c>
      <c r="AT217">
        <f t="shared" si="209"/>
        <v>-128631.39225837296</v>
      </c>
      <c r="AU217">
        <f t="shared" si="210"/>
        <v>-236446.73024642054</v>
      </c>
      <c r="AV217">
        <f t="shared" si="198"/>
        <v>-2.0690356085998953</v>
      </c>
      <c r="AW217">
        <f t="shared" si="199"/>
        <v>-35014.875923068379</v>
      </c>
      <c r="AX217">
        <f t="shared" si="200"/>
        <v>-38169.1799886831</v>
      </c>
      <c r="AY217">
        <f t="shared" si="208"/>
        <v>-2.3131201763033968</v>
      </c>
      <c r="BA217">
        <f t="shared" si="184"/>
        <v>5.1966559425513648</v>
      </c>
      <c r="BB217">
        <f t="shared" si="201"/>
        <v>14.314479284705312</v>
      </c>
      <c r="BC217">
        <f t="shared" si="202"/>
        <v>0.24408456770350151</v>
      </c>
      <c r="BD217">
        <f t="shared" si="185"/>
        <v>-166.01498441033397</v>
      </c>
      <c r="BF217">
        <f t="shared" si="186"/>
        <v>-13.067094902416617</v>
      </c>
      <c r="BG217">
        <f t="shared" si="187"/>
        <v>-127.79222744686561</v>
      </c>
      <c r="BH217">
        <f t="shared" si="203"/>
        <v>52.20777255313439</v>
      </c>
      <c r="BI217">
        <f t="shared" si="204"/>
        <v>52.20777255313439</v>
      </c>
      <c r="BJ217">
        <f t="shared" si="188"/>
        <v>0</v>
      </c>
      <c r="BK217">
        <f t="shared" si="205"/>
        <v>0</v>
      </c>
      <c r="BM217">
        <f t="shared" si="206"/>
        <v>-27.381574187121927</v>
      </c>
      <c r="BN217">
        <f t="shared" si="189"/>
        <v>-141.77724303653167</v>
      </c>
      <c r="BQ217" s="56">
        <f t="shared" si="207"/>
        <v>31.216440084990449</v>
      </c>
      <c r="BR217" s="59"/>
      <c r="BS217" s="59"/>
      <c r="BT217" s="59">
        <v>11748.976000000001</v>
      </c>
      <c r="BU217" s="59">
        <v>-3.0396299999999998</v>
      </c>
      <c r="BV217" s="59">
        <v>-206.25700000000001</v>
      </c>
      <c r="BW217" s="61"/>
      <c r="BY217" s="59"/>
      <c r="BZ217" s="59"/>
      <c r="CA217" s="59"/>
      <c r="CC217" s="59"/>
    </row>
    <row r="218" spans="1:81" x14ac:dyDescent="0.25">
      <c r="A218">
        <f t="shared" si="190"/>
        <v>92000</v>
      </c>
      <c r="B218">
        <f t="shared" si="191"/>
        <v>92</v>
      </c>
      <c r="C218">
        <f t="shared" si="159"/>
        <v>1.2578612068678334</v>
      </c>
      <c r="D218">
        <f t="shared" si="160"/>
        <v>0.65178830099354856</v>
      </c>
      <c r="F218">
        <f t="shared" si="161"/>
        <v>2.2455449466433522E-3</v>
      </c>
      <c r="G218">
        <f t="shared" si="162"/>
        <v>1.7852870068241558E-2</v>
      </c>
      <c r="H218">
        <f t="shared" si="163"/>
        <v>-3.1237397799317588</v>
      </c>
      <c r="J218">
        <f t="shared" si="164"/>
        <v>15</v>
      </c>
      <c r="M218">
        <f t="shared" si="165"/>
        <v>1.9816094336590019E-2</v>
      </c>
      <c r="N218">
        <f t="shared" si="166"/>
        <v>-1.5707963250000001</v>
      </c>
      <c r="O218">
        <f t="shared" si="167"/>
        <v>15.247184493241358</v>
      </c>
      <c r="P218">
        <f t="shared" si="168"/>
        <v>1.5051633366743704</v>
      </c>
      <c r="Q218">
        <f t="shared" si="169"/>
        <v>23.675059407085453</v>
      </c>
      <c r="R218">
        <f t="shared" si="170"/>
        <v>1.5285452147340783</v>
      </c>
      <c r="S218">
        <f t="shared" si="171"/>
        <v>0.79500027072944979</v>
      </c>
      <c r="T218">
        <f t="shared" si="172"/>
        <v>-0.65178830099354845</v>
      </c>
      <c r="U218">
        <f t="shared" si="173"/>
        <v>0.90483304184648272</v>
      </c>
      <c r="V218">
        <f t="shared" si="174"/>
        <v>-0.43980890442578535</v>
      </c>
      <c r="X218">
        <f t="shared" si="192"/>
        <v>-13.230394868101733</v>
      </c>
      <c r="Y218">
        <f t="shared" si="175"/>
        <v>-120.35760346932219</v>
      </c>
      <c r="Z218">
        <f t="shared" si="193"/>
        <v>59.642396530677814</v>
      </c>
      <c r="AC218">
        <v>1</v>
      </c>
      <c r="AD218">
        <f t="shared" si="176"/>
        <v>15.214356212832001</v>
      </c>
      <c r="AE218">
        <f t="shared" si="177"/>
        <v>-1.31920574641493E-3</v>
      </c>
      <c r="AF218">
        <f t="shared" si="178"/>
        <v>2.8035572808599997E-3</v>
      </c>
      <c r="AG218">
        <f t="shared" si="194"/>
        <v>4305.6345800734198</v>
      </c>
      <c r="AH218">
        <f t="shared" si="195"/>
        <v>-2382.6935606418483</v>
      </c>
      <c r="AJ218">
        <f t="shared" si="179"/>
        <v>18000</v>
      </c>
      <c r="AK218">
        <f t="shared" si="180"/>
        <v>13734.540410976002</v>
      </c>
      <c r="AL218">
        <v>1</v>
      </c>
      <c r="AM218">
        <f t="shared" si="181"/>
        <v>23.653930707792</v>
      </c>
      <c r="AN218">
        <f t="shared" si="196"/>
        <v>611.72293578925974</v>
      </c>
      <c r="AO218">
        <f t="shared" si="197"/>
        <v>-735.11152455024114</v>
      </c>
      <c r="AQ218">
        <f t="shared" si="182"/>
        <v>0.29535989603331658</v>
      </c>
      <c r="AR218">
        <f t="shared" si="183"/>
        <v>-54.346220870130253</v>
      </c>
      <c r="AT218">
        <f t="shared" si="209"/>
        <v>-128218.67873055104</v>
      </c>
      <c r="AU218">
        <f t="shared" si="210"/>
        <v>-234698.71999709102</v>
      </c>
      <c r="AV218">
        <f t="shared" si="198"/>
        <v>-2.0708034922403722</v>
      </c>
      <c r="AW218">
        <f t="shared" si="199"/>
        <v>-34589.029790307497</v>
      </c>
      <c r="AX218">
        <f t="shared" si="200"/>
        <v>-37960.137923617011</v>
      </c>
      <c r="AY218">
        <f t="shared" si="208"/>
        <v>-2.3097613587313695</v>
      </c>
      <c r="BA218">
        <f t="shared" si="184"/>
        <v>5.2076124173380673</v>
      </c>
      <c r="BB218">
        <f t="shared" si="201"/>
        <v>14.332773077734597</v>
      </c>
      <c r="BC218">
        <f t="shared" si="202"/>
        <v>0.23895786649099726</v>
      </c>
      <c r="BD218">
        <f t="shared" si="185"/>
        <v>-166.30872275297068</v>
      </c>
      <c r="BF218">
        <f t="shared" si="186"/>
        <v>-13.126312226406419</v>
      </c>
      <c r="BG218">
        <f t="shared" si="187"/>
        <v>-127.94110981909074</v>
      </c>
      <c r="BH218">
        <f t="shared" si="203"/>
        <v>52.058890180909259</v>
      </c>
      <c r="BI218">
        <f t="shared" si="204"/>
        <v>52.058890180909259</v>
      </c>
      <c r="BJ218">
        <f t="shared" si="188"/>
        <v>0</v>
      </c>
      <c r="BK218">
        <f t="shared" si="205"/>
        <v>0</v>
      </c>
      <c r="BM218">
        <f t="shared" si="206"/>
        <v>-27.459085304141016</v>
      </c>
      <c r="BN218">
        <f t="shared" si="189"/>
        <v>-141.63238706612003</v>
      </c>
      <c r="BQ218" s="56">
        <f t="shared" si="207"/>
        <v>31.234733878019732</v>
      </c>
      <c r="BR218" s="59"/>
      <c r="BS218" s="59"/>
      <c r="BT218" s="59">
        <v>12022.644</v>
      </c>
      <c r="BU218" s="59">
        <v>-3.2097500000000001</v>
      </c>
      <c r="BV218" s="59">
        <v>-205.79599999999999</v>
      </c>
      <c r="BW218" s="61"/>
      <c r="BY218" s="59"/>
      <c r="BZ218" s="59"/>
      <c r="CA218" s="59"/>
      <c r="CC218" s="59"/>
    </row>
    <row r="219" spans="1:81" x14ac:dyDescent="0.25">
      <c r="A219">
        <f t="shared" si="190"/>
        <v>92500</v>
      </c>
      <c r="B219">
        <f t="shared" si="191"/>
        <v>92.5</v>
      </c>
      <c r="C219">
        <f t="shared" si="159"/>
        <v>1.260381067158628</v>
      </c>
      <c r="D219">
        <f t="shared" si="160"/>
        <v>0.65440401166622619</v>
      </c>
      <c r="F219">
        <f t="shared" si="161"/>
        <v>2.2212841261317418E-3</v>
      </c>
      <c r="G219">
        <f t="shared" si="162"/>
        <v>1.7755956017421113E-2</v>
      </c>
      <c r="H219">
        <f t="shared" si="163"/>
        <v>-3.1238366939825792</v>
      </c>
      <c r="J219">
        <f t="shared" si="164"/>
        <v>15</v>
      </c>
      <c r="M219">
        <f t="shared" si="165"/>
        <v>1.970898031314899E-2</v>
      </c>
      <c r="N219">
        <f t="shared" si="166"/>
        <v>-1.5707963250000001</v>
      </c>
      <c r="O219">
        <f t="shared" si="167"/>
        <v>15.329694140604467</v>
      </c>
      <c r="P219">
        <f t="shared" si="168"/>
        <v>1.5055170998477128</v>
      </c>
      <c r="Q219">
        <f t="shared" si="169"/>
        <v>23.803499270239588</v>
      </c>
      <c r="R219">
        <f t="shared" si="170"/>
        <v>1.5287733296153012</v>
      </c>
      <c r="S219">
        <f t="shared" si="171"/>
        <v>0.79341083903646348</v>
      </c>
      <c r="T219">
        <f t="shared" si="172"/>
        <v>-0.65440401166622608</v>
      </c>
      <c r="U219">
        <f t="shared" si="173"/>
        <v>0.903940498501555</v>
      </c>
      <c r="V219">
        <f t="shared" si="174"/>
        <v>-0.44190057790442544</v>
      </c>
      <c r="X219">
        <f t="shared" si="192"/>
        <v>-13.286526646110294</v>
      </c>
      <c r="Y219">
        <f t="shared" si="175"/>
        <v>-120.44966114124257</v>
      </c>
      <c r="Z219">
        <f t="shared" si="193"/>
        <v>59.550338858757428</v>
      </c>
      <c r="AC219">
        <v>1</v>
      </c>
      <c r="AD219">
        <f t="shared" si="176"/>
        <v>15.297042931380002</v>
      </c>
      <c r="AE219">
        <f t="shared" si="177"/>
        <v>-1.3335839045088306E-3</v>
      </c>
      <c r="AF219">
        <f t="shared" si="178"/>
        <v>2.8187940052125E-3</v>
      </c>
      <c r="AG219">
        <f t="shared" si="194"/>
        <v>4297.1444610616945</v>
      </c>
      <c r="AH219">
        <f t="shared" si="195"/>
        <v>-2387.7596859419136</v>
      </c>
      <c r="AJ219">
        <f t="shared" si="179"/>
        <v>18000</v>
      </c>
      <c r="AK219">
        <f t="shared" si="180"/>
        <v>13809.184652340002</v>
      </c>
      <c r="AL219">
        <v>1</v>
      </c>
      <c r="AM219">
        <f t="shared" si="181"/>
        <v>23.782484679029999</v>
      </c>
      <c r="AN219">
        <f t="shared" si="196"/>
        <v>611.38845925081023</v>
      </c>
      <c r="AO219">
        <f t="shared" si="197"/>
        <v>-731.15201272815068</v>
      </c>
      <c r="AQ219">
        <f t="shared" si="182"/>
        <v>0.29217553906386956</v>
      </c>
      <c r="AR219">
        <f t="shared" si="183"/>
        <v>-54.052474726815873</v>
      </c>
      <c r="AT219">
        <f t="shared" si="209"/>
        <v>-127808.79957873907</v>
      </c>
      <c r="AU219">
        <f t="shared" si="210"/>
        <v>-232968.93735240909</v>
      </c>
      <c r="AV219">
        <f t="shared" si="198"/>
        <v>-2.0725707788859569</v>
      </c>
      <c r="AW219">
        <f t="shared" si="199"/>
        <v>-34170.211426683076</v>
      </c>
      <c r="AX219">
        <f t="shared" si="200"/>
        <v>-37753.718764998819</v>
      </c>
      <c r="AY219">
        <f t="shared" si="208"/>
        <v>-2.3064120809419837</v>
      </c>
      <c r="BA219">
        <f t="shared" si="184"/>
        <v>5.2183731735719814</v>
      </c>
      <c r="BB219">
        <f t="shared" si="201"/>
        <v>14.35070265828953</v>
      </c>
      <c r="BC219">
        <f t="shared" si="202"/>
        <v>0.23384130205602682</v>
      </c>
      <c r="BD219">
        <f t="shared" si="185"/>
        <v>-166.60188030103623</v>
      </c>
      <c r="BF219">
        <f t="shared" si="186"/>
        <v>-13.185352484115281</v>
      </c>
      <c r="BG219">
        <f t="shared" si="187"/>
        <v>-128.08995095110714</v>
      </c>
      <c r="BH219">
        <f t="shared" si="203"/>
        <v>51.910049048892859</v>
      </c>
      <c r="BI219">
        <f t="shared" si="204"/>
        <v>51.910049048892859</v>
      </c>
      <c r="BJ219">
        <f t="shared" si="188"/>
        <v>0</v>
      </c>
      <c r="BK219">
        <f t="shared" si="205"/>
        <v>0</v>
      </c>
      <c r="BM219">
        <f t="shared" si="206"/>
        <v>-27.536055142404805</v>
      </c>
      <c r="BN219">
        <f t="shared" si="189"/>
        <v>-141.48807065007091</v>
      </c>
      <c r="BQ219" s="56">
        <f t="shared" si="207"/>
        <v>31.252663458574666</v>
      </c>
      <c r="BR219" s="59"/>
      <c r="BS219" s="59"/>
      <c r="BT219" s="59">
        <v>12302.688</v>
      </c>
      <c r="BU219" s="59">
        <v>-3.2360000000000002</v>
      </c>
      <c r="BV219" s="59">
        <v>-205.58</v>
      </c>
      <c r="BW219" s="61"/>
      <c r="BY219" s="59"/>
      <c r="BZ219" s="59"/>
      <c r="CA219" s="59"/>
      <c r="CC219" s="59"/>
    </row>
    <row r="220" spans="1:81" x14ac:dyDescent="0.25">
      <c r="A220">
        <f t="shared" si="190"/>
        <v>93000</v>
      </c>
      <c r="B220">
        <f t="shared" si="191"/>
        <v>93</v>
      </c>
      <c r="C220">
        <f t="shared" si="159"/>
        <v>1.2629095164572082</v>
      </c>
      <c r="D220">
        <f t="shared" si="160"/>
        <v>0.65700926636637735</v>
      </c>
      <c r="F220">
        <f t="shared" si="161"/>
        <v>2.1974146278599389E-3</v>
      </c>
      <c r="G220">
        <f t="shared" si="162"/>
        <v>1.7660090663263989E-2</v>
      </c>
      <c r="H220">
        <f t="shared" si="163"/>
        <v>-3.1239325593367364</v>
      </c>
      <c r="J220">
        <f t="shared" si="164"/>
        <v>15</v>
      </c>
      <c r="M220">
        <f t="shared" si="165"/>
        <v>1.9603018053400877E-2</v>
      </c>
      <c r="N220">
        <f t="shared" si="166"/>
        <v>-1.5707963250000001</v>
      </c>
      <c r="O220">
        <f t="shared" si="167"/>
        <v>15.412205685912527</v>
      </c>
      <c r="P220">
        <f t="shared" si="168"/>
        <v>1.5058670752164816</v>
      </c>
      <c r="Q220">
        <f t="shared" si="169"/>
        <v>23.931940358746719</v>
      </c>
      <c r="R220">
        <f t="shared" si="170"/>
        <v>1.5289989959542036</v>
      </c>
      <c r="S220">
        <f t="shared" si="171"/>
        <v>0.79182236491911306</v>
      </c>
      <c r="T220">
        <f t="shared" si="172"/>
        <v>-0.65700926636637724</v>
      </c>
      <c r="U220">
        <f t="shared" si="173"/>
        <v>0.90304577503143002</v>
      </c>
      <c r="V220">
        <f t="shared" si="174"/>
        <v>-0.44398811980977049</v>
      </c>
      <c r="X220">
        <f t="shared" si="192"/>
        <v>-13.342426331542702</v>
      </c>
      <c r="Y220">
        <f t="shared" si="175"/>
        <v>-120.54177932191431</v>
      </c>
      <c r="Z220">
        <f t="shared" si="193"/>
        <v>59.458220678085695</v>
      </c>
      <c r="AC220">
        <v>1</v>
      </c>
      <c r="AD220">
        <f t="shared" si="176"/>
        <v>15.379729649927999</v>
      </c>
      <c r="AE220">
        <f t="shared" si="177"/>
        <v>-1.3480399929989046E-3</v>
      </c>
      <c r="AF220">
        <f t="shared" si="178"/>
        <v>2.834030729565E-3</v>
      </c>
      <c r="AG220">
        <f t="shared" si="194"/>
        <v>4288.6420137574214</v>
      </c>
      <c r="AH220">
        <f t="shared" si="195"/>
        <v>-2392.797254968802</v>
      </c>
      <c r="AJ220">
        <f t="shared" si="179"/>
        <v>18000</v>
      </c>
      <c r="AK220">
        <f t="shared" si="180"/>
        <v>13883.828893704</v>
      </c>
      <c r="AL220">
        <v>1</v>
      </c>
      <c r="AM220">
        <f t="shared" si="181"/>
        <v>23.911038650267997</v>
      </c>
      <c r="AN220">
        <f t="shared" si="196"/>
        <v>611.05935042079841</v>
      </c>
      <c r="AO220">
        <f t="shared" si="197"/>
        <v>-727.23485181536876</v>
      </c>
      <c r="AQ220">
        <f t="shared" si="182"/>
        <v>0.28904240252044977</v>
      </c>
      <c r="AR220">
        <f t="shared" si="183"/>
        <v>-53.76188686880365</v>
      </c>
      <c r="AT220">
        <f t="shared" si="209"/>
        <v>-127401.69593041006</v>
      </c>
      <c r="AU220">
        <f t="shared" si="210"/>
        <v>-231257.10663174526</v>
      </c>
      <c r="AV220">
        <f t="shared" si="198"/>
        <v>-2.0743374058973734</v>
      </c>
      <c r="AW220">
        <f t="shared" si="199"/>
        <v>-33758.270531381371</v>
      </c>
      <c r="AX220">
        <f t="shared" si="200"/>
        <v>-37549.872318094182</v>
      </c>
      <c r="AY220">
        <f t="shared" si="208"/>
        <v>-2.3030724428140461</v>
      </c>
      <c r="BA220">
        <f t="shared" si="184"/>
        <v>5.228939176669595</v>
      </c>
      <c r="BB220">
        <f t="shared" si="201"/>
        <v>14.368271802397674</v>
      </c>
      <c r="BC220">
        <f t="shared" si="202"/>
        <v>0.22873503691667274</v>
      </c>
      <c r="BD220">
        <f t="shared" si="185"/>
        <v>-166.89444774293031</v>
      </c>
      <c r="BF220">
        <f t="shared" si="186"/>
        <v>-13.244218075639999</v>
      </c>
      <c r="BG220">
        <f t="shared" si="187"/>
        <v>-128.23874097415637</v>
      </c>
      <c r="BH220">
        <f t="shared" si="203"/>
        <v>51.761259025843628</v>
      </c>
      <c r="BI220">
        <f t="shared" si="204"/>
        <v>51.761259025843628</v>
      </c>
      <c r="BJ220">
        <f t="shared" si="188"/>
        <v>0</v>
      </c>
      <c r="BK220">
        <f t="shared" si="205"/>
        <v>0</v>
      </c>
      <c r="BM220">
        <f t="shared" si="206"/>
        <v>-27.612489878037675</v>
      </c>
      <c r="BN220">
        <f t="shared" si="189"/>
        <v>-141.34429323122609</v>
      </c>
      <c r="BQ220" s="56">
        <f t="shared" si="207"/>
        <v>31.27023260268281</v>
      </c>
      <c r="BR220" s="59"/>
      <c r="BS220" s="59"/>
      <c r="BT220" s="59">
        <v>12589.254000000001</v>
      </c>
      <c r="BU220" s="59">
        <v>-3.6465100000000001</v>
      </c>
      <c r="BV220" s="59">
        <v>-203.78</v>
      </c>
      <c r="BW220" s="61"/>
      <c r="BY220" s="59"/>
      <c r="BZ220" s="59"/>
      <c r="CA220" s="59"/>
      <c r="CC220" s="59"/>
    </row>
    <row r="221" spans="1:81" x14ac:dyDescent="0.25">
      <c r="A221">
        <f t="shared" si="190"/>
        <v>93500</v>
      </c>
      <c r="B221">
        <f t="shared" si="191"/>
        <v>93.5</v>
      </c>
      <c r="C221">
        <f t="shared" si="159"/>
        <v>1.2654465032792872</v>
      </c>
      <c r="D221">
        <f t="shared" si="160"/>
        <v>0.65960409250956831</v>
      </c>
      <c r="F221">
        <f t="shared" si="161"/>
        <v>2.1739280753112862E-3</v>
      </c>
      <c r="G221">
        <f t="shared" si="162"/>
        <v>1.7565257041034846E-2</v>
      </c>
      <c r="H221">
        <f t="shared" si="163"/>
        <v>-3.1240273929589653</v>
      </c>
      <c r="J221">
        <f t="shared" si="164"/>
        <v>15</v>
      </c>
      <c r="M221">
        <f t="shared" si="165"/>
        <v>1.9498189079853279E-2</v>
      </c>
      <c r="N221">
        <f t="shared" si="166"/>
        <v>-1.5707963250000001</v>
      </c>
      <c r="O221">
        <f t="shared" si="167"/>
        <v>15.494719098845083</v>
      </c>
      <c r="P221">
        <f t="shared" si="168"/>
        <v>1.5062133232073889</v>
      </c>
      <c r="Q221">
        <f t="shared" si="169"/>
        <v>24.060382652983009</v>
      </c>
      <c r="R221">
        <f t="shared" si="170"/>
        <v>1.529222252941006</v>
      </c>
      <c r="S221">
        <f t="shared" si="171"/>
        <v>0.79023490713245703</v>
      </c>
      <c r="T221">
        <f t="shared" si="172"/>
        <v>-0.6596040925095682</v>
      </c>
      <c r="U221">
        <f t="shared" si="173"/>
        <v>0.90214890126279434</v>
      </c>
      <c r="V221">
        <f t="shared" si="174"/>
        <v>-0.44607152423069457</v>
      </c>
      <c r="X221">
        <f t="shared" si="192"/>
        <v>-13.398096602914231</v>
      </c>
      <c r="Y221">
        <f t="shared" si="175"/>
        <v>-120.63395293703265</v>
      </c>
      <c r="Z221">
        <f t="shared" si="193"/>
        <v>59.366047062967354</v>
      </c>
      <c r="AC221">
        <v>1</v>
      </c>
      <c r="AD221">
        <f t="shared" si="176"/>
        <v>15.462416368475999</v>
      </c>
      <c r="AE221">
        <f t="shared" si="177"/>
        <v>-1.3625740118851514E-3</v>
      </c>
      <c r="AF221">
        <f t="shared" si="178"/>
        <v>2.8492674539174999E-3</v>
      </c>
      <c r="AG221">
        <f t="shared" si="194"/>
        <v>4280.1275827273475</v>
      </c>
      <c r="AH221">
        <f t="shared" si="195"/>
        <v>-2397.8060053238219</v>
      </c>
      <c r="AJ221">
        <f t="shared" si="179"/>
        <v>18000</v>
      </c>
      <c r="AK221">
        <f t="shared" si="180"/>
        <v>13958.473135068001</v>
      </c>
      <c r="AL221">
        <v>1</v>
      </c>
      <c r="AM221">
        <f t="shared" si="181"/>
        <v>24.039592621505996</v>
      </c>
      <c r="AN221">
        <f t="shared" si="196"/>
        <v>610.73549512102204</v>
      </c>
      <c r="AO221">
        <f t="shared" si="197"/>
        <v>-723.3593671351324</v>
      </c>
      <c r="AQ221">
        <f t="shared" si="182"/>
        <v>0.2859593937660852</v>
      </c>
      <c r="AR221">
        <f t="shared" si="183"/>
        <v>-53.474406634257939</v>
      </c>
      <c r="AT221">
        <f t="shared" si="209"/>
        <v>-126997.3106699535</v>
      </c>
      <c r="AU221">
        <f t="shared" si="210"/>
        <v>-229562.95795691674</v>
      </c>
      <c r="AV221">
        <f t="shared" si="198"/>
        <v>-2.0761033120039483</v>
      </c>
      <c r="AW221">
        <f t="shared" si="199"/>
        <v>-33353.060787713846</v>
      </c>
      <c r="AX221">
        <f t="shared" si="200"/>
        <v>-37348.549654155002</v>
      </c>
      <c r="AY221">
        <f t="shared" si="208"/>
        <v>-2.299742541857182</v>
      </c>
      <c r="BA221">
        <f t="shared" si="184"/>
        <v>5.2393114094502948</v>
      </c>
      <c r="BB221">
        <f t="shared" si="201"/>
        <v>14.385484248350252</v>
      </c>
      <c r="BC221">
        <f t="shared" si="202"/>
        <v>0.2236392298532337</v>
      </c>
      <c r="BD221">
        <f t="shared" si="185"/>
        <v>-167.18641598121192</v>
      </c>
      <c r="BF221">
        <f t="shared" si="186"/>
        <v>-13.302911342677831</v>
      </c>
      <c r="BG221">
        <f t="shared" si="187"/>
        <v>-128.38747019200892</v>
      </c>
      <c r="BH221">
        <f t="shared" si="203"/>
        <v>51.612529807991081</v>
      </c>
      <c r="BI221">
        <f t="shared" si="204"/>
        <v>51.612529807991081</v>
      </c>
      <c r="BJ221">
        <f t="shared" si="188"/>
        <v>0</v>
      </c>
      <c r="BK221">
        <f t="shared" si="205"/>
        <v>0</v>
      </c>
      <c r="BM221">
        <f t="shared" si="206"/>
        <v>-27.688395591028083</v>
      </c>
      <c r="BN221">
        <f t="shared" si="189"/>
        <v>-141.201054210797</v>
      </c>
      <c r="BQ221" s="56">
        <f t="shared" si="207"/>
        <v>31.287445048635387</v>
      </c>
      <c r="BR221" s="59"/>
      <c r="BS221" s="59"/>
      <c r="BT221" s="59">
        <v>12882.495999999999</v>
      </c>
      <c r="BU221" s="59">
        <v>-3.6234700000000002</v>
      </c>
      <c r="BV221" s="59">
        <v>-201.71899999999999</v>
      </c>
      <c r="BW221" s="61"/>
      <c r="BY221" s="59"/>
      <c r="BZ221" s="59"/>
      <c r="CA221" s="59"/>
      <c r="CC221" s="59"/>
    </row>
    <row r="222" spans="1:81" x14ac:dyDescent="0.25">
      <c r="A222">
        <f t="shared" si="190"/>
        <v>94000</v>
      </c>
      <c r="B222">
        <f t="shared" si="191"/>
        <v>94</v>
      </c>
      <c r="C222">
        <f t="shared" si="159"/>
        <v>1.267991976379468</v>
      </c>
      <c r="D222">
        <f t="shared" si="160"/>
        <v>0.6621885178540593</v>
      </c>
      <c r="F222">
        <f t="shared" si="161"/>
        <v>2.1508163150541167E-3</v>
      </c>
      <c r="G222">
        <f t="shared" si="162"/>
        <v>1.7471438550677669E-2</v>
      </c>
      <c r="H222">
        <f t="shared" si="163"/>
        <v>-3.1241212114493226</v>
      </c>
      <c r="J222">
        <f t="shared" si="164"/>
        <v>15</v>
      </c>
      <c r="M222">
        <f t="shared" si="165"/>
        <v>1.9394475308151932E-2</v>
      </c>
      <c r="N222">
        <f t="shared" si="166"/>
        <v>-1.5707963250000001</v>
      </c>
      <c r="O222">
        <f t="shared" si="167"/>
        <v>15.577234349723417</v>
      </c>
      <c r="P222">
        <f t="shared" si="168"/>
        <v>1.5065559029704036</v>
      </c>
      <c r="Q222">
        <f t="shared" si="169"/>
        <v>24.188826133741244</v>
      </c>
      <c r="R222">
        <f t="shared" si="170"/>
        <v>1.5294431389344953</v>
      </c>
      <c r="S222">
        <f t="shared" si="171"/>
        <v>0.78864852351457881</v>
      </c>
      <c r="T222">
        <f t="shared" si="172"/>
        <v>-0.66218851785405919</v>
      </c>
      <c r="U222">
        <f t="shared" si="173"/>
        <v>0.90124990691879658</v>
      </c>
      <c r="V222">
        <f t="shared" si="174"/>
        <v>-0.44815078542315112</v>
      </c>
      <c r="X222">
        <f t="shared" si="192"/>
        <v>-13.453540091127152</v>
      </c>
      <c r="Y222">
        <f t="shared" si="175"/>
        <v>-120.72617702176106</v>
      </c>
      <c r="Z222">
        <f t="shared" si="193"/>
        <v>59.27382297823894</v>
      </c>
      <c r="AC222">
        <v>1</v>
      </c>
      <c r="AD222">
        <f t="shared" si="176"/>
        <v>15.545103087024</v>
      </c>
      <c r="AE222">
        <f t="shared" si="177"/>
        <v>-1.3771859611675708E-3</v>
      </c>
      <c r="AF222">
        <f t="shared" si="178"/>
        <v>2.8645041782699998E-3</v>
      </c>
      <c r="AG222">
        <f t="shared" si="194"/>
        <v>4271.6015105785455</v>
      </c>
      <c r="AH222">
        <f t="shared" si="195"/>
        <v>-2402.7856842672791</v>
      </c>
      <c r="AJ222">
        <f t="shared" si="179"/>
        <v>18000</v>
      </c>
      <c r="AK222">
        <f t="shared" si="180"/>
        <v>14033.117376432001</v>
      </c>
      <c r="AL222">
        <v>1</v>
      </c>
      <c r="AM222">
        <f t="shared" si="181"/>
        <v>24.168146592743998</v>
      </c>
      <c r="AN222">
        <f t="shared" si="196"/>
        <v>610.41678219139112</v>
      </c>
      <c r="AO222">
        <f t="shared" si="197"/>
        <v>-719.524898240624</v>
      </c>
      <c r="AQ222">
        <f t="shared" si="182"/>
        <v>0.28292544914415052</v>
      </c>
      <c r="AR222">
        <f t="shared" si="183"/>
        <v>-53.1899844391003</v>
      </c>
      <c r="AT222">
        <f t="shared" si="209"/>
        <v>-126595.58838072428</v>
      </c>
      <c r="AU222">
        <f t="shared" si="210"/>
        <v>-227886.22709662863</v>
      </c>
      <c r="AV222">
        <f t="shared" si="198"/>
        <v>-2.0778684372710248</v>
      </c>
      <c r="AW222">
        <f t="shared" si="199"/>
        <v>-32954.439736977685</v>
      </c>
      <c r="AX222">
        <f t="shared" si="200"/>
        <v>-37149.703070861775</v>
      </c>
      <c r="AY222">
        <f t="shared" si="208"/>
        <v>-2.2964224732338199</v>
      </c>
      <c r="BA222">
        <f t="shared" si="184"/>
        <v>5.2494908716982049</v>
      </c>
      <c r="BB222">
        <f t="shared" si="201"/>
        <v>14.402343697322589</v>
      </c>
      <c r="BC222">
        <f t="shared" si="202"/>
        <v>0.2185540359627951</v>
      </c>
      <c r="BD222">
        <f t="shared" si="185"/>
        <v>-167.47777612947272</v>
      </c>
      <c r="BF222">
        <f t="shared" si="186"/>
        <v>-13.361434569874625</v>
      </c>
      <c r="BG222">
        <f t="shared" si="187"/>
        <v>-128.53612907893844</v>
      </c>
      <c r="BH222">
        <f t="shared" si="203"/>
        <v>51.463870921061556</v>
      </c>
      <c r="BI222">
        <f t="shared" si="204"/>
        <v>51.463870921061556</v>
      </c>
      <c r="BJ222">
        <f t="shared" si="188"/>
        <v>0</v>
      </c>
      <c r="BK222">
        <f t="shared" si="205"/>
        <v>0</v>
      </c>
      <c r="BM222">
        <f t="shared" si="206"/>
        <v>-27.76377826719721</v>
      </c>
      <c r="BN222">
        <f t="shared" si="189"/>
        <v>-141.05835294946573</v>
      </c>
      <c r="BQ222" s="56">
        <f t="shared" si="207"/>
        <v>31.304304497607728</v>
      </c>
      <c r="BR222" s="59"/>
      <c r="BS222" s="59"/>
      <c r="BT222" s="59">
        <v>13182.566999999999</v>
      </c>
      <c r="BU222" s="59">
        <v>-4.1132799999999996</v>
      </c>
      <c r="BV222" s="59">
        <v>-198.27600000000001</v>
      </c>
      <c r="BW222" s="61"/>
      <c r="BY222" s="59"/>
      <c r="BZ222" s="59"/>
      <c r="CA222" s="59"/>
      <c r="CC222" s="59"/>
    </row>
    <row r="223" spans="1:81" x14ac:dyDescent="0.25">
      <c r="A223">
        <f t="shared" si="190"/>
        <v>94500</v>
      </c>
      <c r="B223">
        <f t="shared" si="191"/>
        <v>94.5</v>
      </c>
      <c r="C223">
        <f t="shared" si="159"/>
        <v>1.2705458847522908</v>
      </c>
      <c r="D223">
        <f t="shared" si="160"/>
        <v>0.66476257049179188</v>
      </c>
      <c r="F223">
        <f t="shared" si="161"/>
        <v>2.128071409645437E-3</v>
      </c>
      <c r="G223">
        <f t="shared" si="162"/>
        <v>1.7378618947050187E-2</v>
      </c>
      <c r="H223">
        <f t="shared" si="163"/>
        <v>-3.1242140310529498</v>
      </c>
      <c r="J223">
        <f t="shared" si="164"/>
        <v>15</v>
      </c>
      <c r="M223">
        <f t="shared" si="165"/>
        <v>1.929185903668023E-2</v>
      </c>
      <c r="N223">
        <f t="shared" si="166"/>
        <v>-1.5707963250000001</v>
      </c>
      <c r="O223">
        <f t="shared" si="167"/>
        <v>15.659751409493708</v>
      </c>
      <c r="P223">
        <f t="shared" si="168"/>
        <v>1.5068948724122471</v>
      </c>
      <c r="Q223">
        <f t="shared" si="169"/>
        <v>24.317270782219847</v>
      </c>
      <c r="R223">
        <f t="shared" si="170"/>
        <v>1.5296616914839456</v>
      </c>
      <c r="S223">
        <f t="shared" si="171"/>
        <v>0.78706327099313134</v>
      </c>
      <c r="T223">
        <f t="shared" si="172"/>
        <v>-0.66476257049179177</v>
      </c>
      <c r="U223">
        <f t="shared" si="173"/>
        <v>0.90034882161744556</v>
      </c>
      <c r="V223">
        <f t="shared" si="174"/>
        <v>-0.45022589780921624</v>
      </c>
      <c r="X223">
        <f t="shared" si="192"/>
        <v>-13.508759380543744</v>
      </c>
      <c r="Y223">
        <f t="shared" si="175"/>
        <v>-120.81844671806036</v>
      </c>
      <c r="Z223">
        <f t="shared" si="193"/>
        <v>59.181553281939642</v>
      </c>
      <c r="AC223">
        <v>1</v>
      </c>
      <c r="AD223">
        <f t="shared" si="176"/>
        <v>15.627789805572</v>
      </c>
      <c r="AE223">
        <f t="shared" si="177"/>
        <v>-1.3918758408461634E-3</v>
      </c>
      <c r="AF223">
        <f t="shared" si="178"/>
        <v>2.8797409026225002E-3</v>
      </c>
      <c r="AG223">
        <f t="shared" si="194"/>
        <v>4263.0641379414765</v>
      </c>
      <c r="AH223">
        <f t="shared" si="195"/>
        <v>-2407.736048498019</v>
      </c>
      <c r="AJ223">
        <f t="shared" si="179"/>
        <v>18000</v>
      </c>
      <c r="AK223">
        <f t="shared" si="180"/>
        <v>14107.761617796003</v>
      </c>
      <c r="AL223">
        <v>1</v>
      </c>
      <c r="AM223">
        <f t="shared" si="181"/>
        <v>24.296700563982</v>
      </c>
      <c r="AN223">
        <f t="shared" si="196"/>
        <v>610.10310339475188</v>
      </c>
      <c r="AO223">
        <f t="shared" si="197"/>
        <v>-715.73079854243417</v>
      </c>
      <c r="AQ223">
        <f t="shared" si="182"/>
        <v>0.27993953306085884</v>
      </c>
      <c r="AR223">
        <f t="shared" si="183"/>
        <v>-52.908571748502325</v>
      </c>
      <c r="AT223">
        <f t="shared" si="209"/>
        <v>-126196.47528922909</v>
      </c>
      <c r="AU223">
        <f t="shared" si="210"/>
        <v>-226226.65531589417</v>
      </c>
      <c r="AV223">
        <f t="shared" si="198"/>
        <v>-2.0796327230683613</v>
      </c>
      <c r="AW223">
        <f t="shared" si="199"/>
        <v>-32562.268656951415</v>
      </c>
      <c r="AX223">
        <f t="shared" si="200"/>
        <v>-36953.286054237367</v>
      </c>
      <c r="AY223">
        <f t="shared" si="208"/>
        <v>-2.2931123297809757</v>
      </c>
      <c r="BA223">
        <f t="shared" si="184"/>
        <v>5.2594785797231616</v>
      </c>
      <c r="BB223">
        <f t="shared" si="201"/>
        <v>14.418853813973485</v>
      </c>
      <c r="BC223">
        <f t="shared" si="202"/>
        <v>0.21347960671261434</v>
      </c>
      <c r="BD223">
        <f t="shared" si="185"/>
        <v>-167.76851950927801</v>
      </c>
      <c r="BF223">
        <f t="shared" si="186"/>
        <v>-13.419789986142485</v>
      </c>
      <c r="BG223">
        <f t="shared" si="187"/>
        <v>-128.68470827773859</v>
      </c>
      <c r="BH223">
        <f t="shared" si="203"/>
        <v>51.315291722261406</v>
      </c>
      <c r="BI223">
        <f t="shared" si="204"/>
        <v>51.315291722261406</v>
      </c>
      <c r="BJ223">
        <f t="shared" si="188"/>
        <v>0</v>
      </c>
      <c r="BK223">
        <f t="shared" si="205"/>
        <v>0</v>
      </c>
      <c r="BM223">
        <f t="shared" si="206"/>
        <v>-27.838643800115968</v>
      </c>
      <c r="BN223">
        <f t="shared" si="189"/>
        <v>-140.91618876846059</v>
      </c>
      <c r="BQ223" s="56">
        <f t="shared" si="207"/>
        <v>31.320814614258619</v>
      </c>
      <c r="BR223" s="59"/>
      <c r="BS223" s="59"/>
      <c r="BT223" s="59">
        <v>13489.629000000001</v>
      </c>
      <c r="BU223" s="59">
        <v>-3.8779599999999999</v>
      </c>
      <c r="BV223" s="59">
        <v>-197.578</v>
      </c>
      <c r="BW223" s="61"/>
      <c r="BY223" s="59"/>
      <c r="BZ223" s="59"/>
      <c r="CA223" s="59"/>
      <c r="CC223" s="59"/>
    </row>
    <row r="224" spans="1:81" x14ac:dyDescent="0.25">
      <c r="A224">
        <f t="shared" si="190"/>
        <v>95000</v>
      </c>
      <c r="B224">
        <f t="shared" si="191"/>
        <v>95</v>
      </c>
      <c r="C224">
        <f t="shared" si="159"/>
        <v>1.2731081776332256</v>
      </c>
      <c r="D224">
        <f t="shared" si="160"/>
        <v>0.66732627883948348</v>
      </c>
      <c r="F224">
        <f t="shared" si="161"/>
        <v>2.1056856307967429E-3</v>
      </c>
      <c r="G224">
        <f t="shared" si="162"/>
        <v>1.7286782330471113E-2</v>
      </c>
      <c r="H224">
        <f t="shared" si="163"/>
        <v>-3.1243058676695292</v>
      </c>
      <c r="J224">
        <f t="shared" si="164"/>
        <v>15</v>
      </c>
      <c r="M224">
        <f t="shared" si="165"/>
        <v>1.9190322936487175E-2</v>
      </c>
      <c r="N224">
        <f t="shared" si="166"/>
        <v>-1.5707963250000001</v>
      </c>
      <c r="O224">
        <f t="shared" si="167"/>
        <v>15.742270249710671</v>
      </c>
      <c r="P224">
        <f t="shared" si="168"/>
        <v>1.5072302882288431</v>
      </c>
      <c r="Q224">
        <f t="shared" si="169"/>
        <v>24.445716580012235</v>
      </c>
      <c r="R224">
        <f t="shared" si="170"/>
        <v>1.5298779473503488</v>
      </c>
      <c r="S224">
        <f t="shared" si="171"/>
        <v>0.78547920559198059</v>
      </c>
      <c r="T224">
        <f t="shared" si="172"/>
        <v>-0.66732627883948337</v>
      </c>
      <c r="U224">
        <f t="shared" si="173"/>
        <v>0.89944567487004168</v>
      </c>
      <c r="V224">
        <f t="shared" si="174"/>
        <v>-0.45229685597612324</v>
      </c>
      <c r="X224">
        <f t="shared" si="192"/>
        <v>-13.56375701002969</v>
      </c>
      <c r="Y224">
        <f t="shared" si="175"/>
        <v>-120.91075727209979</v>
      </c>
      <c r="Z224">
        <f t="shared" si="193"/>
        <v>59.089242727900213</v>
      </c>
      <c r="AC224">
        <v>1</v>
      </c>
      <c r="AD224">
        <f t="shared" si="176"/>
        <v>15.710476524120001</v>
      </c>
      <c r="AE224">
        <f t="shared" si="177"/>
        <v>-1.4066436509209289E-3</v>
      </c>
      <c r="AF224">
        <f t="shared" si="178"/>
        <v>2.8949776269750001E-3</v>
      </c>
      <c r="AG224">
        <f t="shared" si="194"/>
        <v>4254.5158034535489</v>
      </c>
      <c r="AH224">
        <f t="shared" si="195"/>
        <v>-2412.6568639388679</v>
      </c>
      <c r="AJ224">
        <f t="shared" si="179"/>
        <v>18000</v>
      </c>
      <c r="AK224">
        <f t="shared" si="180"/>
        <v>14182.405859160001</v>
      </c>
      <c r="AL224">
        <v>1</v>
      </c>
      <c r="AM224">
        <f t="shared" si="181"/>
        <v>24.425254535219999</v>
      </c>
      <c r="AN224">
        <f t="shared" si="196"/>
        <v>609.79435332519017</v>
      </c>
      <c r="AO224">
        <f t="shared" si="197"/>
        <v>-711.97643494764816</v>
      </c>
      <c r="AQ224">
        <f t="shared" si="182"/>
        <v>0.27700063710146533</v>
      </c>
      <c r="AR224">
        <f t="shared" si="183"/>
        <v>-52.630121049278415</v>
      </c>
      <c r="AT224">
        <f t="shared" si="209"/>
        <v>-125799.91921136017</v>
      </c>
      <c r="AU224">
        <f t="shared" si="210"/>
        <v>-224583.9892302466</v>
      </c>
      <c r="AV224">
        <f t="shared" si="198"/>
        <v>-2.0813961120394779</v>
      </c>
      <c r="AW224">
        <f t="shared" si="199"/>
        <v>-32176.412444831876</v>
      </c>
      <c r="AX224">
        <f t="shared" si="200"/>
        <v>-36759.253241968872</v>
      </c>
      <c r="AY224">
        <f t="shared" si="208"/>
        <v>-2.2898122020318548</v>
      </c>
      <c r="BA224">
        <f t="shared" si="184"/>
        <v>5.2692755659210606</v>
      </c>
      <c r="BB224">
        <f t="shared" si="201"/>
        <v>14.435018227024226</v>
      </c>
      <c r="BC224">
        <f t="shared" si="202"/>
        <v>0.20841608999237682</v>
      </c>
      <c r="BD224">
        <f t="shared" si="185"/>
        <v>-168.05863764717307</v>
      </c>
      <c r="BF224">
        <f t="shared" si="186"/>
        <v>-13.477979765947723</v>
      </c>
      <c r="BG224">
        <f t="shared" si="187"/>
        <v>-128.8331985977814</v>
      </c>
      <c r="BH224">
        <f t="shared" si="203"/>
        <v>51.166801402218596</v>
      </c>
      <c r="BI224">
        <f t="shared" si="204"/>
        <v>51.166801402218596</v>
      </c>
      <c r="BJ224">
        <f t="shared" si="188"/>
        <v>0</v>
      </c>
      <c r="BK224">
        <f t="shared" si="205"/>
        <v>0</v>
      </c>
      <c r="BM224">
        <f t="shared" si="206"/>
        <v>-27.912997992971945</v>
      </c>
      <c r="BN224">
        <f t="shared" si="189"/>
        <v>-140.77456095060833</v>
      </c>
      <c r="BQ224" s="56">
        <f t="shared" si="207"/>
        <v>31.336979027309361</v>
      </c>
      <c r="BR224" s="59"/>
      <c r="BS224" s="59"/>
      <c r="BT224" s="59">
        <v>13803.843000000001</v>
      </c>
      <c r="BU224" s="59">
        <v>-4.0306600000000001</v>
      </c>
      <c r="BV224" s="59">
        <v>-195.64599999999999</v>
      </c>
      <c r="BW224" s="61"/>
      <c r="BY224" s="59"/>
      <c r="BZ224" s="59"/>
      <c r="CA224" s="59"/>
      <c r="CC224" s="59"/>
    </row>
    <row r="225" spans="1:81" x14ac:dyDescent="0.25">
      <c r="A225">
        <f t="shared" si="190"/>
        <v>95500</v>
      </c>
      <c r="B225">
        <f t="shared" si="191"/>
        <v>95.5</v>
      </c>
      <c r="C225">
        <f t="shared" si="159"/>
        <v>1.275678804499605</v>
      </c>
      <c r="D225">
        <f t="shared" si="160"/>
        <v>0.66987967162983064</v>
      </c>
      <c r="F225">
        <f t="shared" si="161"/>
        <v>2.0836514527909564E-3</v>
      </c>
      <c r="G225">
        <f t="shared" si="162"/>
        <v>1.719591313756837E-2</v>
      </c>
      <c r="H225">
        <f t="shared" si="163"/>
        <v>-3.1243967368624319</v>
      </c>
      <c r="J225">
        <f t="shared" si="164"/>
        <v>15</v>
      </c>
      <c r="M225">
        <f t="shared" si="165"/>
        <v>1.9089850041531742E-2</v>
      </c>
      <c r="N225">
        <f t="shared" si="166"/>
        <v>-1.5707963250000001</v>
      </c>
      <c r="O225">
        <f t="shared" si="167"/>
        <v>15.824790842521731</v>
      </c>
      <c r="P225">
        <f t="shared" si="168"/>
        <v>1.5075622059367568</v>
      </c>
      <c r="Q225">
        <f t="shared" si="169"/>
        <v>24.574163509096483</v>
      </c>
      <c r="R225">
        <f t="shared" si="170"/>
        <v>1.530091942526981</v>
      </c>
      <c r="S225">
        <f t="shared" si="171"/>
        <v>0.78389638243794291</v>
      </c>
      <c r="T225">
        <f t="shared" si="172"/>
        <v>-0.66987967162983064</v>
      </c>
      <c r="U225">
        <f t="shared" si="173"/>
        <v>0.89854049607963882</v>
      </c>
      <c r="V225">
        <f t="shared" si="174"/>
        <v>-0.45436365467528966</v>
      </c>
      <c r="X225">
        <f t="shared" si="192"/>
        <v>-13.618535473968922</v>
      </c>
      <c r="Y225">
        <f t="shared" si="175"/>
        <v>-121.00310403174554</v>
      </c>
      <c r="Z225">
        <f t="shared" si="193"/>
        <v>58.996895968254464</v>
      </c>
      <c r="AC225">
        <v>1</v>
      </c>
      <c r="AD225">
        <f t="shared" si="176"/>
        <v>15.793163242668001</v>
      </c>
      <c r="AE225">
        <f t="shared" si="177"/>
        <v>-1.4214893913918674E-3</v>
      </c>
      <c r="AF225">
        <f t="shared" si="178"/>
        <v>2.9102143513275E-3</v>
      </c>
      <c r="AG225">
        <f t="shared" si="194"/>
        <v>4245.9568437431917</v>
      </c>
      <c r="AH225">
        <f t="shared" si="195"/>
        <v>-2417.547905527766</v>
      </c>
      <c r="AJ225">
        <f t="shared" si="179"/>
        <v>18000</v>
      </c>
      <c r="AK225">
        <f t="shared" si="180"/>
        <v>14257.050100524</v>
      </c>
      <c r="AL225">
        <v>1</v>
      </c>
      <c r="AM225">
        <f t="shared" si="181"/>
        <v>24.553808506457997</v>
      </c>
      <c r="AN225">
        <f t="shared" si="196"/>
        <v>609.49042931967347</v>
      </c>
      <c r="AO225">
        <f t="shared" si="197"/>
        <v>-708.26118751013223</v>
      </c>
      <c r="AQ225">
        <f t="shared" si="182"/>
        <v>0.2741077791787731</v>
      </c>
      <c r="AR225">
        <f t="shared" si="183"/>
        <v>-52.354585823145662</v>
      </c>
      <c r="AT225">
        <f t="shared" si="209"/>
        <v>-125405.8695005921</v>
      </c>
      <c r="AU225">
        <f t="shared" si="210"/>
        <v>-222957.98066456814</v>
      </c>
      <c r="AV225">
        <f t="shared" si="198"/>
        <v>-2.0831585480719186</v>
      </c>
      <c r="AW225">
        <f t="shared" si="199"/>
        <v>-31796.739504428111</v>
      </c>
      <c r="AX225">
        <f t="shared" si="200"/>
        <v>-36567.560388077662</v>
      </c>
      <c r="AY225">
        <f t="shared" si="208"/>
        <v>-2.2865221782372918</v>
      </c>
      <c r="BA225">
        <f t="shared" si="184"/>
        <v>5.2788828783338104</v>
      </c>
      <c r="BB225">
        <f t="shared" si="201"/>
        <v>14.450840529817983</v>
      </c>
      <c r="BC225">
        <f t="shared" si="202"/>
        <v>0.20336363016537318</v>
      </c>
      <c r="BD225">
        <f t="shared" si="185"/>
        <v>-168.34812227175055</v>
      </c>
      <c r="BF225">
        <f t="shared" si="186"/>
        <v>-13.536006030570125</v>
      </c>
      <c r="BG225">
        <f t="shared" si="187"/>
        <v>-128.98159101311273</v>
      </c>
      <c r="BH225">
        <f t="shared" si="203"/>
        <v>51.018408986887266</v>
      </c>
      <c r="BI225">
        <f t="shared" si="204"/>
        <v>51.018408986887266</v>
      </c>
      <c r="BJ225">
        <f t="shared" si="188"/>
        <v>0</v>
      </c>
      <c r="BK225">
        <f t="shared" si="205"/>
        <v>0</v>
      </c>
      <c r="BM225">
        <f t="shared" si="206"/>
        <v>-27.986846560388109</v>
      </c>
      <c r="BN225">
        <f t="shared" si="189"/>
        <v>-140.63346874136218</v>
      </c>
      <c r="BQ225" s="56">
        <f t="shared" si="207"/>
        <v>31.352801330103119</v>
      </c>
      <c r="BR225" s="59"/>
      <c r="BS225" s="59"/>
      <c r="BT225" s="59">
        <v>14125.375</v>
      </c>
      <c r="BU225" s="59">
        <v>-4.0179099999999996</v>
      </c>
      <c r="BV225" s="59">
        <v>-192.58199999999999</v>
      </c>
      <c r="BW225" s="61"/>
      <c r="BY225" s="59"/>
      <c r="BZ225" s="59"/>
      <c r="CA225" s="59"/>
      <c r="CC225" s="59"/>
    </row>
    <row r="226" spans="1:81" x14ac:dyDescent="0.25">
      <c r="A226">
        <f t="shared" si="190"/>
        <v>96000</v>
      </c>
      <c r="B226">
        <f t="shared" si="191"/>
        <v>96</v>
      </c>
      <c r="C226">
        <f t="shared" si="159"/>
        <v>1.2782577150715067</v>
      </c>
      <c r="D226">
        <f t="shared" si="160"/>
        <v>0.67242277790282157</v>
      </c>
      <c r="F226">
        <f t="shared" si="161"/>
        <v>2.0619615461399854E-3</v>
      </c>
      <c r="G226">
        <f t="shared" si="162"/>
        <v>1.7105996132417315E-2</v>
      </c>
      <c r="H226">
        <f t="shared" si="163"/>
        <v>-3.1244866538675828</v>
      </c>
      <c r="J226">
        <f t="shared" si="164"/>
        <v>15</v>
      </c>
      <c r="M226">
        <f t="shared" si="165"/>
        <v>1.8990423739232098E-2</v>
      </c>
      <c r="N226">
        <f t="shared" si="166"/>
        <v>-1.5707963250000001</v>
      </c>
      <c r="O226">
        <f t="shared" si="167"/>
        <v>15.907313160651679</v>
      </c>
      <c r="P226">
        <f t="shared" si="168"/>
        <v>1.5078906799036607</v>
      </c>
      <c r="Q226">
        <f t="shared" si="169"/>
        <v>24.702611551825353</v>
      </c>
      <c r="R226">
        <f t="shared" si="170"/>
        <v>1.5303037122593286</v>
      </c>
      <c r="S226">
        <f t="shared" si="171"/>
        <v>0.78231485576760984</v>
      </c>
      <c r="T226">
        <f t="shared" si="172"/>
        <v>-0.67242277790282134</v>
      </c>
      <c r="U226">
        <f t="shared" si="173"/>
        <v>0.89763331453953665</v>
      </c>
      <c r="V226">
        <f t="shared" si="174"/>
        <v>-0.45642628882133679</v>
      </c>
      <c r="X226">
        <f t="shared" si="192"/>
        <v>-13.673097223250748</v>
      </c>
      <c r="Y226">
        <f t="shared" si="175"/>
        <v>-121.09548244412507</v>
      </c>
      <c r="Z226">
        <f t="shared" si="193"/>
        <v>58.904517555874932</v>
      </c>
      <c r="AC226">
        <v>1</v>
      </c>
      <c r="AD226">
        <f t="shared" si="176"/>
        <v>15.875849961216002</v>
      </c>
      <c r="AE226">
        <f t="shared" si="177"/>
        <v>-1.4364130622589787E-3</v>
      </c>
      <c r="AF226">
        <f t="shared" si="178"/>
        <v>2.9254510756799999E-3</v>
      </c>
      <c r="AG226">
        <f t="shared" si="194"/>
        <v>4237.3875934144435</v>
      </c>
      <c r="AH226">
        <f t="shared" si="195"/>
        <v>-2422.408957014401</v>
      </c>
      <c r="AJ226">
        <f t="shared" si="179"/>
        <v>18000</v>
      </c>
      <c r="AK226">
        <f t="shared" si="180"/>
        <v>14331.694341888002</v>
      </c>
      <c r="AL226">
        <v>1</v>
      </c>
      <c r="AM226">
        <f t="shared" si="181"/>
        <v>24.682362477695996</v>
      </c>
      <c r="AN226">
        <f t="shared" si="196"/>
        <v>609.19123137288921</v>
      </c>
      <c r="AO226">
        <f t="shared" si="197"/>
        <v>-704.58444909162017</v>
      </c>
      <c r="AQ226">
        <f t="shared" si="182"/>
        <v>0.27126000271260003</v>
      </c>
      <c r="AR226">
        <f t="shared" si="183"/>
        <v>-52.081920520819203</v>
      </c>
      <c r="AT226">
        <f t="shared" si="209"/>
        <v>-125014.27699806064</v>
      </c>
      <c r="AU226">
        <f t="shared" si="210"/>
        <v>-221348.38651636717</v>
      </c>
      <c r="AV226">
        <f t="shared" si="198"/>
        <v>-2.0849199762683974</v>
      </c>
      <c r="AW226">
        <f t="shared" si="199"/>
        <v>-31423.121637436376</v>
      </c>
      <c r="AX226">
        <f t="shared" si="200"/>
        <v>-36378.16432888007</v>
      </c>
      <c r="AY226">
        <f t="shared" si="208"/>
        <v>-2.2832423443870562</v>
      </c>
      <c r="BA226">
        <f t="shared" si="184"/>
        <v>5.2883015802092066</v>
      </c>
      <c r="BB226">
        <f t="shared" si="201"/>
        <v>14.466324280860457</v>
      </c>
      <c r="BC226">
        <f t="shared" si="202"/>
        <v>0.19832236811865878</v>
      </c>
      <c r="BD226">
        <f t="shared" si="185"/>
        <v>-168.63696531077682</v>
      </c>
      <c r="BF226">
        <f t="shared" si="186"/>
        <v>-13.593870849334067</v>
      </c>
      <c r="BG226">
        <f t="shared" si="187"/>
        <v>-129.12987666058436</v>
      </c>
      <c r="BH226">
        <f t="shared" si="203"/>
        <v>50.870123339415642</v>
      </c>
      <c r="BI226">
        <f t="shared" si="204"/>
        <v>50.870123339415642</v>
      </c>
      <c r="BJ226">
        <f t="shared" si="188"/>
        <v>0</v>
      </c>
      <c r="BK226">
        <f t="shared" si="205"/>
        <v>0</v>
      </c>
      <c r="BM226">
        <f t="shared" si="206"/>
        <v>-28.060195130194522</v>
      </c>
      <c r="BN226">
        <f t="shared" si="189"/>
        <v>-140.49291134980754</v>
      </c>
      <c r="BQ226" s="56">
        <f t="shared" si="207"/>
        <v>31.368285081145594</v>
      </c>
      <c r="BR226" s="59"/>
      <c r="BS226" s="59"/>
      <c r="BT226" s="59">
        <v>14454.397999999999</v>
      </c>
      <c r="BU226" s="59">
        <v>-3.9652699999999999</v>
      </c>
      <c r="BV226" s="59">
        <v>-192.25399999999999</v>
      </c>
      <c r="BW226" s="61"/>
      <c r="BY226" s="59"/>
      <c r="BZ226" s="59"/>
      <c r="CA226" s="59"/>
      <c r="CC226" s="59"/>
    </row>
    <row r="227" spans="1:81" x14ac:dyDescent="0.25">
      <c r="A227">
        <f t="shared" si="190"/>
        <v>96500</v>
      </c>
      <c r="B227">
        <f t="shared" si="191"/>
        <v>96.5</v>
      </c>
      <c r="C227">
        <f t="shared" si="159"/>
        <v>1.2808448593125767</v>
      </c>
      <c r="D227">
        <f t="shared" si="160"/>
        <v>0.67495562699715606</v>
      </c>
      <c r="F227">
        <f t="shared" si="161"/>
        <v>2.0406087714728931E-3</v>
      </c>
      <c r="G227">
        <f t="shared" si="162"/>
        <v>1.7017016397958142E-2</v>
      </c>
      <c r="H227">
        <f t="shared" si="163"/>
        <v>-3.124575633602042</v>
      </c>
      <c r="J227">
        <f t="shared" si="164"/>
        <v>15</v>
      </c>
      <c r="M227">
        <f t="shared" si="165"/>
        <v>1.8892027761308616E-2</v>
      </c>
      <c r="N227">
        <f t="shared" si="166"/>
        <v>-1.5707963250000001</v>
      </c>
      <c r="O227">
        <f t="shared" si="167"/>
        <v>15.9898371773878</v>
      </c>
      <c r="P227">
        <f t="shared" si="168"/>
        <v>1.5082157633778626</v>
      </c>
      <c r="Q227">
        <f t="shared" si="169"/>
        <v>24.831060690916601</v>
      </c>
      <c r="R227">
        <f t="shared" si="170"/>
        <v>1.530513291064397</v>
      </c>
      <c r="S227">
        <f t="shared" si="171"/>
        <v>0.78073467893425841</v>
      </c>
      <c r="T227">
        <f t="shared" si="172"/>
        <v>-0.67495562699715594</v>
      </c>
      <c r="U227">
        <f t="shared" si="173"/>
        <v>0.89672415943180583</v>
      </c>
      <c r="V227">
        <f t="shared" si="174"/>
        <v>-0.45848475349110118</v>
      </c>
      <c r="X227">
        <f t="shared" si="192"/>
        <v>-13.727444666230241</v>
      </c>
      <c r="Y227">
        <f t="shared" si="175"/>
        <v>-121.18788805326461</v>
      </c>
      <c r="Z227">
        <f t="shared" si="193"/>
        <v>58.812111946735385</v>
      </c>
      <c r="AC227">
        <v>1</v>
      </c>
      <c r="AD227">
        <f t="shared" si="176"/>
        <v>15.958536679763998</v>
      </c>
      <c r="AE227">
        <f t="shared" si="177"/>
        <v>-1.4514146635222624E-3</v>
      </c>
      <c r="AF227">
        <f t="shared" si="178"/>
        <v>2.9406878000324999E-3</v>
      </c>
      <c r="AG227">
        <f t="shared" si="194"/>
        <v>4228.8083850320345</v>
      </c>
      <c r="AH227">
        <f t="shared" si="195"/>
        <v>-2427.2398107621311</v>
      </c>
      <c r="AJ227">
        <f t="shared" si="179"/>
        <v>18000</v>
      </c>
      <c r="AK227">
        <f t="shared" si="180"/>
        <v>14406.338583252002</v>
      </c>
      <c r="AL227">
        <v>1</v>
      </c>
      <c r="AM227">
        <f t="shared" si="181"/>
        <v>24.810916448933998</v>
      </c>
      <c r="AN227">
        <f t="shared" si="196"/>
        <v>608.89666205515357</v>
      </c>
      <c r="AO227">
        <f t="shared" si="197"/>
        <v>-700.9456250332122</v>
      </c>
      <c r="AQ227">
        <f t="shared" si="182"/>
        <v>0.26845637583892618</v>
      </c>
      <c r="AR227">
        <f t="shared" si="183"/>
        <v>-51.812080536912752</v>
      </c>
      <c r="AT227">
        <f t="shared" si="209"/>
        <v>-124625.09398444544</v>
      </c>
      <c r="AU227">
        <f t="shared" si="210"/>
        <v>-219754.96862334089</v>
      </c>
      <c r="AV227">
        <f t="shared" si="198"/>
        <v>-2.0866803429187932</v>
      </c>
      <c r="AW227">
        <f t="shared" si="199"/>
        <v>-31055.433938628408</v>
      </c>
      <c r="AX227">
        <f t="shared" si="200"/>
        <v>-36191.022950184575</v>
      </c>
      <c r="AY227">
        <f t="shared" si="208"/>
        <v>-2.2799727842310284</v>
      </c>
      <c r="BA227">
        <f t="shared" si="184"/>
        <v>5.297532749560891</v>
      </c>
      <c r="BB227">
        <f t="shared" si="201"/>
        <v>14.481473004342311</v>
      </c>
      <c r="BC227">
        <f t="shared" si="202"/>
        <v>0.19329244131223522</v>
      </c>
      <c r="BD227">
        <f t="shared" si="185"/>
        <v>-168.92515888837391</v>
      </c>
      <c r="BF227">
        <f t="shared" si="186"/>
        <v>-13.651576240812513</v>
      </c>
      <c r="BG227">
        <f t="shared" si="187"/>
        <v>-129.27804683801926</v>
      </c>
      <c r="BH227">
        <f t="shared" si="203"/>
        <v>50.721953161980736</v>
      </c>
      <c r="BI227">
        <f t="shared" si="204"/>
        <v>50.721953161980736</v>
      </c>
      <c r="BJ227">
        <f t="shared" si="188"/>
        <v>0</v>
      </c>
      <c r="BK227">
        <f t="shared" si="205"/>
        <v>0</v>
      </c>
      <c r="BM227">
        <f t="shared" si="206"/>
        <v>-28.133049245154822</v>
      </c>
      <c r="BN227">
        <f t="shared" si="189"/>
        <v>-140.35288794964538</v>
      </c>
      <c r="BQ227" s="56">
        <f t="shared" si="207"/>
        <v>31.383433804627447</v>
      </c>
      <c r="BR227" s="59"/>
      <c r="BS227" s="59"/>
      <c r="BT227" s="59">
        <v>14791.084000000001</v>
      </c>
      <c r="BU227" s="59">
        <v>-3.9583900000000001</v>
      </c>
      <c r="BV227" s="59">
        <v>-191.02600000000001</v>
      </c>
      <c r="BW227" s="61"/>
      <c r="BY227" s="59"/>
      <c r="BZ227" s="59"/>
      <c r="CA227" s="59"/>
      <c r="CC227" s="59"/>
    </row>
    <row r="228" spans="1:81" x14ac:dyDescent="0.25">
      <c r="A228">
        <f t="shared" si="190"/>
        <v>97000</v>
      </c>
      <c r="B228">
        <f t="shared" si="191"/>
        <v>97</v>
      </c>
      <c r="C228">
        <f t="shared" si="159"/>
        <v>1.2834401874308046</v>
      </c>
      <c r="D228">
        <f t="shared" si="160"/>
        <v>0.67747824854177652</v>
      </c>
      <c r="F228">
        <f t="shared" si="161"/>
        <v>2.0195861736451528E-3</v>
      </c>
      <c r="G228">
        <f t="shared" si="162"/>
        <v>1.6928959327682364E-2</v>
      </c>
      <c r="H228">
        <f t="shared" si="163"/>
        <v>-3.124663690672318</v>
      </c>
      <c r="J228">
        <f t="shared" si="164"/>
        <v>15</v>
      </c>
      <c r="M228">
        <f t="shared" si="165"/>
        <v>1.8794646174910119E-2</v>
      </c>
      <c r="N228">
        <f t="shared" si="166"/>
        <v>-1.5707963250000001</v>
      </c>
      <c r="O228">
        <f t="shared" si="167"/>
        <v>16.072362866565467</v>
      </c>
      <c r="P228">
        <f t="shared" si="168"/>
        <v>1.5085375085169284</v>
      </c>
      <c r="Q228">
        <f t="shared" si="169"/>
        <v>24.959510909443598</v>
      </c>
      <c r="R228">
        <f t="shared" si="170"/>
        <v>1.5307207127494256</v>
      </c>
      <c r="S228">
        <f t="shared" si="171"/>
        <v>0.77915590441483995</v>
      </c>
      <c r="T228">
        <f t="shared" si="172"/>
        <v>-0.67747824854177641</v>
      </c>
      <c r="U228">
        <f t="shared" si="173"/>
        <v>0.89581305982584225</v>
      </c>
      <c r="V228">
        <f t="shared" si="174"/>
        <v>-0.46053904392263978</v>
      </c>
      <c r="X228">
        <f t="shared" si="192"/>
        <v>-13.781580169662732</v>
      </c>
      <c r="Y228">
        <f t="shared" si="175"/>
        <v>-121.28031649779564</v>
      </c>
      <c r="Z228">
        <f t="shared" si="193"/>
        <v>58.719683502204362</v>
      </c>
      <c r="AC228">
        <v>1</v>
      </c>
      <c r="AD228">
        <f t="shared" si="176"/>
        <v>16.041223398311999</v>
      </c>
      <c r="AE228">
        <f t="shared" si="177"/>
        <v>-1.4664941951817194E-3</v>
      </c>
      <c r="AF228">
        <f t="shared" si="178"/>
        <v>2.9559245243849998E-3</v>
      </c>
      <c r="AG228">
        <f t="shared" si="194"/>
        <v>4220.2195491069833</v>
      </c>
      <c r="AH228">
        <f t="shared" si="195"/>
        <v>-2432.0402675550417</v>
      </c>
      <c r="AJ228">
        <f t="shared" si="179"/>
        <v>18000</v>
      </c>
      <c r="AK228">
        <f t="shared" si="180"/>
        <v>14480.982824616</v>
      </c>
      <c r="AL228">
        <v>1</v>
      </c>
      <c r="AM228">
        <f t="shared" si="181"/>
        <v>24.939470420172</v>
      </c>
      <c r="AN228">
        <f t="shared" si="196"/>
        <v>608.60662643325838</v>
      </c>
      <c r="AO228">
        <f t="shared" si="197"/>
        <v>-697.34413283691538</v>
      </c>
      <c r="AQ228">
        <f t="shared" si="182"/>
        <v>0.26569599064750116</v>
      </c>
      <c r="AR228">
        <f t="shared" si="183"/>
        <v>-51.545022185615217</v>
      </c>
      <c r="AT228">
        <f t="shared" si="209"/>
        <v>-124238.27413358426</v>
      </c>
      <c r="AU228">
        <f t="shared" si="210"/>
        <v>-218177.49363506914</v>
      </c>
      <c r="AV228">
        <f t="shared" si="198"/>
        <v>-2.088439595472964</v>
      </c>
      <c r="AW228">
        <f t="shared" si="199"/>
        <v>-30693.554694792881</v>
      </c>
      <c r="AX228">
        <f t="shared" si="200"/>
        <v>-36006.095155673276</v>
      </c>
      <c r="AY228">
        <f t="shared" si="208"/>
        <v>-2.2767135793002735</v>
      </c>
      <c r="BA228">
        <f t="shared" si="184"/>
        <v>5.306577478728709</v>
      </c>
      <c r="BB228">
        <f t="shared" si="201"/>
        <v>14.496290190644254</v>
      </c>
      <c r="BC228">
        <f t="shared" si="202"/>
        <v>0.18827398382730953</v>
      </c>
      <c r="BD228">
        <f t="shared" si="185"/>
        <v>-169.21269532225455</v>
      </c>
      <c r="BF228">
        <f t="shared" si="186"/>
        <v>-13.709124174004428</v>
      </c>
      <c r="BG228">
        <f t="shared" si="187"/>
        <v>-129.42609300240807</v>
      </c>
      <c r="BH228">
        <f t="shared" si="203"/>
        <v>50.573906997591934</v>
      </c>
      <c r="BI228">
        <f t="shared" si="204"/>
        <v>50.573906997591934</v>
      </c>
      <c r="BJ228">
        <f t="shared" si="188"/>
        <v>0</v>
      </c>
      <c r="BK228">
        <f t="shared" si="205"/>
        <v>0</v>
      </c>
      <c r="BM228">
        <f t="shared" si="206"/>
        <v>-28.205414364648682</v>
      </c>
      <c r="BN228">
        <f t="shared" si="189"/>
        <v>-140.21339768015352</v>
      </c>
      <c r="BQ228" s="56">
        <f t="shared" si="207"/>
        <v>31.398250990929391</v>
      </c>
      <c r="BR228" s="59"/>
      <c r="BS228" s="59"/>
      <c r="BT228" s="59">
        <v>15135.611999999999</v>
      </c>
      <c r="BU228" s="59">
        <v>-3.8792200000000001</v>
      </c>
      <c r="BV228" s="59">
        <v>-189.453</v>
      </c>
      <c r="BW228" s="61"/>
      <c r="BY228" s="59"/>
      <c r="BZ228" s="59"/>
      <c r="CA228" s="59"/>
      <c r="CC228" s="59"/>
    </row>
    <row r="229" spans="1:81" x14ac:dyDescent="0.25">
      <c r="A229">
        <f t="shared" si="190"/>
        <v>97500</v>
      </c>
      <c r="B229">
        <f t="shared" si="191"/>
        <v>97.5</v>
      </c>
      <c r="C229">
        <f t="shared" si="159"/>
        <v>1.2860436498792416</v>
      </c>
      <c r="D229">
        <f t="shared" si="160"/>
        <v>0.67999067244750577</v>
      </c>
      <c r="F229">
        <f t="shared" si="161"/>
        <v>1.9988869760598762E-3</v>
      </c>
      <c r="G229">
        <f t="shared" si="162"/>
        <v>1.6841810617578494E-2</v>
      </c>
      <c r="H229">
        <f t="shared" si="163"/>
        <v>-3.1247508393824219</v>
      </c>
      <c r="J229">
        <f t="shared" si="164"/>
        <v>15</v>
      </c>
      <c r="M229">
        <f t="shared" si="165"/>
        <v>1.8698263374013143E-2</v>
      </c>
      <c r="N229">
        <f t="shared" si="166"/>
        <v>-1.5707963250000001</v>
      </c>
      <c r="O229">
        <f t="shared" si="167"/>
        <v>16.154890202554157</v>
      </c>
      <c r="P229">
        <f t="shared" si="168"/>
        <v>1.5088559664154326</v>
      </c>
      <c r="Q229">
        <f t="shared" si="169"/>
        <v>25.087962190826236</v>
      </c>
      <c r="R229">
        <f t="shared" si="170"/>
        <v>1.5309260104300275</v>
      </c>
      <c r="S229">
        <f t="shared" si="171"/>
        <v>0.77757858381704181</v>
      </c>
      <c r="T229">
        <f t="shared" si="172"/>
        <v>-0.67999067244750566</v>
      </c>
      <c r="U229">
        <f t="shared" si="173"/>
        <v>0.8949000446769525</v>
      </c>
      <c r="V229">
        <f t="shared" si="174"/>
        <v>-0.46258915551422769</v>
      </c>
      <c r="X229">
        <f t="shared" si="192"/>
        <v>-13.835506059613259</v>
      </c>
      <c r="Y229">
        <f t="shared" si="175"/>
        <v>-121.37276350872989</v>
      </c>
      <c r="Z229">
        <f t="shared" si="193"/>
        <v>58.627236491270111</v>
      </c>
      <c r="AC229">
        <v>1</v>
      </c>
      <c r="AD229">
        <f t="shared" si="176"/>
        <v>16.123910116859999</v>
      </c>
      <c r="AE229">
        <f t="shared" si="177"/>
        <v>-1.4816516572373495E-3</v>
      </c>
      <c r="AF229">
        <f t="shared" si="178"/>
        <v>2.9711612487374997E-3</v>
      </c>
      <c r="AG229">
        <f t="shared" si="194"/>
        <v>4211.6214140826714</v>
      </c>
      <c r="AH229">
        <f t="shared" si="195"/>
        <v>-2436.8101364099221</v>
      </c>
      <c r="AJ229">
        <f t="shared" si="179"/>
        <v>18000</v>
      </c>
      <c r="AK229">
        <f t="shared" si="180"/>
        <v>14555.627065980001</v>
      </c>
      <c r="AL229">
        <v>1</v>
      </c>
      <c r="AM229">
        <f t="shared" si="181"/>
        <v>25.068024391409999</v>
      </c>
      <c r="AN229">
        <f t="shared" si="196"/>
        <v>608.32103199414269</v>
      </c>
      <c r="AO229">
        <f t="shared" si="197"/>
        <v>-693.77940185686998</v>
      </c>
      <c r="AQ229">
        <f t="shared" si="182"/>
        <v>0.26297796244674698</v>
      </c>
      <c r="AR229">
        <f t="shared" si="183"/>
        <v>-51.280702677115656</v>
      </c>
      <c r="AT229">
        <f t="shared" si="209"/>
        <v>-123853.77246774631</v>
      </c>
      <c r="AU229">
        <f t="shared" si="210"/>
        <v>-216615.73288868953</v>
      </c>
      <c r="AV229">
        <f t="shared" si="198"/>
        <v>-2.0901976825143538</v>
      </c>
      <c r="AW229">
        <f t="shared" si="199"/>
        <v>-30337.365287277342</v>
      </c>
      <c r="AX229">
        <f t="shared" si="200"/>
        <v>-35823.340836418363</v>
      </c>
      <c r="AY229">
        <f t="shared" si="208"/>
        <v>-2.2734648089280216</v>
      </c>
      <c r="BA229">
        <f t="shared" si="184"/>
        <v>5.3154368739396611</v>
      </c>
      <c r="BB229">
        <f t="shared" si="201"/>
        <v>14.510779296825319</v>
      </c>
      <c r="BC229">
        <f t="shared" si="202"/>
        <v>0.18326712641366782</v>
      </c>
      <c r="BD229">
        <f t="shared" si="185"/>
        <v>-169.4995671210078</v>
      </c>
      <c r="BF229">
        <f t="shared" si="186"/>
        <v>-13.766516569486413</v>
      </c>
      <c r="BG229">
        <f t="shared" si="187"/>
        <v>-129.57400676813546</v>
      </c>
      <c r="BH229">
        <f t="shared" si="203"/>
        <v>50.425993231864538</v>
      </c>
      <c r="BI229">
        <f t="shared" si="204"/>
        <v>50.425993231864538</v>
      </c>
      <c r="BJ229">
        <f t="shared" si="188"/>
        <v>0</v>
      </c>
      <c r="BK229">
        <f t="shared" si="205"/>
        <v>0</v>
      </c>
      <c r="BM229">
        <f t="shared" si="206"/>
        <v>-28.277295866311736</v>
      </c>
      <c r="BN229">
        <f t="shared" si="189"/>
        <v>-140.07443964712766</v>
      </c>
      <c r="BQ229" s="56">
        <f t="shared" si="207"/>
        <v>31.412740097110458</v>
      </c>
      <c r="BR229" s="59"/>
      <c r="BS229" s="59"/>
      <c r="BT229" s="59">
        <v>15488.165999999999</v>
      </c>
      <c r="BU229" s="59">
        <v>-3.9822899999999999</v>
      </c>
      <c r="BV229" s="59">
        <v>-188.48099999999999</v>
      </c>
      <c r="BW229" s="61"/>
      <c r="BY229" s="59"/>
      <c r="BZ229" s="59"/>
      <c r="CA229" s="59"/>
      <c r="CC229" s="59"/>
    </row>
    <row r="230" spans="1:81" x14ac:dyDescent="0.25">
      <c r="A230">
        <f t="shared" si="190"/>
        <v>98000</v>
      </c>
      <c r="B230">
        <f t="shared" si="191"/>
        <v>98</v>
      </c>
      <c r="C230">
        <f t="shared" si="159"/>
        <v>1.2886551973566713</v>
      </c>
      <c r="D230">
        <f t="shared" si="160"/>
        <v>0.6824929288987952</v>
      </c>
      <c r="F230">
        <f t="shared" si="161"/>
        <v>1.978504575192345E-3</v>
      </c>
      <c r="G230">
        <f t="shared" si="162"/>
        <v>1.6755556258327513E-2</v>
      </c>
      <c r="H230">
        <f t="shared" si="163"/>
        <v>-3.1248370937416725</v>
      </c>
      <c r="J230">
        <f t="shared" si="164"/>
        <v>15</v>
      </c>
      <c r="M230">
        <f t="shared" si="165"/>
        <v>1.8602864071084503E-2</v>
      </c>
      <c r="N230">
        <f t="shared" si="166"/>
        <v>-1.5707963250000001</v>
      </c>
      <c r="O230">
        <f t="shared" si="167"/>
        <v>16.237419160243928</v>
      </c>
      <c r="P230">
        <f t="shared" si="168"/>
        <v>1.5091711871318672</v>
      </c>
      <c r="Q230">
        <f t="shared" si="169"/>
        <v>25.216414518822084</v>
      </c>
      <c r="R230">
        <f t="shared" si="170"/>
        <v>1.5311292165477772</v>
      </c>
      <c r="S230">
        <f t="shared" si="171"/>
        <v>0.77600276788642175</v>
      </c>
      <c r="T230">
        <f t="shared" si="172"/>
        <v>-0.68249292889879509</v>
      </c>
      <c r="U230">
        <f t="shared" si="173"/>
        <v>0.89398514282497055</v>
      </c>
      <c r="V230">
        <f t="shared" si="174"/>
        <v>-0.46463508382334961</v>
      </c>
      <c r="X230">
        <f t="shared" si="192"/>
        <v>-13.889224622341711</v>
      </c>
      <c r="Y230">
        <f t="shared" si="175"/>
        <v>-121.46522490729915</v>
      </c>
      <c r="Z230">
        <f t="shared" si="193"/>
        <v>58.534775092700855</v>
      </c>
      <c r="AC230">
        <v>1</v>
      </c>
      <c r="AD230">
        <f t="shared" si="176"/>
        <v>16.206596835408</v>
      </c>
      <c r="AE230">
        <f t="shared" si="177"/>
        <v>-1.4968870496891522E-3</v>
      </c>
      <c r="AF230">
        <f t="shared" si="178"/>
        <v>2.9863979730900001E-3</v>
      </c>
      <c r="AG230">
        <f t="shared" si="194"/>
        <v>4203.0143063214346</v>
      </c>
      <c r="AH230">
        <f t="shared" si="195"/>
        <v>-2441.5492343930318</v>
      </c>
      <c r="AJ230">
        <f t="shared" si="179"/>
        <v>18000</v>
      </c>
      <c r="AK230">
        <f t="shared" si="180"/>
        <v>14630.271307344001</v>
      </c>
      <c r="AL230">
        <v>1</v>
      </c>
      <c r="AM230">
        <f t="shared" si="181"/>
        <v>25.196578362647994</v>
      </c>
      <c r="AN230">
        <f t="shared" si="196"/>
        <v>608.03978857127004</v>
      </c>
      <c r="AO230">
        <f t="shared" si="197"/>
        <v>-690.25087299992231</v>
      </c>
      <c r="AQ230">
        <f t="shared" si="182"/>
        <v>0.26030142905484549</v>
      </c>
      <c r="AR230">
        <f t="shared" si="183"/>
        <v>-51.019080094749718</v>
      </c>
      <c r="AT230">
        <f t="shared" si="209"/>
        <v>-123471.54531449951</v>
      </c>
      <c r="AU230">
        <f t="shared" si="210"/>
        <v>-215069.46228841247</v>
      </c>
      <c r="AV230">
        <f t="shared" si="198"/>
        <v>-2.0919545537343605</v>
      </c>
      <c r="AW230">
        <f t="shared" si="199"/>
        <v>-29986.750097984896</v>
      </c>
      <c r="AX230">
        <f t="shared" si="200"/>
        <v>-35642.720841486538</v>
      </c>
      <c r="AY230">
        <f t="shared" si="208"/>
        <v>-2.2702265502705745</v>
      </c>
      <c r="BA230">
        <f t="shared" si="184"/>
        <v>5.3241120548697056</v>
      </c>
      <c r="BB230">
        <f t="shared" si="201"/>
        <v>14.524943747095062</v>
      </c>
      <c r="BC230">
        <f t="shared" si="202"/>
        <v>0.17827199653621406</v>
      </c>
      <c r="BD230">
        <f t="shared" si="185"/>
        <v>-169.78576698143263</v>
      </c>
      <c r="BF230">
        <f t="shared" si="186"/>
        <v>-13.823755300539222</v>
      </c>
      <c r="BG230">
        <f t="shared" si="187"/>
        <v>-129.72177990523352</v>
      </c>
      <c r="BH230">
        <f t="shared" si="203"/>
        <v>50.278220094766482</v>
      </c>
      <c r="BI230">
        <f t="shared" si="204"/>
        <v>50.278220094766482</v>
      </c>
      <c r="BJ230">
        <f t="shared" si="188"/>
        <v>0</v>
      </c>
      <c r="BK230">
        <f t="shared" si="205"/>
        <v>0</v>
      </c>
      <c r="BM230">
        <f t="shared" si="206"/>
        <v>-28.348699047634284</v>
      </c>
      <c r="BN230">
        <f t="shared" si="189"/>
        <v>-139.93601292380089</v>
      </c>
      <c r="BQ230" s="56">
        <f t="shared" si="207"/>
        <v>31.4269045473802</v>
      </c>
      <c r="BR230" s="59"/>
      <c r="BS230" s="59"/>
      <c r="BT230" s="59">
        <v>15848.932000000001</v>
      </c>
      <c r="BU230" s="59">
        <v>-3.9450400000000001</v>
      </c>
      <c r="BV230" s="59">
        <v>-186.14400000000001</v>
      </c>
      <c r="BW230" s="61"/>
      <c r="BY230" s="59"/>
      <c r="BZ230" s="59"/>
      <c r="CA230" s="59"/>
      <c r="CC230" s="59"/>
    </row>
    <row r="231" spans="1:81" x14ac:dyDescent="0.25">
      <c r="A231">
        <f t="shared" si="190"/>
        <v>98500</v>
      </c>
      <c r="B231">
        <f t="shared" si="191"/>
        <v>98.5</v>
      </c>
      <c r="C231">
        <f t="shared" si="159"/>
        <v>1.2912747808082292</v>
      </c>
      <c r="D231">
        <f t="shared" si="160"/>
        <v>0.68498504834558116</v>
      </c>
      <c r="F231">
        <f t="shared" si="161"/>
        <v>1.9584325353095597E-3</v>
      </c>
      <c r="G231">
        <f t="shared" si="162"/>
        <v>1.6670182527739202E-2</v>
      </c>
      <c r="H231">
        <f t="shared" si="163"/>
        <v>-3.1249224674722611</v>
      </c>
      <c r="J231">
        <f t="shared" si="164"/>
        <v>15</v>
      </c>
      <c r="M231">
        <f t="shared" si="165"/>
        <v>1.8508433288997782E-2</v>
      </c>
      <c r="N231">
        <f t="shared" si="166"/>
        <v>-1.5707963250000001</v>
      </c>
      <c r="O231">
        <f t="shared" si="167"/>
        <v>16.319949715032255</v>
      </c>
      <c r="P231">
        <f t="shared" si="168"/>
        <v>1.5094832197147359</v>
      </c>
      <c r="Q231">
        <f t="shared" si="169"/>
        <v>25.344867877517888</v>
      </c>
      <c r="R231">
        <f t="shared" si="170"/>
        <v>1.5313303628872641</v>
      </c>
      <c r="S231">
        <f t="shared" si="171"/>
        <v>0.77442850651360529</v>
      </c>
      <c r="T231">
        <f t="shared" si="172"/>
        <v>-0.68498504834558116</v>
      </c>
      <c r="U231">
        <f t="shared" si="173"/>
        <v>0.89306838299290481</v>
      </c>
      <c r="V231">
        <f t="shared" si="174"/>
        <v>-0.46667682456568449</v>
      </c>
      <c r="X231">
        <f t="shared" si="192"/>
        <v>-13.942738105164587</v>
      </c>
      <c r="Y231">
        <f t="shared" si="175"/>
        <v>-121.55769660285854</v>
      </c>
      <c r="Z231">
        <f t="shared" si="193"/>
        <v>58.442303397141458</v>
      </c>
      <c r="AC231">
        <v>1</v>
      </c>
      <c r="AD231">
        <f t="shared" si="176"/>
        <v>16.289283553956</v>
      </c>
      <c r="AE231">
        <f t="shared" si="177"/>
        <v>-1.5122003725371281E-3</v>
      </c>
      <c r="AF231">
        <f t="shared" si="178"/>
        <v>3.0016346974425E-3</v>
      </c>
      <c r="AG231">
        <f t="shared" si="194"/>
        <v>4194.3985500916142</v>
      </c>
      <c r="AH231">
        <f t="shared" si="195"/>
        <v>-2446.2573864414721</v>
      </c>
      <c r="AJ231">
        <f t="shared" si="179"/>
        <v>18000</v>
      </c>
      <c r="AK231">
        <f t="shared" si="180"/>
        <v>14704.915548708002</v>
      </c>
      <c r="AL231">
        <v>1</v>
      </c>
      <c r="AM231">
        <f t="shared" si="181"/>
        <v>25.325132333886</v>
      </c>
      <c r="AN231">
        <f t="shared" si="196"/>
        <v>607.76280827360415</v>
      </c>
      <c r="AO231">
        <f t="shared" si="197"/>
        <v>-686.75799843521111</v>
      </c>
      <c r="AQ231">
        <f t="shared" si="182"/>
        <v>0.25766555011594949</v>
      </c>
      <c r="AR231">
        <f t="shared" si="183"/>
        <v>-50.760113372842049</v>
      </c>
      <c r="AT231">
        <f t="shared" si="209"/>
        <v>-123091.55026510652</v>
      </c>
      <c r="AU231">
        <f t="shared" si="210"/>
        <v>-213538.46218873729</v>
      </c>
      <c r="AV231">
        <f t="shared" si="198"/>
        <v>-2.0937101599074435</v>
      </c>
      <c r="AW231">
        <f t="shared" si="199"/>
        <v>-29641.596418686273</v>
      </c>
      <c r="AX231">
        <f t="shared" si="200"/>
        <v>-35464.19694958628</v>
      </c>
      <c r="AY231">
        <f t="shared" si="208"/>
        <v>-2.2669988783281427</v>
      </c>
      <c r="BA231">
        <f t="shared" si="184"/>
        <v>5.3326041542066323</v>
      </c>
      <c r="BB231">
        <f t="shared" si="201"/>
        <v>14.538786933270256</v>
      </c>
      <c r="BC231">
        <f t="shared" si="202"/>
        <v>0.17328871842069926</v>
      </c>
      <c r="BD231">
        <f t="shared" si="185"/>
        <v>-170.0712877859178</v>
      </c>
      <c r="BF231">
        <f t="shared" si="186"/>
        <v>-13.880842194249771</v>
      </c>
      <c r="BG231">
        <f t="shared" si="187"/>
        <v>-129.86940433766182</v>
      </c>
      <c r="BH231">
        <f t="shared" si="203"/>
        <v>50.13059566233818</v>
      </c>
      <c r="BI231">
        <f t="shared" si="204"/>
        <v>50.13059566233818</v>
      </c>
      <c r="BJ231">
        <f t="shared" si="188"/>
        <v>0</v>
      </c>
      <c r="BK231">
        <f t="shared" si="205"/>
        <v>0</v>
      </c>
      <c r="BM231">
        <f t="shared" si="206"/>
        <v>-28.419629127520025</v>
      </c>
      <c r="BN231">
        <f t="shared" si="189"/>
        <v>-139.79811655174402</v>
      </c>
      <c r="BQ231" s="56">
        <f t="shared" si="207"/>
        <v>31.440747733555391</v>
      </c>
      <c r="BR231" s="59"/>
      <c r="BS231" s="59"/>
      <c r="BT231" s="59">
        <v>16218.101000000001</v>
      </c>
      <c r="BU231" s="59">
        <v>-3.9639700000000002</v>
      </c>
      <c r="BV231" s="59">
        <v>-185.626</v>
      </c>
      <c r="BW231" s="61"/>
      <c r="BY231" s="59"/>
      <c r="BZ231" s="59"/>
      <c r="CA231" s="59"/>
      <c r="CC231" s="59"/>
    </row>
    <row r="232" spans="1:81" x14ac:dyDescent="0.25">
      <c r="A232">
        <f t="shared" si="190"/>
        <v>99000</v>
      </c>
      <c r="B232">
        <f t="shared" si="191"/>
        <v>99</v>
      </c>
      <c r="C232">
        <f t="shared" si="159"/>
        <v>1.2939023514259713</v>
      </c>
      <c r="D232">
        <f t="shared" si="160"/>
        <v>0.68746706149525072</v>
      </c>
      <c r="F232">
        <f t="shared" si="161"/>
        <v>1.9386645833769105E-3</v>
      </c>
      <c r="G232">
        <f t="shared" si="162"/>
        <v>1.6585675983420586E-2</v>
      </c>
      <c r="H232">
        <f t="shared" si="163"/>
        <v>-3.1250069740165798</v>
      </c>
      <c r="J232">
        <f t="shared" si="164"/>
        <v>15</v>
      </c>
      <c r="M232">
        <f t="shared" si="165"/>
        <v>1.8414956353194761E-2</v>
      </c>
      <c r="N232">
        <f t="shared" si="166"/>
        <v>-1.5707963250000001</v>
      </c>
      <c r="O232">
        <f t="shared" si="167"/>
        <v>16.402481842811312</v>
      </c>
      <c r="P232">
        <f t="shared" si="168"/>
        <v>1.509792112227869</v>
      </c>
      <c r="Q232">
        <f t="shared" si="169"/>
        <v>25.473322251321225</v>
      </c>
      <c r="R232">
        <f t="shared" si="170"/>
        <v>1.5315294805926312</v>
      </c>
      <c r="S232">
        <f t="shared" si="171"/>
        <v>0.77285584874154523</v>
      </c>
      <c r="T232">
        <f t="shared" si="172"/>
        <v>-0.68746706149525061</v>
      </c>
      <c r="U232">
        <f t="shared" si="173"/>
        <v>0.89214979378561454</v>
      </c>
      <c r="V232">
        <f t="shared" si="174"/>
        <v>-0.46871437361408436</v>
      </c>
      <c r="X232">
        <f t="shared" si="192"/>
        <v>-13.996048717293938</v>
      </c>
      <c r="Y232">
        <f t="shared" si="175"/>
        <v>-121.65017459084947</v>
      </c>
      <c r="Z232">
        <f t="shared" si="193"/>
        <v>58.349825409150526</v>
      </c>
      <c r="AC232">
        <v>1</v>
      </c>
      <c r="AD232">
        <f t="shared" si="176"/>
        <v>16.371970272504001</v>
      </c>
      <c r="AE232">
        <f t="shared" si="177"/>
        <v>-1.5275916257812766E-3</v>
      </c>
      <c r="AF232">
        <f t="shared" si="178"/>
        <v>3.0168714217949999E-3</v>
      </c>
      <c r="AG232">
        <f t="shared" si="194"/>
        <v>4185.7744675551194</v>
      </c>
      <c r="AH232">
        <f t="shared" si="195"/>
        <v>-2450.9344251890107</v>
      </c>
      <c r="AJ232">
        <f t="shared" si="179"/>
        <v>18000</v>
      </c>
      <c r="AK232">
        <f t="shared" si="180"/>
        <v>14779.559790072</v>
      </c>
      <c r="AL232">
        <v>1</v>
      </c>
      <c r="AM232">
        <f t="shared" si="181"/>
        <v>25.453686305124002</v>
      </c>
      <c r="AN232">
        <f t="shared" si="196"/>
        <v>607.49000541708108</v>
      </c>
      <c r="AO232">
        <f t="shared" si="197"/>
        <v>-683.30024131246125</v>
      </c>
      <c r="AQ232">
        <f t="shared" si="182"/>
        <v>0.25506950644050502</v>
      </c>
      <c r="AR232">
        <f t="shared" si="183"/>
        <v>-50.503762275219998</v>
      </c>
      <c r="AT232">
        <f t="shared" si="209"/>
        <v>-122713.74613438822</v>
      </c>
      <c r="AU232">
        <f t="shared" si="210"/>
        <v>-212022.51728124032</v>
      </c>
      <c r="AV232">
        <f t="shared" si="198"/>
        <v>-2.0954644528669357</v>
      </c>
      <c r="AW232">
        <f t="shared" si="199"/>
        <v>-29301.794363514684</v>
      </c>
      <c r="AX232">
        <f t="shared" si="200"/>
        <v>-35287.731841715518</v>
      </c>
      <c r="AY232">
        <f t="shared" si="208"/>
        <v>-2.2637818659656341</v>
      </c>
      <c r="BA232">
        <f t="shared" si="184"/>
        <v>5.3409143172142288</v>
      </c>
      <c r="BB232">
        <f t="shared" si="201"/>
        <v>14.552312215216709</v>
      </c>
      <c r="BC232">
        <f t="shared" si="202"/>
        <v>0.16831741309869841</v>
      </c>
      <c r="BD232">
        <f t="shared" si="185"/>
        <v>-170.35612259986485</v>
      </c>
      <c r="BF232">
        <f t="shared" si="186"/>
        <v>-13.937779032589322</v>
      </c>
      <c r="BG232">
        <f t="shared" si="187"/>
        <v>-130.01687214161055</v>
      </c>
      <c r="BH232">
        <f t="shared" si="203"/>
        <v>49.983127858389452</v>
      </c>
      <c r="BI232">
        <f t="shared" si="204"/>
        <v>49.983127858389452</v>
      </c>
      <c r="BJ232">
        <f t="shared" si="188"/>
        <v>0</v>
      </c>
      <c r="BK232">
        <f t="shared" si="205"/>
        <v>0</v>
      </c>
      <c r="BM232">
        <f t="shared" si="206"/>
        <v>-28.490091247806028</v>
      </c>
      <c r="BN232">
        <f t="shared" si="189"/>
        <v>-139.6607495417457</v>
      </c>
      <c r="BQ232" s="56">
        <f t="shared" si="207"/>
        <v>31.454273015501848</v>
      </c>
      <c r="BR232" s="59"/>
      <c r="BS232" s="59"/>
      <c r="BT232" s="59">
        <v>16595.868999999999</v>
      </c>
      <c r="BU232" s="59">
        <v>-3.91065</v>
      </c>
      <c r="BV232" s="59">
        <v>-184.43100000000001</v>
      </c>
      <c r="BW232" s="61"/>
      <c r="BY232" s="59"/>
      <c r="BZ232" s="59"/>
      <c r="CA232" s="59"/>
      <c r="CC232" s="59"/>
    </row>
    <row r="233" spans="1:81" x14ac:dyDescent="0.25">
      <c r="A233">
        <f t="shared" si="190"/>
        <v>99500</v>
      </c>
      <c r="B233">
        <f t="shared" si="191"/>
        <v>99.5</v>
      </c>
      <c r="C233">
        <f t="shared" si="159"/>
        <v>1.2965378606493962</v>
      </c>
      <c r="D233">
        <f t="shared" si="160"/>
        <v>0.68993899930471492</v>
      </c>
      <c r="F233">
        <f t="shared" si="161"/>
        <v>1.9191946041444148E-3</v>
      </c>
      <c r="G233">
        <f t="shared" si="162"/>
        <v>1.6502023455668324E-2</v>
      </c>
      <c r="H233">
        <f t="shared" si="163"/>
        <v>-3.1250906265443317</v>
      </c>
      <c r="J233">
        <f t="shared" si="164"/>
        <v>15</v>
      </c>
      <c r="M233">
        <f t="shared" si="165"/>
        <v>1.8322418884083234E-2</v>
      </c>
      <c r="N233">
        <f t="shared" si="166"/>
        <v>-1.5707963250000001</v>
      </c>
      <c r="O233">
        <f t="shared" si="167"/>
        <v>16.485015519955585</v>
      </c>
      <c r="P233">
        <f t="shared" si="168"/>
        <v>1.510097911774978</v>
      </c>
      <c r="Q233">
        <f t="shared" si="169"/>
        <v>25.60177762495249</v>
      </c>
      <c r="R233">
        <f t="shared" si="170"/>
        <v>1.5317266001836167</v>
      </c>
      <c r="S233">
        <f t="shared" si="171"/>
        <v>0.77128484277283693</v>
      </c>
      <c r="T233">
        <f t="shared" si="172"/>
        <v>-0.68993899930471481</v>
      </c>
      <c r="U233">
        <f t="shared" si="173"/>
        <v>0.89122940368851733</v>
      </c>
      <c r="V233">
        <f t="shared" si="174"/>
        <v>-0.47074772699754702</v>
      </c>
      <c r="X233">
        <f t="shared" si="192"/>
        <v>-14.049158630654404</v>
      </c>
      <c r="Y233">
        <f t="shared" si="175"/>
        <v>-121.7426549508228</v>
      </c>
      <c r="Z233">
        <f t="shared" si="193"/>
        <v>58.257345049177204</v>
      </c>
      <c r="AC233">
        <v>1</v>
      </c>
      <c r="AD233">
        <f t="shared" si="176"/>
        <v>16.454656991052001</v>
      </c>
      <c r="AE233">
        <f t="shared" si="177"/>
        <v>-1.5430608094215983E-3</v>
      </c>
      <c r="AF233">
        <f t="shared" si="178"/>
        <v>3.0321081461474999E-3</v>
      </c>
      <c r="AG233">
        <f t="shared" si="194"/>
        <v>4177.1423787554504</v>
      </c>
      <c r="AH233">
        <f t="shared" si="195"/>
        <v>-2455.5801907962182</v>
      </c>
      <c r="AJ233">
        <f t="shared" si="179"/>
        <v>18000</v>
      </c>
      <c r="AK233">
        <f t="shared" si="180"/>
        <v>14854.204031436</v>
      </c>
      <c r="AL233">
        <v>1</v>
      </c>
      <c r="AM233">
        <f t="shared" si="181"/>
        <v>25.582240276362</v>
      </c>
      <c r="AN233">
        <f t="shared" si="196"/>
        <v>607.22129645847212</v>
      </c>
      <c r="AO233">
        <f t="shared" si="197"/>
        <v>-679.87707548867263</v>
      </c>
      <c r="AQ233">
        <f t="shared" si="182"/>
        <v>0.25251249936871878</v>
      </c>
      <c r="AR233">
        <f t="shared" si="183"/>
        <v>-50.249987374375031</v>
      </c>
      <c r="AT233">
        <f t="shared" si="209"/>
        <v>-122338.09292199687</v>
      </c>
      <c r="AU233">
        <f t="shared" si="210"/>
        <v>-210521.41648480654</v>
      </c>
      <c r="AV233">
        <f t="shared" si="198"/>
        <v>-2.0972173854815495</v>
      </c>
      <c r="AW233">
        <f t="shared" si="199"/>
        <v>-28967.236784516077</v>
      </c>
      <c r="AX233">
        <f t="shared" si="200"/>
        <v>-35113.289074768407</v>
      </c>
      <c r="AY233">
        <f t="shared" si="208"/>
        <v>-2.2605755839333965</v>
      </c>
      <c r="BA233">
        <f t="shared" si="184"/>
        <v>5.349043701297977</v>
      </c>
      <c r="BB233">
        <f t="shared" si="201"/>
        <v>14.565522921276798</v>
      </c>
      <c r="BC233">
        <f t="shared" si="202"/>
        <v>0.16335819845184707</v>
      </c>
      <c r="BD233">
        <f t="shared" si="185"/>
        <v>-170.64026466915357</v>
      </c>
      <c r="BF233">
        <f t="shared" si="186"/>
        <v>-13.994567553468425</v>
      </c>
      <c r="BG233">
        <f t="shared" si="187"/>
        <v>-130.16417554382761</v>
      </c>
      <c r="BH233">
        <f t="shared" si="203"/>
        <v>49.835824456172389</v>
      </c>
      <c r="BI233">
        <f t="shared" si="204"/>
        <v>49.835824456172389</v>
      </c>
      <c r="BJ233">
        <f t="shared" si="188"/>
        <v>0</v>
      </c>
      <c r="BK233">
        <f t="shared" si="205"/>
        <v>0</v>
      </c>
      <c r="BM233">
        <f t="shared" si="206"/>
        <v>-28.560090474745223</v>
      </c>
      <c r="BN233">
        <f t="shared" si="189"/>
        <v>-139.52391087467404</v>
      </c>
      <c r="BQ233" s="56">
        <f t="shared" si="207"/>
        <v>31.467483721561933</v>
      </c>
      <c r="BR233" s="59"/>
      <c r="BS233" s="59"/>
      <c r="BT233" s="59">
        <v>16982.437000000002</v>
      </c>
      <c r="BU233" s="59">
        <v>-3.9488799999999999</v>
      </c>
      <c r="BV233" s="59">
        <v>-182.72200000000001</v>
      </c>
      <c r="BW233" s="61"/>
      <c r="BY233" s="59"/>
      <c r="BZ233" s="59"/>
      <c r="CA233" s="59"/>
      <c r="CC233" s="59"/>
    </row>
    <row r="234" spans="1:81" x14ac:dyDescent="0.25">
      <c r="A234">
        <f t="shared" si="190"/>
        <v>100000</v>
      </c>
      <c r="B234">
        <f t="shared" si="191"/>
        <v>100</v>
      </c>
      <c r="C234">
        <f t="shared" si="159"/>
        <v>1.2991812601659198</v>
      </c>
      <c r="D234">
        <f t="shared" si="160"/>
        <v>0.69240089297259233</v>
      </c>
      <c r="F234">
        <f t="shared" si="161"/>
        <v>1.9000166354053343E-3</v>
      </c>
      <c r="G234">
        <f t="shared" si="162"/>
        <v>1.6419212040576975E-2</v>
      </c>
      <c r="H234">
        <f t="shared" si="163"/>
        <v>-3.1251734379594232</v>
      </c>
      <c r="J234">
        <f t="shared" si="164"/>
        <v>15</v>
      </c>
      <c r="M234">
        <f t="shared" si="165"/>
        <v>1.8230806789662816E-2</v>
      </c>
      <c r="N234">
        <f t="shared" si="166"/>
        <v>-1.5707963250000001</v>
      </c>
      <c r="O234">
        <f t="shared" si="167"/>
        <v>16.56755072330991</v>
      </c>
      <c r="P234">
        <f t="shared" si="168"/>
        <v>1.5104006645234809</v>
      </c>
      <c r="Q234">
        <f t="shared" si="169"/>
        <v>25.730233983437095</v>
      </c>
      <c r="R234">
        <f t="shared" si="170"/>
        <v>1.5319217515711172</v>
      </c>
      <c r="S234">
        <f t="shared" si="171"/>
        <v>0.76971553597708842</v>
      </c>
      <c r="T234">
        <f t="shared" si="172"/>
        <v>-0.69240089297259222</v>
      </c>
      <c r="U234">
        <f t="shared" si="173"/>
        <v>0.89030724106632686</v>
      </c>
      <c r="V234">
        <f t="shared" si="174"/>
        <v>-0.47277688090018311</v>
      </c>
      <c r="X234">
        <f t="shared" si="192"/>
        <v>-14.102069980678779</v>
      </c>
      <c r="Y234">
        <f t="shared" si="175"/>
        <v>-121.83513384451716</v>
      </c>
      <c r="Z234">
        <f t="shared" si="193"/>
        <v>58.164866155482841</v>
      </c>
      <c r="AC234">
        <v>1</v>
      </c>
      <c r="AD234">
        <f t="shared" si="176"/>
        <v>16.537343709599998</v>
      </c>
      <c r="AE234">
        <f t="shared" si="177"/>
        <v>-1.5586079234580928E-3</v>
      </c>
      <c r="AF234">
        <f t="shared" si="178"/>
        <v>3.0473448705000002E-3</v>
      </c>
      <c r="AG234">
        <f t="shared" si="194"/>
        <v>4168.5026016062111</v>
      </c>
      <c r="AH234">
        <f t="shared" si="195"/>
        <v>-2460.1945307847668</v>
      </c>
      <c r="AJ234">
        <f t="shared" si="179"/>
        <v>18000</v>
      </c>
      <c r="AK234">
        <f t="shared" si="180"/>
        <v>14928.848272800002</v>
      </c>
      <c r="AL234">
        <v>1</v>
      </c>
      <c r="AM234">
        <f t="shared" si="181"/>
        <v>25.710794247599999</v>
      </c>
      <c r="AN234">
        <f t="shared" si="196"/>
        <v>606.95659993154914</v>
      </c>
      <c r="AO234">
        <f t="shared" si="197"/>
        <v>-676.48798526292205</v>
      </c>
      <c r="AQ234">
        <f t="shared" si="182"/>
        <v>0.24999375015624609</v>
      </c>
      <c r="AR234">
        <f t="shared" si="183"/>
        <v>-49.998750031249216</v>
      </c>
      <c r="AT234">
        <f t="shared" si="209"/>
        <v>-121964.55177504242</v>
      </c>
      <c r="AU234">
        <f t="shared" si="210"/>
        <v>-209034.95283918575</v>
      </c>
      <c r="AV234">
        <f t="shared" si="198"/>
        <v>-2.0989689116325367</v>
      </c>
      <c r="AW234">
        <f t="shared" si="199"/>
        <v>-28637.819190134007</v>
      </c>
      <c r="AX234">
        <f t="shared" si="200"/>
        <v>-34940.833056062722</v>
      </c>
      <c r="AY234">
        <f t="shared" si="208"/>
        <v>-2.2573801008879304</v>
      </c>
      <c r="BA234">
        <f t="shared" si="184"/>
        <v>5.3569934755724837</v>
      </c>
      <c r="BB234">
        <f t="shared" si="201"/>
        <v>14.57842234868327</v>
      </c>
      <c r="BC234">
        <f t="shared" si="202"/>
        <v>0.15841118925539366</v>
      </c>
      <c r="BD234">
        <f t="shared" si="185"/>
        <v>-170.92370741764663</v>
      </c>
      <c r="BF234">
        <f t="shared" si="186"/>
        <v>-14.051209451769104</v>
      </c>
      <c r="BG234">
        <f t="shared" si="187"/>
        <v>-130.31130691996577</v>
      </c>
      <c r="BH234">
        <f t="shared" si="203"/>
        <v>49.688693080034227</v>
      </c>
      <c r="BI234">
        <f t="shared" si="204"/>
        <v>49.688693080034227</v>
      </c>
      <c r="BJ234">
        <f t="shared" si="188"/>
        <v>0</v>
      </c>
      <c r="BK234">
        <f t="shared" si="205"/>
        <v>0</v>
      </c>
      <c r="BM234">
        <f t="shared" si="206"/>
        <v>-28.62963180045238</v>
      </c>
      <c r="BN234">
        <f t="shared" si="189"/>
        <v>-139.38759950231915</v>
      </c>
      <c r="BQ234" s="56">
        <f t="shared" si="207"/>
        <v>31.480383148968407</v>
      </c>
      <c r="BR234" s="59"/>
      <c r="BS234" s="59"/>
      <c r="BT234" s="59">
        <v>17378.008000000002</v>
      </c>
      <c r="BU234" s="59">
        <v>-3.8028900000000001</v>
      </c>
      <c r="BV234" s="59">
        <v>-181.726</v>
      </c>
      <c r="BW234" s="61"/>
      <c r="BY234" s="59"/>
      <c r="BZ234" s="59"/>
      <c r="CA234" s="59"/>
      <c r="CC234" s="59"/>
    </row>
    <row r="235" spans="1:81" x14ac:dyDescent="0.25">
      <c r="A235">
        <f>A234+5000</f>
        <v>105000</v>
      </c>
      <c r="B235">
        <f t="shared" si="191"/>
        <v>105</v>
      </c>
      <c r="C235">
        <f t="shared" si="159"/>
        <v>1.3260387706661725</v>
      </c>
      <c r="D235">
        <f t="shared" si="160"/>
        <v>0.71647442326969213</v>
      </c>
      <c r="F235">
        <f t="shared" si="161"/>
        <v>1.7230865611230892E-3</v>
      </c>
      <c r="G235">
        <f t="shared" si="162"/>
        <v>1.5634697472427253E-2</v>
      </c>
      <c r="H235">
        <f t="shared" si="163"/>
        <v>-3.1259579525275729</v>
      </c>
      <c r="J235">
        <f t="shared" si="164"/>
        <v>15</v>
      </c>
      <c r="M235">
        <f t="shared" si="165"/>
        <v>1.7362673133012204E-2</v>
      </c>
      <c r="N235">
        <f t="shared" si="166"/>
        <v>-1.5707963250000001</v>
      </c>
      <c r="O235">
        <f t="shared" si="167"/>
        <v>17.392981918257004</v>
      </c>
      <c r="P235">
        <f t="shared" si="168"/>
        <v>1.5132701497871983</v>
      </c>
      <c r="Q235">
        <f t="shared" si="169"/>
        <v>27.014848644380173</v>
      </c>
      <c r="R235">
        <f t="shared" si="170"/>
        <v>1.5337711882672984</v>
      </c>
      <c r="S235">
        <f t="shared" si="171"/>
        <v>0.75412576322909652</v>
      </c>
      <c r="T235">
        <f t="shared" si="172"/>
        <v>-0.71647442326969202</v>
      </c>
      <c r="U235">
        <f t="shared" si="173"/>
        <v>0.88099427751811332</v>
      </c>
      <c r="V235">
        <f t="shared" si="174"/>
        <v>-0.49283671779721333</v>
      </c>
      <c r="X235">
        <f t="shared" si="192"/>
        <v>-14.620707694553939</v>
      </c>
      <c r="Y235">
        <f t="shared" si="175"/>
        <v>-122.75905289906127</v>
      </c>
      <c r="Z235">
        <f t="shared" si="193"/>
        <v>57.240947100938726</v>
      </c>
      <c r="AC235">
        <v>1</v>
      </c>
      <c r="AD235">
        <f t="shared" si="176"/>
        <v>17.364210895079999</v>
      </c>
      <c r="AE235">
        <f t="shared" si="177"/>
        <v>-1.7183652356125476E-3</v>
      </c>
      <c r="AF235">
        <f t="shared" si="178"/>
        <v>3.1997121140249999E-3</v>
      </c>
      <c r="AG235">
        <f t="shared" si="194"/>
        <v>4081.7503683282098</v>
      </c>
      <c r="AH235">
        <f t="shared" si="195"/>
        <v>-2504.5809272206589</v>
      </c>
      <c r="AJ235">
        <f t="shared" si="179"/>
        <v>18000</v>
      </c>
      <c r="AK235">
        <f t="shared" si="180"/>
        <v>15675.290686440003</v>
      </c>
      <c r="AL235">
        <v>1</v>
      </c>
      <c r="AM235">
        <f t="shared" si="181"/>
        <v>26.996333959979999</v>
      </c>
      <c r="AN235">
        <f t="shared" si="196"/>
        <v>604.51376361017321</v>
      </c>
      <c r="AO235">
        <f t="shared" si="197"/>
        <v>-644.3647593846373</v>
      </c>
      <c r="AQ235">
        <f t="shared" si="182"/>
        <v>0.22675222784063853</v>
      </c>
      <c r="AR235">
        <f t="shared" si="183"/>
        <v>-47.617967846534093</v>
      </c>
      <c r="AT235">
        <f t="shared" si="209"/>
        <v>-118337.50807192811</v>
      </c>
      <c r="AU235">
        <f t="shared" si="210"/>
        <v>-194932.57710168586</v>
      </c>
      <c r="AV235">
        <f t="shared" si="198"/>
        <v>-2.116397352830647</v>
      </c>
      <c r="AW235">
        <f t="shared" si="199"/>
        <v>-25605.103812260724</v>
      </c>
      <c r="AX235">
        <f t="shared" si="200"/>
        <v>-33318.274891596688</v>
      </c>
      <c r="AY235">
        <f t="shared" si="208"/>
        <v>-2.2260328634215267</v>
      </c>
      <c r="BA235">
        <f t="shared" si="184"/>
        <v>5.4268774010584293</v>
      </c>
      <c r="BB235">
        <f t="shared" si="201"/>
        <v>14.691000210306211</v>
      </c>
      <c r="BC235">
        <f t="shared" si="202"/>
        <v>0.10963551059087973</v>
      </c>
      <c r="BD235">
        <f t="shared" si="185"/>
        <v>-173.71834795120293</v>
      </c>
      <c r="BF235">
        <f t="shared" si="186"/>
        <v>-14.609908260802131</v>
      </c>
      <c r="BG235">
        <f t="shared" si="187"/>
        <v>-131.77158514171472</v>
      </c>
      <c r="BH235">
        <f t="shared" si="203"/>
        <v>48.228414858285277</v>
      </c>
      <c r="BI235">
        <f t="shared" si="204"/>
        <v>48.228414858285277</v>
      </c>
      <c r="BJ235">
        <f t="shared" si="188"/>
        <v>0</v>
      </c>
      <c r="BK235">
        <f t="shared" si="205"/>
        <v>0</v>
      </c>
      <c r="BM235">
        <f t="shared" si="206"/>
        <v>-29.300908471108343</v>
      </c>
      <c r="BN235">
        <f t="shared" si="189"/>
        <v>-138.05323719051182</v>
      </c>
      <c r="BQ235" s="56">
        <f t="shared" si="207"/>
        <v>31.592961010591345</v>
      </c>
      <c r="BR235" s="59"/>
      <c r="BS235" s="59"/>
      <c r="BT235" s="59">
        <v>17782.794000000002</v>
      </c>
      <c r="BU235" s="59">
        <v>-3.8474200000000001</v>
      </c>
      <c r="BV235" s="59">
        <v>-180.351</v>
      </c>
      <c r="BW235" s="61"/>
      <c r="BY235" s="59"/>
      <c r="BZ235" s="59"/>
      <c r="CA235" s="59"/>
      <c r="CC235" s="59"/>
    </row>
    <row r="236" spans="1:81" x14ac:dyDescent="0.25">
      <c r="A236">
        <f t="shared" ref="A236:A299" si="211">A235+5000</f>
        <v>110000</v>
      </c>
      <c r="B236">
        <f t="shared" si="191"/>
        <v>110</v>
      </c>
      <c r="C236">
        <f t="shared" si="159"/>
        <v>1.353634018332589</v>
      </c>
      <c r="D236">
        <f t="shared" si="160"/>
        <v>0.7395793695090408</v>
      </c>
      <c r="F236">
        <f t="shared" si="161"/>
        <v>1.5697777739236975E-3</v>
      </c>
      <c r="G236">
        <f t="shared" si="162"/>
        <v>1.4921839763015567E-2</v>
      </c>
      <c r="H236">
        <f t="shared" si="163"/>
        <v>-3.1266708102369845</v>
      </c>
      <c r="J236">
        <f t="shared" si="164"/>
        <v>15</v>
      </c>
      <c r="M236">
        <f t="shared" si="165"/>
        <v>1.6573460717875289E-2</v>
      </c>
      <c r="N236">
        <f t="shared" si="166"/>
        <v>-1.5707963250000001</v>
      </c>
      <c r="O236">
        <f t="shared" si="167"/>
        <v>18.218543348276516</v>
      </c>
      <c r="P236">
        <f t="shared" si="168"/>
        <v>1.5158795972308783</v>
      </c>
      <c r="Q236">
        <f t="shared" si="169"/>
        <v>28.299547318275778</v>
      </c>
      <c r="R236">
        <f t="shared" si="170"/>
        <v>1.5354527146073806</v>
      </c>
      <c r="S236">
        <f t="shared" si="171"/>
        <v>0.73875211944791652</v>
      </c>
      <c r="T236">
        <f t="shared" si="172"/>
        <v>-0.73957936950904068</v>
      </c>
      <c r="U236">
        <f t="shared" si="173"/>
        <v>0.87153432270663822</v>
      </c>
      <c r="V236">
        <f t="shared" si="174"/>
        <v>-0.51247352026759008</v>
      </c>
      <c r="X236">
        <f t="shared" si="192"/>
        <v>-15.121594558743144</v>
      </c>
      <c r="Y236">
        <f t="shared" si="175"/>
        <v>-123.67914785512909</v>
      </c>
      <c r="Z236">
        <f t="shared" si="193"/>
        <v>56.320852144870912</v>
      </c>
      <c r="AC236">
        <v>1</v>
      </c>
      <c r="AD236">
        <f t="shared" si="176"/>
        <v>18.191078080560001</v>
      </c>
      <c r="AE236">
        <f t="shared" si="177"/>
        <v>-1.8859155873842924E-3</v>
      </c>
      <c r="AF236">
        <f t="shared" si="178"/>
        <v>3.3520793575499996E-3</v>
      </c>
      <c r="AG236">
        <f t="shared" si="194"/>
        <v>3994.5628248236812</v>
      </c>
      <c r="AH236">
        <f t="shared" si="195"/>
        <v>-2545.7059293362886</v>
      </c>
      <c r="AJ236">
        <f t="shared" si="179"/>
        <v>18000</v>
      </c>
      <c r="AK236">
        <f t="shared" si="180"/>
        <v>16421.73310008</v>
      </c>
      <c r="AL236">
        <v>1</v>
      </c>
      <c r="AM236">
        <f t="shared" si="181"/>
        <v>28.281873672359996</v>
      </c>
      <c r="AN236">
        <f t="shared" si="196"/>
        <v>602.39585380219398</v>
      </c>
      <c r="AO236">
        <f t="shared" si="197"/>
        <v>-615.15033790708719</v>
      </c>
      <c r="AQ236">
        <f t="shared" si="182"/>
        <v>0.20660730150203507</v>
      </c>
      <c r="AR236">
        <f t="shared" si="183"/>
        <v>-45.45360633044772</v>
      </c>
      <c r="AT236">
        <f t="shared" si="209"/>
        <v>-114886.20929922105</v>
      </c>
      <c r="AU236">
        <f t="shared" si="210"/>
        <v>-182093.24753425471</v>
      </c>
      <c r="AV236">
        <f t="shared" si="198"/>
        <v>-2.1336411533854456</v>
      </c>
      <c r="AW236">
        <f t="shared" si="199"/>
        <v>-22988.455472482008</v>
      </c>
      <c r="AX236">
        <f t="shared" si="200"/>
        <v>-31860.705873766598</v>
      </c>
      <c r="AY236">
        <f t="shared" si="208"/>
        <v>-2.1958262960394745</v>
      </c>
      <c r="BA236">
        <f t="shared" si="184"/>
        <v>5.4801570730383036</v>
      </c>
      <c r="BB236">
        <f t="shared" si="201"/>
        <v>14.775860129454442</v>
      </c>
      <c r="BC236">
        <f t="shared" si="202"/>
        <v>6.2185142654028969E-2</v>
      </c>
      <c r="BD236">
        <f t="shared" si="185"/>
        <v>-176.43705377343392</v>
      </c>
      <c r="BF236">
        <f t="shared" si="186"/>
        <v>-15.15552597213807</v>
      </c>
      <c r="BG236">
        <f t="shared" si="187"/>
        <v>-133.207318795231</v>
      </c>
      <c r="BH236">
        <f t="shared" si="203"/>
        <v>46.792681204768996</v>
      </c>
      <c r="BI236">
        <f t="shared" si="204"/>
        <v>46.792681204768996</v>
      </c>
      <c r="BJ236">
        <f t="shared" si="188"/>
        <v>0</v>
      </c>
      <c r="BK236">
        <f t="shared" si="205"/>
        <v>0</v>
      </c>
      <c r="BM236">
        <f t="shared" si="206"/>
        <v>-29.931386101592512</v>
      </c>
      <c r="BN236">
        <f t="shared" si="189"/>
        <v>-136.77026502179709</v>
      </c>
      <c r="BQ236" s="56">
        <f t="shared" si="207"/>
        <v>31.677820929739578</v>
      </c>
      <c r="BR236" s="59"/>
      <c r="BS236" s="59"/>
      <c r="BT236" s="59">
        <v>18197.008999999998</v>
      </c>
      <c r="BU236" s="59">
        <v>-3.8303199999999999</v>
      </c>
      <c r="BV236" s="59">
        <v>-179.43</v>
      </c>
      <c r="BY236" s="59"/>
      <c r="BZ236" s="59"/>
      <c r="CA236" s="59"/>
      <c r="CC236" s="59"/>
    </row>
    <row r="237" spans="1:81" x14ac:dyDescent="0.25">
      <c r="A237">
        <f t="shared" si="211"/>
        <v>115000</v>
      </c>
      <c r="B237">
        <f t="shared" si="191"/>
        <v>115</v>
      </c>
      <c r="C237">
        <f t="shared" si="159"/>
        <v>1.3819228088422457</v>
      </c>
      <c r="D237">
        <f t="shared" si="160"/>
        <v>0.76174981076317039</v>
      </c>
      <c r="F237">
        <f t="shared" si="161"/>
        <v>1.4360635287309911E-3</v>
      </c>
      <c r="G237">
        <f t="shared" si="162"/>
        <v>1.4271237360395782E-2</v>
      </c>
      <c r="H237">
        <f t="shared" si="163"/>
        <v>-3.1273214126396045</v>
      </c>
      <c r="J237">
        <f t="shared" si="164"/>
        <v>15</v>
      </c>
      <c r="M237">
        <f t="shared" si="165"/>
        <v>1.5852875469272013E-2</v>
      </c>
      <c r="N237">
        <f t="shared" si="166"/>
        <v>-1.5707963250000001</v>
      </c>
      <c r="O237">
        <f t="shared" si="167"/>
        <v>19.044218076416087</v>
      </c>
      <c r="P237">
        <f t="shared" si="168"/>
        <v>1.5182627910946402</v>
      </c>
      <c r="Q237">
        <f t="shared" si="169"/>
        <v>29.58431906034178</v>
      </c>
      <c r="R237">
        <f t="shared" si="170"/>
        <v>1.5369881961548562</v>
      </c>
      <c r="S237">
        <f t="shared" si="171"/>
        <v>0.72362941953160553</v>
      </c>
      <c r="T237">
        <f t="shared" si="172"/>
        <v>-0.76174981076317028</v>
      </c>
      <c r="U237">
        <f t="shared" si="173"/>
        <v>0.8619535838550384</v>
      </c>
      <c r="V237">
        <f t="shared" si="174"/>
        <v>-0.53168586497605896</v>
      </c>
      <c r="X237">
        <f t="shared" si="192"/>
        <v>-15.606368737444864</v>
      </c>
      <c r="Y237">
        <f t="shared" si="175"/>
        <v>-124.59268733198427</v>
      </c>
      <c r="Z237">
        <f t="shared" si="193"/>
        <v>55.407312668015734</v>
      </c>
      <c r="AC237">
        <v>1</v>
      </c>
      <c r="AD237">
        <f t="shared" si="176"/>
        <v>19.017945266039998</v>
      </c>
      <c r="AE237">
        <f t="shared" si="177"/>
        <v>-2.0612589787733283E-3</v>
      </c>
      <c r="AF237">
        <f t="shared" si="178"/>
        <v>3.5044466010750001E-3</v>
      </c>
      <c r="AG237">
        <f t="shared" si="194"/>
        <v>3907.2214378171648</v>
      </c>
      <c r="AH237">
        <f t="shared" si="195"/>
        <v>-2583.5164011284933</v>
      </c>
      <c r="AJ237">
        <f t="shared" si="179"/>
        <v>18000</v>
      </c>
      <c r="AK237">
        <f t="shared" si="180"/>
        <v>17168.175513720002</v>
      </c>
      <c r="AL237">
        <v>1</v>
      </c>
      <c r="AM237">
        <f t="shared" si="181"/>
        <v>29.567413384739996</v>
      </c>
      <c r="AN237">
        <f t="shared" si="196"/>
        <v>600.54771986567437</v>
      </c>
      <c r="AO237">
        <f t="shared" si="197"/>
        <v>-588.46717681142627</v>
      </c>
      <c r="AQ237">
        <f t="shared" si="182"/>
        <v>0.18903234343396155</v>
      </c>
      <c r="AR237">
        <f t="shared" si="183"/>
        <v>-43.477438989811155</v>
      </c>
      <c r="AT237">
        <f t="shared" si="209"/>
        <v>-111586.08548453456</v>
      </c>
      <c r="AU237">
        <f t="shared" si="210"/>
        <v>-170364.34984198341</v>
      </c>
      <c r="AV237">
        <f t="shared" si="198"/>
        <v>-2.1506679287804542</v>
      </c>
      <c r="AW237">
        <f t="shared" si="199"/>
        <v>-20717.053622125066</v>
      </c>
      <c r="AX237">
        <f t="shared" si="200"/>
        <v>-30543.390365716979</v>
      </c>
      <c r="AY237">
        <f t="shared" si="208"/>
        <v>-2.1667977520249133</v>
      </c>
      <c r="BA237">
        <f t="shared" si="184"/>
        <v>5.518130127826069</v>
      </c>
      <c r="BB237">
        <f t="shared" si="201"/>
        <v>14.835838754796818</v>
      </c>
      <c r="BC237">
        <f t="shared" si="202"/>
        <v>1.6129823244459107E-2</v>
      </c>
      <c r="BD237">
        <f t="shared" si="185"/>
        <v>-179.07582920274447</v>
      </c>
      <c r="BF237">
        <f t="shared" si="186"/>
        <v>-15.689187310464806</v>
      </c>
      <c r="BG237">
        <f t="shared" si="187"/>
        <v>-134.61309828113949</v>
      </c>
      <c r="BH237">
        <f t="shared" si="203"/>
        <v>45.386901718860514</v>
      </c>
      <c r="BI237">
        <f t="shared" si="204"/>
        <v>45.386901718860514</v>
      </c>
      <c r="BJ237">
        <f t="shared" si="188"/>
        <v>0</v>
      </c>
      <c r="BK237">
        <f t="shared" si="205"/>
        <v>0</v>
      </c>
      <c r="BM237">
        <f t="shared" si="206"/>
        <v>-30.525026065261621</v>
      </c>
      <c r="BN237">
        <f t="shared" si="189"/>
        <v>-135.53726907839504</v>
      </c>
      <c r="BQ237" s="56">
        <f t="shared" si="207"/>
        <v>31.737799555081953</v>
      </c>
      <c r="BR237" s="59"/>
      <c r="BS237" s="59"/>
      <c r="BT237" s="59">
        <v>18620.870999999999</v>
      </c>
      <c r="BU237" s="59">
        <v>-3.77474</v>
      </c>
      <c r="BV237" s="59">
        <v>-178.09100000000001</v>
      </c>
      <c r="BY237" s="59"/>
      <c r="BZ237" s="59"/>
      <c r="CA237" s="59"/>
      <c r="CC237" s="59"/>
    </row>
    <row r="238" spans="1:81" x14ac:dyDescent="0.25">
      <c r="A238">
        <f t="shared" si="211"/>
        <v>120000</v>
      </c>
      <c r="B238">
        <f t="shared" si="191"/>
        <v>120</v>
      </c>
      <c r="C238">
        <f t="shared" si="159"/>
        <v>1.4108634247663672</v>
      </c>
      <c r="D238">
        <f t="shared" si="160"/>
        <v>0.78302080518755224</v>
      </c>
      <c r="F238">
        <f t="shared" si="161"/>
        <v>1.3187402681812893E-3</v>
      </c>
      <c r="G238">
        <f t="shared" si="162"/>
        <v>1.3675066413398258E-2</v>
      </c>
      <c r="H238">
        <f t="shared" si="163"/>
        <v>-3.1279175835866018</v>
      </c>
      <c r="J238">
        <f t="shared" si="164"/>
        <v>15</v>
      </c>
      <c r="M238">
        <f t="shared" si="165"/>
        <v>1.5192338991385678E-2</v>
      </c>
      <c r="N238">
        <f t="shared" si="166"/>
        <v>-1.5707963250000001</v>
      </c>
      <c r="O238">
        <f t="shared" si="167"/>
        <v>19.869991978760417</v>
      </c>
      <c r="P238">
        <f t="shared" si="168"/>
        <v>1.5204479109584408</v>
      </c>
      <c r="Q238">
        <f t="shared" si="169"/>
        <v>30.869154747305384</v>
      </c>
      <c r="R238">
        <f t="shared" si="170"/>
        <v>1.5383958611959117</v>
      </c>
      <c r="S238">
        <f t="shared" si="171"/>
        <v>0.70878582749113073</v>
      </c>
      <c r="T238">
        <f t="shared" si="172"/>
        <v>-0.78302080518755213</v>
      </c>
      <c r="U238">
        <f t="shared" si="173"/>
        <v>0.85227685966141375</v>
      </c>
      <c r="V238">
        <f t="shared" si="174"/>
        <v>-0.5504736422993306</v>
      </c>
      <c r="X238">
        <f t="shared" si="192"/>
        <v>-16.076434083533247</v>
      </c>
      <c r="Y238">
        <f t="shared" si="175"/>
        <v>-125.49745434745788</v>
      </c>
      <c r="Z238">
        <f t="shared" si="193"/>
        <v>54.502545652542125</v>
      </c>
      <c r="AC238">
        <v>1</v>
      </c>
      <c r="AD238">
        <f t="shared" si="176"/>
        <v>19.844812451519999</v>
      </c>
      <c r="AE238">
        <f t="shared" si="177"/>
        <v>-2.2443954097796535E-3</v>
      </c>
      <c r="AF238">
        <f t="shared" si="178"/>
        <v>3.6568138445999998E-3</v>
      </c>
      <c r="AG238">
        <f t="shared" si="194"/>
        <v>3819.9850183230351</v>
      </c>
      <c r="AH238">
        <f t="shared" si="195"/>
        <v>-2618.0049757491738</v>
      </c>
      <c r="AJ238">
        <f t="shared" si="179"/>
        <v>18000</v>
      </c>
      <c r="AK238">
        <f t="shared" si="180"/>
        <v>17914.617927359999</v>
      </c>
      <c r="AL238">
        <v>1</v>
      </c>
      <c r="AM238">
        <f t="shared" si="181"/>
        <v>30.852953097119997</v>
      </c>
      <c r="AN238">
        <f t="shared" si="196"/>
        <v>598.9254306267236</v>
      </c>
      <c r="AO238">
        <f t="shared" si="197"/>
        <v>-564.00029243870335</v>
      </c>
      <c r="AQ238">
        <f t="shared" si="182"/>
        <v>0.1736080970816479</v>
      </c>
      <c r="AR238">
        <f t="shared" si="183"/>
        <v>-41.66594329959549</v>
      </c>
      <c r="AT238">
        <f t="shared" si="209"/>
        <v>-108418.46654771248</v>
      </c>
      <c r="AU238">
        <f t="shared" si="210"/>
        <v>-159617.78604074192</v>
      </c>
      <c r="AV238">
        <f t="shared" si="198"/>
        <v>-2.1674517423764197</v>
      </c>
      <c r="AW238">
        <f t="shared" si="199"/>
        <v>-18734.443120459917</v>
      </c>
      <c r="AX238">
        <f t="shared" si="200"/>
        <v>-29346.281959667984</v>
      </c>
      <c r="AY238">
        <f t="shared" si="208"/>
        <v>-2.1389682139066784</v>
      </c>
      <c r="BA238">
        <f t="shared" si="184"/>
        <v>5.5421250194199647</v>
      </c>
      <c r="BB238">
        <f t="shared" si="201"/>
        <v>14.873526367689397</v>
      </c>
      <c r="BC238">
        <f t="shared" si="202"/>
        <v>-2.8483528469741337E-2</v>
      </c>
      <c r="BD238">
        <f t="shared" si="185"/>
        <v>-181.63198596882171</v>
      </c>
      <c r="BF238">
        <f t="shared" si="186"/>
        <v>-16.211763597632029</v>
      </c>
      <c r="BG238">
        <f t="shared" si="187"/>
        <v>-135.98467491843104</v>
      </c>
      <c r="BH238">
        <f t="shared" si="203"/>
        <v>44.01532508156896</v>
      </c>
      <c r="BI238">
        <f t="shared" si="204"/>
        <v>44.01532508156896</v>
      </c>
      <c r="BJ238">
        <f t="shared" si="188"/>
        <v>0</v>
      </c>
      <c r="BK238">
        <f t="shared" si="205"/>
        <v>0</v>
      </c>
      <c r="BM238">
        <f t="shared" si="206"/>
        <v>-31.085289965321429</v>
      </c>
      <c r="BN238">
        <f t="shared" si="189"/>
        <v>-134.35268894960933</v>
      </c>
      <c r="BQ238" s="56">
        <f t="shared" si="207"/>
        <v>31.775487167974536</v>
      </c>
      <c r="BR238" s="59"/>
      <c r="BS238" s="59"/>
      <c r="BT238" s="59">
        <v>19054.607</v>
      </c>
      <c r="BU238" s="59">
        <v>-3.7312500000000002</v>
      </c>
      <c r="BV238" s="59">
        <v>-176.916</v>
      </c>
      <c r="BY238" s="59"/>
      <c r="BZ238" s="59"/>
      <c r="CA238" s="59"/>
      <c r="CC238" s="59"/>
    </row>
    <row r="239" spans="1:81" x14ac:dyDescent="0.25">
      <c r="A239">
        <f t="shared" si="211"/>
        <v>125000</v>
      </c>
      <c r="B239">
        <f t="shared" si="191"/>
        <v>125</v>
      </c>
      <c r="C239">
        <f t="shared" si="159"/>
        <v>1.4404165775296935</v>
      </c>
      <c r="D239">
        <f t="shared" si="160"/>
        <v>0.80342788492801243</v>
      </c>
      <c r="F239">
        <f t="shared" si="161"/>
        <v>1.2152335688534008E-3</v>
      </c>
      <c r="G239">
        <f t="shared" si="162"/>
        <v>1.3126762793113696E-2</v>
      </c>
      <c r="H239">
        <f t="shared" si="163"/>
        <v>-3.1284658872068865</v>
      </c>
      <c r="J239">
        <f t="shared" si="164"/>
        <v>15</v>
      </c>
      <c r="M239">
        <f t="shared" si="165"/>
        <v>1.4584645431730251E-2</v>
      </c>
      <c r="N239">
        <f t="shared" si="166"/>
        <v>-1.5707963250000001</v>
      </c>
      <c r="O239">
        <f t="shared" si="167"/>
        <v>20.695853184026031</v>
      </c>
      <c r="P239">
        <f t="shared" si="168"/>
        <v>1.5224586468176753</v>
      </c>
      <c r="Q239">
        <f t="shared" si="169"/>
        <v>32.15404671369194</v>
      </c>
      <c r="R239">
        <f t="shared" si="170"/>
        <v>1.5396910266214341</v>
      </c>
      <c r="S239">
        <f t="shared" si="171"/>
        <v>0.69424360674534502</v>
      </c>
      <c r="T239">
        <f t="shared" si="172"/>
        <v>-0.80342788492801231</v>
      </c>
      <c r="U239">
        <f t="shared" si="173"/>
        <v>0.8425274882009457</v>
      </c>
      <c r="V239">
        <f t="shared" si="174"/>
        <v>-0.56883794593003967</v>
      </c>
      <c r="X239">
        <f t="shared" si="192"/>
        <v>-16.533001111756803</v>
      </c>
      <c r="Y239">
        <f t="shared" si="175"/>
        <v>-126.39165273244669</v>
      </c>
      <c r="Z239">
        <f t="shared" si="193"/>
        <v>53.608347267553313</v>
      </c>
      <c r="AC239">
        <v>1</v>
      </c>
      <c r="AD239">
        <f t="shared" si="176"/>
        <v>20.671679637</v>
      </c>
      <c r="AE239">
        <f t="shared" si="177"/>
        <v>-2.4353248804032702E-3</v>
      </c>
      <c r="AF239">
        <f t="shared" si="178"/>
        <v>3.8091810881249995E-3</v>
      </c>
      <c r="AG239">
        <f t="shared" si="194"/>
        <v>3733.0896851168618</v>
      </c>
      <c r="AH239">
        <f t="shared" si="195"/>
        <v>-2649.2009588100618</v>
      </c>
      <c r="AJ239">
        <f t="shared" si="179"/>
        <v>18000</v>
      </c>
      <c r="AK239">
        <f t="shared" si="180"/>
        <v>18661.060341</v>
      </c>
      <c r="AL239">
        <v>1</v>
      </c>
      <c r="AM239">
        <f t="shared" si="181"/>
        <v>32.138492809500001</v>
      </c>
      <c r="AN239">
        <f t="shared" si="196"/>
        <v>597.49364371547881</v>
      </c>
      <c r="AO239">
        <f t="shared" si="197"/>
        <v>-541.48483127187637</v>
      </c>
      <c r="AQ239">
        <f t="shared" si="182"/>
        <v>0.15999744004095934</v>
      </c>
      <c r="AR239">
        <f t="shared" si="183"/>
        <v>-39.999360010239833</v>
      </c>
      <c r="AT239">
        <f t="shared" si="209"/>
        <v>-105369.05809785421</v>
      </c>
      <c r="AU239">
        <f t="shared" si="210"/>
        <v>-149745.06363706588</v>
      </c>
      <c r="AV239">
        <f t="shared" si="198"/>
        <v>-2.1839719740352859</v>
      </c>
      <c r="AW239">
        <f t="shared" si="199"/>
        <v>-16995.172905555366</v>
      </c>
      <c r="AX239">
        <f t="shared" si="200"/>
        <v>-28252.967025986422</v>
      </c>
      <c r="AY239">
        <f t="shared" si="208"/>
        <v>-2.11234437301282</v>
      </c>
      <c r="BA239">
        <f t="shared" si="184"/>
        <v>5.5534689180560282</v>
      </c>
      <c r="BB239">
        <f t="shared" si="201"/>
        <v>14.891286910568653</v>
      </c>
      <c r="BC239">
        <f t="shared" si="202"/>
        <v>-7.1627601022465903E-2</v>
      </c>
      <c r="BD239">
        <f t="shared" si="185"/>
        <v>-184.10395923992368</v>
      </c>
      <c r="BF239">
        <f t="shared" si="186"/>
        <v>-16.723930535207575</v>
      </c>
      <c r="BG239">
        <f t="shared" si="187"/>
        <v>-137.31882413025161</v>
      </c>
      <c r="BH239">
        <f t="shared" si="203"/>
        <v>42.681175869748387</v>
      </c>
      <c r="BI239">
        <f t="shared" si="204"/>
        <v>42.681175869748387</v>
      </c>
      <c r="BJ239">
        <f t="shared" si="188"/>
        <v>0</v>
      </c>
      <c r="BK239">
        <f t="shared" si="205"/>
        <v>0</v>
      </c>
      <c r="BM239">
        <f t="shared" si="206"/>
        <v>-31.615217445776228</v>
      </c>
      <c r="BN239">
        <f t="shared" si="189"/>
        <v>-133.21486489032793</v>
      </c>
      <c r="BQ239" s="56">
        <f t="shared" si="207"/>
        <v>31.793247710853791</v>
      </c>
      <c r="BR239" s="59"/>
      <c r="BS239" s="59"/>
      <c r="BT239" s="59">
        <v>19498.446</v>
      </c>
      <c r="BU239" s="59">
        <v>-3.7243200000000001</v>
      </c>
      <c r="BV239" s="59">
        <v>-175.511</v>
      </c>
      <c r="BY239" s="59"/>
      <c r="BZ239" s="59"/>
      <c r="CA239" s="59"/>
      <c r="CC239" s="59"/>
    </row>
    <row r="240" spans="1:81" x14ac:dyDescent="0.25">
      <c r="A240">
        <f t="shared" si="211"/>
        <v>130000</v>
      </c>
      <c r="B240">
        <f t="shared" si="191"/>
        <v>130</v>
      </c>
      <c r="C240">
        <f t="shared" si="159"/>
        <v>1.4705453376333077</v>
      </c>
      <c r="D240">
        <f t="shared" si="160"/>
        <v>0.82300663760933779</v>
      </c>
      <c r="F240">
        <f t="shared" si="161"/>
        <v>1.1234554502383919E-3</v>
      </c>
      <c r="G240">
        <f t="shared" si="162"/>
        <v>1.2620778114555475E-2</v>
      </c>
      <c r="H240">
        <f t="shared" si="163"/>
        <v>-3.1289718718854447</v>
      </c>
      <c r="J240">
        <f t="shared" si="164"/>
        <v>15</v>
      </c>
      <c r="M240">
        <f t="shared" si="165"/>
        <v>1.4023697530509856E-2</v>
      </c>
      <c r="N240">
        <f t="shared" si="166"/>
        <v>-1.5707963250000001</v>
      </c>
      <c r="O240">
        <f t="shared" si="167"/>
        <v>21.521791641923425</v>
      </c>
      <c r="P240">
        <f t="shared" si="168"/>
        <v>1.5243150583137601</v>
      </c>
      <c r="Q240">
        <f t="shared" si="169"/>
        <v>33.438988471897474</v>
      </c>
      <c r="R240">
        <f t="shared" si="170"/>
        <v>1.5408866566963508</v>
      </c>
      <c r="S240">
        <f t="shared" si="171"/>
        <v>0.68001983645699604</v>
      </c>
      <c r="T240">
        <f t="shared" si="172"/>
        <v>-0.82300663760933768</v>
      </c>
      <c r="U240">
        <f t="shared" si="173"/>
        <v>0.83272731749512208</v>
      </c>
      <c r="V240">
        <f t="shared" si="174"/>
        <v>-0.58678096308565741</v>
      </c>
      <c r="X240">
        <f t="shared" si="192"/>
        <v>-16.977119666834785</v>
      </c>
      <c r="Y240">
        <f t="shared" si="175"/>
        <v>-127.27383357386528</v>
      </c>
      <c r="Z240">
        <f t="shared" si="193"/>
        <v>52.726166426134725</v>
      </c>
      <c r="AC240">
        <v>1</v>
      </c>
      <c r="AD240">
        <f t="shared" si="176"/>
        <v>21.498546822480002</v>
      </c>
      <c r="AE240">
        <f t="shared" si="177"/>
        <v>-2.6340473906441768E-3</v>
      </c>
      <c r="AF240">
        <f t="shared" si="178"/>
        <v>3.9615483316500005E-3</v>
      </c>
      <c r="AG240">
        <f t="shared" si="194"/>
        <v>3646.7491415060281</v>
      </c>
      <c r="AH240">
        <f t="shared" si="195"/>
        <v>-2677.1628597297781</v>
      </c>
      <c r="AJ240">
        <f t="shared" si="179"/>
        <v>18000</v>
      </c>
      <c r="AK240">
        <f t="shared" si="180"/>
        <v>19407.502754640002</v>
      </c>
      <c r="AL240">
        <v>1</v>
      </c>
      <c r="AM240">
        <f t="shared" si="181"/>
        <v>33.424032521880001</v>
      </c>
      <c r="AN240">
        <f t="shared" si="196"/>
        <v>596.2236671805623</v>
      </c>
      <c r="AO240">
        <f t="shared" si="197"/>
        <v>-520.69648751767454</v>
      </c>
      <c r="AQ240">
        <f t="shared" si="182"/>
        <v>0.14792680581648202</v>
      </c>
      <c r="AR240">
        <f t="shared" si="183"/>
        <v>-38.460969512285324</v>
      </c>
      <c r="AT240">
        <f t="shared" si="209"/>
        <v>-102426.8271753726</v>
      </c>
      <c r="AU240">
        <f t="shared" si="210"/>
        <v>-140653.53170090637</v>
      </c>
      <c r="AV240">
        <f t="shared" si="198"/>
        <v>-2.2002124234806235</v>
      </c>
      <c r="AW240">
        <f t="shared" si="199"/>
        <v>-15462.318540100176</v>
      </c>
      <c r="AX240">
        <f t="shared" si="200"/>
        <v>-27249.881580883441</v>
      </c>
      <c r="AY240">
        <f t="shared" si="208"/>
        <v>-2.0869206717708151</v>
      </c>
      <c r="BA240">
        <f t="shared" si="184"/>
        <v>5.5534611480891938</v>
      </c>
      <c r="BB240">
        <f t="shared" si="201"/>
        <v>14.891274757962305</v>
      </c>
      <c r="BC240">
        <f t="shared" si="202"/>
        <v>-0.11329175170980843</v>
      </c>
      <c r="BD240">
        <f t="shared" si="185"/>
        <v>-186.49113923403326</v>
      </c>
      <c r="BF240">
        <f t="shared" si="186"/>
        <v>-17.226214580040349</v>
      </c>
      <c r="BG240">
        <f t="shared" si="187"/>
        <v>-138.61321501292178</v>
      </c>
      <c r="BH240">
        <f t="shared" si="203"/>
        <v>41.386784987078215</v>
      </c>
      <c r="BI240">
        <f t="shared" si="204"/>
        <v>41.386784987078215</v>
      </c>
      <c r="BJ240">
        <f t="shared" si="188"/>
        <v>0</v>
      </c>
      <c r="BK240">
        <f t="shared" si="205"/>
        <v>0</v>
      </c>
      <c r="BM240">
        <f t="shared" si="206"/>
        <v>-32.117489338002649</v>
      </c>
      <c r="BN240">
        <f t="shared" si="189"/>
        <v>-132.12207577888853</v>
      </c>
      <c r="BQ240" s="56">
        <f t="shared" si="207"/>
        <v>31.793235558247442</v>
      </c>
      <c r="BR240" s="59"/>
      <c r="BS240" s="59"/>
      <c r="BT240" s="59">
        <v>19952.623</v>
      </c>
      <c r="BU240" s="59">
        <v>-3.67421</v>
      </c>
      <c r="BV240" s="59">
        <v>-174.244</v>
      </c>
      <c r="BY240" s="59"/>
      <c r="BZ240" s="59"/>
      <c r="CA240" s="59"/>
      <c r="CC240" s="59"/>
    </row>
    <row r="241" spans="1:81" x14ac:dyDescent="0.25">
      <c r="A241">
        <f t="shared" si="211"/>
        <v>135000</v>
      </c>
      <c r="B241">
        <f t="shared" si="191"/>
        <v>135</v>
      </c>
      <c r="C241">
        <f t="shared" si="159"/>
        <v>1.5012150488792719</v>
      </c>
      <c r="D241">
        <f t="shared" si="160"/>
        <v>0.84179236517498457</v>
      </c>
      <c r="F241">
        <f t="shared" si="161"/>
        <v>1.0416980726163023E-3</v>
      </c>
      <c r="G241">
        <f t="shared" si="162"/>
        <v>1.2152390399082528E-2</v>
      </c>
      <c r="H241">
        <f t="shared" si="163"/>
        <v>-3.1294402596009179</v>
      </c>
      <c r="J241">
        <f t="shared" si="164"/>
        <v>15</v>
      </c>
      <c r="M241">
        <f t="shared" si="165"/>
        <v>1.3504301325676159E-2</v>
      </c>
      <c r="N241">
        <f t="shared" si="166"/>
        <v>-1.5707963250000001</v>
      </c>
      <c r="O241">
        <f t="shared" si="167"/>
        <v>22.34779878705768</v>
      </c>
      <c r="P241">
        <f t="shared" si="168"/>
        <v>1.526034244037433</v>
      </c>
      <c r="Q241">
        <f t="shared" si="169"/>
        <v>34.723974494365017</v>
      </c>
      <c r="R241">
        <f t="shared" si="170"/>
        <v>1.5419937979304792</v>
      </c>
      <c r="S241">
        <f t="shared" si="171"/>
        <v>0.66612708202368964</v>
      </c>
      <c r="T241">
        <f t="shared" si="172"/>
        <v>-0.84179236517498457</v>
      </c>
      <c r="U241">
        <f t="shared" si="173"/>
        <v>0.82289669613580585</v>
      </c>
      <c r="V241">
        <f t="shared" si="174"/>
        <v>-0.60430586672178799</v>
      </c>
      <c r="X241">
        <f t="shared" si="192"/>
        <v>-17.409705214480034</v>
      </c>
      <c r="Y241">
        <f t="shared" si="175"/>
        <v>-128.1428366226483</v>
      </c>
      <c r="Z241">
        <f t="shared" si="193"/>
        <v>51.857163377351696</v>
      </c>
      <c r="AC241">
        <v>1</v>
      </c>
      <c r="AD241">
        <f t="shared" si="176"/>
        <v>22.325414007959999</v>
      </c>
      <c r="AE241">
        <f t="shared" si="177"/>
        <v>-2.8405629405023744E-3</v>
      </c>
      <c r="AF241">
        <f t="shared" si="178"/>
        <v>4.1139155751749997E-3</v>
      </c>
      <c r="AG241">
        <f t="shared" si="194"/>
        <v>3561.1552146042532</v>
      </c>
      <c r="AH241">
        <f t="shared" si="195"/>
        <v>-2701.9722026037875</v>
      </c>
      <c r="AJ241">
        <f t="shared" si="179"/>
        <v>18000</v>
      </c>
      <c r="AK241">
        <f t="shared" si="180"/>
        <v>20153.945168279999</v>
      </c>
      <c r="AL241">
        <v>1</v>
      </c>
      <c r="AM241">
        <f t="shared" si="181"/>
        <v>34.709572234260001</v>
      </c>
      <c r="AN241">
        <f t="shared" si="196"/>
        <v>595.0920127975794</v>
      </c>
      <c r="AO241">
        <f t="shared" si="197"/>
        <v>-501.44403594876195</v>
      </c>
      <c r="AQ241">
        <f t="shared" si="182"/>
        <v>0.13717232959767356</v>
      </c>
      <c r="AR241">
        <f t="shared" si="183"/>
        <v>-37.03652899137186</v>
      </c>
      <c r="AT241">
        <f t="shared" si="209"/>
        <v>-99583.179858769901</v>
      </c>
      <c r="AU241">
        <f t="shared" si="210"/>
        <v>-132263.46417000482</v>
      </c>
      <c r="AV241">
        <f t="shared" si="198"/>
        <v>-2.2161605895053929</v>
      </c>
      <c r="AW241">
        <f t="shared" si="199"/>
        <v>-14105.632601895404</v>
      </c>
      <c r="AX241">
        <f t="shared" si="200"/>
        <v>-26325.722313811042</v>
      </c>
      <c r="AY241">
        <f t="shared" si="208"/>
        <v>-2.0626812672914774</v>
      </c>
      <c r="BA241">
        <f t="shared" si="184"/>
        <v>5.5433522525834134</v>
      </c>
      <c r="BB241">
        <f t="shared" si="201"/>
        <v>14.875449534658195</v>
      </c>
      <c r="BC241">
        <f t="shared" si="202"/>
        <v>-0.15347932221391547</v>
      </c>
      <c r="BD241">
        <f t="shared" si="185"/>
        <v>-188.79371741543412</v>
      </c>
      <c r="BF241">
        <f t="shared" si="186"/>
        <v>-17.719029885236214</v>
      </c>
      <c r="BG241">
        <f t="shared" si="187"/>
        <v>-139.86628692780164</v>
      </c>
      <c r="BH241">
        <f t="shared" si="203"/>
        <v>40.133713072198361</v>
      </c>
      <c r="BI241">
        <f t="shared" si="204"/>
        <v>40.133713072198361</v>
      </c>
      <c r="BJ241">
        <f t="shared" si="188"/>
        <v>0</v>
      </c>
      <c r="BK241">
        <f t="shared" si="205"/>
        <v>0</v>
      </c>
      <c r="BM241">
        <f t="shared" si="206"/>
        <v>-32.594479419894412</v>
      </c>
      <c r="BN241">
        <f t="shared" si="189"/>
        <v>-131.07256951236752</v>
      </c>
      <c r="BQ241" s="56">
        <f t="shared" si="207"/>
        <v>31.777410334943333</v>
      </c>
      <c r="BR241" s="59"/>
      <c r="BS241" s="59"/>
      <c r="BT241" s="59">
        <v>20417.379000000001</v>
      </c>
      <c r="BU241" s="59">
        <v>-3.6440899999999998</v>
      </c>
      <c r="BV241" s="59">
        <v>-173.369</v>
      </c>
      <c r="BY241" s="59"/>
      <c r="BZ241" s="59"/>
      <c r="CA241" s="59"/>
      <c r="CC241" s="59"/>
    </row>
    <row r="242" spans="1:81" x14ac:dyDescent="0.25">
      <c r="A242">
        <f t="shared" si="211"/>
        <v>140000</v>
      </c>
      <c r="B242">
        <f t="shared" si="191"/>
        <v>140</v>
      </c>
      <c r="C242">
        <f t="shared" si="159"/>
        <v>1.5323932314069919</v>
      </c>
      <c r="D242">
        <f t="shared" si="160"/>
        <v>0.85981981073624869</v>
      </c>
      <c r="F242">
        <f t="shared" si="161"/>
        <v>9.6855358920198802E-4</v>
      </c>
      <c r="G242">
        <f t="shared" si="162"/>
        <v>1.1717555602583217E-2</v>
      </c>
      <c r="H242">
        <f t="shared" si="163"/>
        <v>-3.1298750943974172</v>
      </c>
      <c r="J242">
        <f t="shared" si="164"/>
        <v>15</v>
      </c>
      <c r="M242">
        <f t="shared" si="165"/>
        <v>1.3022004849759154E-2</v>
      </c>
      <c r="N242">
        <f t="shared" si="166"/>
        <v>-1.5707963250000001</v>
      </c>
      <c r="O242">
        <f t="shared" si="167"/>
        <v>23.173867274585731</v>
      </c>
      <c r="P242">
        <f t="shared" si="168"/>
        <v>1.5276308681137758</v>
      </c>
      <c r="Q242">
        <f t="shared" si="169"/>
        <v>36.009000042366431</v>
      </c>
      <c r="R242">
        <f t="shared" si="170"/>
        <v>1.5430219209519502</v>
      </c>
      <c r="S242">
        <f t="shared" si="171"/>
        <v>0.65257401266503501</v>
      </c>
      <c r="T242">
        <f t="shared" si="172"/>
        <v>-0.85981981073624858</v>
      </c>
      <c r="U242">
        <f t="shared" si="173"/>
        <v>0.81305448133342328</v>
      </c>
      <c r="V242">
        <f t="shared" si="174"/>
        <v>-0.62141671090680517</v>
      </c>
      <c r="X242">
        <f t="shared" si="192"/>
        <v>-17.831560177566949</v>
      </c>
      <c r="Y242">
        <f t="shared" si="175"/>
        <v>-128.99774304696354</v>
      </c>
      <c r="Z242">
        <f t="shared" si="193"/>
        <v>51.002256953036465</v>
      </c>
      <c r="AC242">
        <v>1</v>
      </c>
      <c r="AD242">
        <f t="shared" si="176"/>
        <v>23.15228119344</v>
      </c>
      <c r="AE242">
        <f t="shared" si="177"/>
        <v>-3.0548715299778617E-3</v>
      </c>
      <c r="AF242">
        <f t="shared" si="178"/>
        <v>4.2662828186999999E-3</v>
      </c>
      <c r="AG242">
        <f t="shared" si="194"/>
        <v>3476.4786083920699</v>
      </c>
      <c r="AH242">
        <f t="shared" si="195"/>
        <v>-2723.7283647535669</v>
      </c>
      <c r="AJ242">
        <f t="shared" si="179"/>
        <v>18000</v>
      </c>
      <c r="AK242">
        <f t="shared" si="180"/>
        <v>20900.38758192</v>
      </c>
      <c r="AL242">
        <v>1</v>
      </c>
      <c r="AM242">
        <f t="shared" si="181"/>
        <v>35.995111946639994</v>
      </c>
      <c r="AN242">
        <f t="shared" si="196"/>
        <v>594.07930356297845</v>
      </c>
      <c r="AO242">
        <f t="shared" si="197"/>
        <v>-483.56345501133507</v>
      </c>
      <c r="AQ242">
        <f t="shared" si="182"/>
        <v>0.12754939350263389</v>
      </c>
      <c r="AR242">
        <f t="shared" si="183"/>
        <v>-35.713830180737489</v>
      </c>
      <c r="AT242">
        <f t="shared" si="209"/>
        <v>-96831.349539241419</v>
      </c>
      <c r="AU242">
        <f t="shared" si="210"/>
        <v>-124505.77654807121</v>
      </c>
      <c r="AV242">
        <f t="shared" si="198"/>
        <v>-2.2318070829959229</v>
      </c>
      <c r="AW242">
        <f t="shared" si="199"/>
        <v>-12900.147377943822</v>
      </c>
      <c r="AX242">
        <f t="shared" si="200"/>
        <v>-25470.997769416947</v>
      </c>
      <c r="AY242">
        <f t="shared" si="208"/>
        <v>-2.0396018777314708</v>
      </c>
      <c r="BA242">
        <f t="shared" si="184"/>
        <v>5.524328414650391</v>
      </c>
      <c r="BB242">
        <f t="shared" si="201"/>
        <v>14.845589779126826</v>
      </c>
      <c r="BC242">
        <f t="shared" si="202"/>
        <v>-0.19220520526445206</v>
      </c>
      <c r="BD242">
        <f t="shared" si="185"/>
        <v>-191.01254707468246</v>
      </c>
      <c r="BF242">
        <f t="shared" si="186"/>
        <v>-18.202707442210361</v>
      </c>
      <c r="BG242">
        <f t="shared" si="187"/>
        <v>-141.07713423846076</v>
      </c>
      <c r="BH242">
        <f t="shared" si="203"/>
        <v>38.922865761539242</v>
      </c>
      <c r="BI242">
        <f t="shared" si="204"/>
        <v>38.922865761539242</v>
      </c>
      <c r="BJ242">
        <f t="shared" si="188"/>
        <v>0</v>
      </c>
      <c r="BK242">
        <f t="shared" si="205"/>
        <v>0</v>
      </c>
      <c r="BM242">
        <f t="shared" si="206"/>
        <v>-33.048297221337187</v>
      </c>
      <c r="BN242">
        <f t="shared" si="189"/>
        <v>-130.0645871637783</v>
      </c>
      <c r="BQ242" s="56">
        <f t="shared" si="207"/>
        <v>31.747550579411961</v>
      </c>
      <c r="BR242" s="59"/>
      <c r="BS242" s="59"/>
      <c r="BT242" s="59">
        <v>20892.960999999999</v>
      </c>
      <c r="BU242" s="59">
        <v>-3.5620099999999999</v>
      </c>
      <c r="BV242" s="59">
        <v>-172.084</v>
      </c>
      <c r="BY242" s="59"/>
      <c r="BZ242" s="59"/>
      <c r="CA242" s="59"/>
      <c r="CC242" s="59"/>
    </row>
    <row r="243" spans="1:81" x14ac:dyDescent="0.25">
      <c r="A243">
        <f t="shared" si="211"/>
        <v>145000</v>
      </c>
      <c r="B243">
        <f t="shared" si="191"/>
        <v>145</v>
      </c>
      <c r="C243">
        <f t="shared" si="159"/>
        <v>1.5640494775026015</v>
      </c>
      <c r="D243">
        <f t="shared" si="160"/>
        <v>0.87712294438445804</v>
      </c>
      <c r="F243">
        <f t="shared" si="161"/>
        <v>9.0285304685451605E-4</v>
      </c>
      <c r="G243">
        <f t="shared" si="162"/>
        <v>1.1312790068307061E-2</v>
      </c>
      <c r="H243">
        <f t="shared" si="163"/>
        <v>-3.1302798599316932</v>
      </c>
      <c r="J243">
        <f t="shared" si="164"/>
        <v>15</v>
      </c>
      <c r="M243">
        <f t="shared" si="165"/>
        <v>1.2572970199767459E-2</v>
      </c>
      <c r="N243">
        <f t="shared" si="166"/>
        <v>-1.5707963250000001</v>
      </c>
      <c r="O243">
        <f t="shared" si="167"/>
        <v>23.999990770378677</v>
      </c>
      <c r="P243">
        <f t="shared" si="168"/>
        <v>1.5291175783347368</v>
      </c>
      <c r="Q243">
        <f t="shared" si="169"/>
        <v>37.294061030158545</v>
      </c>
      <c r="R243">
        <f t="shared" si="170"/>
        <v>1.5439791917814465</v>
      </c>
      <c r="S243">
        <f t="shared" si="171"/>
        <v>0.63936596276784774</v>
      </c>
      <c r="T243">
        <f t="shared" si="172"/>
        <v>-0.87712294438445793</v>
      </c>
      <c r="U243">
        <f t="shared" si="173"/>
        <v>0.80321806181483113</v>
      </c>
      <c r="V243">
        <f t="shared" si="174"/>
        <v>-0.63811833028522102</v>
      </c>
      <c r="X243">
        <f t="shared" si="192"/>
        <v>-18.243391381075782</v>
      </c>
      <c r="Y243">
        <f t="shared" si="175"/>
        <v>-129.83783690674585</v>
      </c>
      <c r="Z243">
        <f t="shared" si="193"/>
        <v>50.162163093254151</v>
      </c>
      <c r="AC243">
        <v>1</v>
      </c>
      <c r="AD243">
        <f t="shared" si="176"/>
        <v>23.979148378920002</v>
      </c>
      <c r="AE243">
        <f t="shared" si="177"/>
        <v>-3.2769731590706402E-3</v>
      </c>
      <c r="AF243">
        <f t="shared" si="178"/>
        <v>4.418650062225E-3</v>
      </c>
      <c r="AG243">
        <f t="shared" si="194"/>
        <v>3392.8698250161683</v>
      </c>
      <c r="AH243">
        <f t="shared" si="195"/>
        <v>-2742.5442563099286</v>
      </c>
      <c r="AJ243">
        <f t="shared" si="179"/>
        <v>18000</v>
      </c>
      <c r="AK243">
        <f t="shared" si="180"/>
        <v>21646.829995560001</v>
      </c>
      <c r="AL243">
        <v>1</v>
      </c>
      <c r="AM243">
        <f t="shared" si="181"/>
        <v>37.280651659019995</v>
      </c>
      <c r="AN243">
        <f t="shared" si="196"/>
        <v>593.16943965270423</v>
      </c>
      <c r="AO243">
        <f t="shared" si="197"/>
        <v>-466.91325890854546</v>
      </c>
      <c r="AQ243">
        <f t="shared" si="182"/>
        <v>0.11890465036087561</v>
      </c>
      <c r="AR243">
        <f t="shared" si="183"/>
        <v>-34.482348604653929</v>
      </c>
      <c r="AT243">
        <f t="shared" si="209"/>
        <v>-94165.939109506813</v>
      </c>
      <c r="AU243">
        <f t="shared" si="210"/>
        <v>-117320.22134231446</v>
      </c>
      <c r="AV243">
        <f t="shared" si="198"/>
        <v>-2.2471451433454743</v>
      </c>
      <c r="AW243">
        <f t="shared" si="199"/>
        <v>-11825.107656839886</v>
      </c>
      <c r="AX243">
        <f t="shared" si="200"/>
        <v>-24677.682197137976</v>
      </c>
      <c r="AY243">
        <f t="shared" si="208"/>
        <v>-2.0176514811132829</v>
      </c>
      <c r="BA243">
        <f t="shared" si="184"/>
        <v>5.4975007217317682</v>
      </c>
      <c r="BB243">
        <f t="shared" si="201"/>
        <v>14.803305900971626</v>
      </c>
      <c r="BC243">
        <f t="shared" si="202"/>
        <v>-0.22949366223219148</v>
      </c>
      <c r="BD243">
        <f t="shared" si="185"/>
        <v>-193.14901828593037</v>
      </c>
      <c r="BF243">
        <f t="shared" si="186"/>
        <v>-18.677517807756562</v>
      </c>
      <c r="BG243">
        <f t="shared" si="187"/>
        <v>-142.24540027501553</v>
      </c>
      <c r="BH243">
        <f t="shared" si="203"/>
        <v>37.754599724984473</v>
      </c>
      <c r="BI243">
        <f t="shared" si="204"/>
        <v>37.754599724984473</v>
      </c>
      <c r="BJ243">
        <f t="shared" si="188"/>
        <v>0</v>
      </c>
      <c r="BK243">
        <f t="shared" si="205"/>
        <v>0</v>
      </c>
      <c r="BM243">
        <f t="shared" si="206"/>
        <v>-33.480823708728181</v>
      </c>
      <c r="BN243">
        <f t="shared" si="189"/>
        <v>-129.09638198908513</v>
      </c>
      <c r="BQ243" s="56">
        <f t="shared" si="207"/>
        <v>31.705266701256765</v>
      </c>
      <c r="BR243" s="59"/>
      <c r="BS243" s="59"/>
      <c r="BT243" s="59">
        <v>21379.620999999999</v>
      </c>
      <c r="BU243" s="59">
        <v>-3.5589</v>
      </c>
      <c r="BV243" s="59">
        <v>-170.62899999999999</v>
      </c>
      <c r="BY243" s="59"/>
      <c r="BZ243" s="59"/>
      <c r="CA243" s="59"/>
      <c r="CC243" s="59"/>
    </row>
    <row r="244" spans="1:81" x14ac:dyDescent="0.25">
      <c r="A244">
        <f t="shared" si="211"/>
        <v>150000</v>
      </c>
      <c r="B244">
        <f t="shared" si="191"/>
        <v>150</v>
      </c>
      <c r="C244">
        <f t="shared" si="159"/>
        <v>1.5961553433874134</v>
      </c>
      <c r="D244">
        <f t="shared" si="160"/>
        <v>0.89373479948105183</v>
      </c>
      <c r="F244">
        <f t="shared" si="161"/>
        <v>8.4361933046895351E-4</v>
      </c>
      <c r="G244">
        <f t="shared" si="162"/>
        <v>1.093507663618905E-2</v>
      </c>
      <c r="H244">
        <f t="shared" si="163"/>
        <v>-3.1306575733638113</v>
      </c>
      <c r="J244">
        <f t="shared" si="164"/>
        <v>15</v>
      </c>
      <c r="M244">
        <f t="shared" si="165"/>
        <v>1.2153871193108543E-2</v>
      </c>
      <c r="N244">
        <f t="shared" si="166"/>
        <v>-1.5707963250000001</v>
      </c>
      <c r="O244">
        <f t="shared" si="167"/>
        <v>24.826163783018416</v>
      </c>
      <c r="P244">
        <f t="shared" si="168"/>
        <v>1.5305053410194693</v>
      </c>
      <c r="Q244">
        <f t="shared" si="169"/>
        <v>38.579153916272546</v>
      </c>
      <c r="R244">
        <f t="shared" si="170"/>
        <v>1.5448726889466931</v>
      </c>
      <c r="S244">
        <f t="shared" si="171"/>
        <v>0.62650543641809153</v>
      </c>
      <c r="T244">
        <f t="shared" si="172"/>
        <v>-0.89373479948105172</v>
      </c>
      <c r="U244">
        <f t="shared" si="173"/>
        <v>0.79340339311082875</v>
      </c>
      <c r="V244">
        <f t="shared" si="174"/>
        <v>-0.65441624434498746</v>
      </c>
      <c r="X244">
        <f t="shared" si="192"/>
        <v>-18.645824411378214</v>
      </c>
      <c r="Y244">
        <f t="shared" si="175"/>
        <v>-130.6625734223291</v>
      </c>
      <c r="Z244">
        <f t="shared" si="193"/>
        <v>49.337426577670897</v>
      </c>
      <c r="AC244">
        <v>1</v>
      </c>
      <c r="AD244">
        <f t="shared" si="176"/>
        <v>24.806015564400003</v>
      </c>
      <c r="AE244">
        <f t="shared" si="177"/>
        <v>-3.5068678277807089E-3</v>
      </c>
      <c r="AF244">
        <f t="shared" si="178"/>
        <v>4.5710173057500001E-3</v>
      </c>
      <c r="AG244">
        <f t="shared" si="194"/>
        <v>3310.4602127022704</v>
      </c>
      <c r="AH244">
        <f t="shared" si="195"/>
        <v>-2758.5426988456275</v>
      </c>
      <c r="AJ244">
        <f t="shared" si="179"/>
        <v>18000</v>
      </c>
      <c r="AK244">
        <f t="shared" si="180"/>
        <v>22393.272409200003</v>
      </c>
      <c r="AL244">
        <v>1</v>
      </c>
      <c r="AM244">
        <f t="shared" si="181"/>
        <v>38.566191371399995</v>
      </c>
      <c r="AN244">
        <f t="shared" si="196"/>
        <v>592.34895526808032</v>
      </c>
      <c r="AO244">
        <f t="shared" si="197"/>
        <v>-451.3707583176369</v>
      </c>
      <c r="AQ244">
        <f t="shared" si="182"/>
        <v>0.11110987655692714</v>
      </c>
      <c r="AR244">
        <f t="shared" si="183"/>
        <v>-33.332962967078146</v>
      </c>
      <c r="AT244">
        <f t="shared" si="209"/>
        <v>-91582.576798145135</v>
      </c>
      <c r="AU244">
        <f t="shared" si="210"/>
        <v>-110653.94901273616</v>
      </c>
      <c r="AV244">
        <f t="shared" si="198"/>
        <v>-2.2621702359275746</v>
      </c>
      <c r="AW244">
        <f t="shared" si="199"/>
        <v>-10863.147339983349</v>
      </c>
      <c r="AX244">
        <f t="shared" si="200"/>
        <v>-23938.945630379898</v>
      </c>
      <c r="AY244">
        <f t="shared" si="208"/>
        <v>-1.9967938464348662</v>
      </c>
      <c r="BA244">
        <f t="shared" si="184"/>
        <v>5.4638986187266836</v>
      </c>
      <c r="BB244">
        <f t="shared" si="201"/>
        <v>14.750052650453258</v>
      </c>
      <c r="BC244">
        <f t="shared" si="202"/>
        <v>-0.26537638949270836</v>
      </c>
      <c r="BD244">
        <f t="shared" si="185"/>
        <v>-195.20494711772625</v>
      </c>
      <c r="BF244">
        <f t="shared" si="186"/>
        <v>-19.143688596228309</v>
      </c>
      <c r="BG244">
        <f t="shared" si="187"/>
        <v>-143.37118130435661</v>
      </c>
      <c r="BH244">
        <f t="shared" si="203"/>
        <v>36.628818695643389</v>
      </c>
      <c r="BI244">
        <f t="shared" si="204"/>
        <v>36.628818695643389</v>
      </c>
      <c r="BJ244">
        <f t="shared" si="188"/>
        <v>0</v>
      </c>
      <c r="BK244">
        <f t="shared" si="205"/>
        <v>0</v>
      </c>
      <c r="BM244">
        <f t="shared" si="206"/>
        <v>-33.893741246681564</v>
      </c>
      <c r="BN244">
        <f t="shared" si="189"/>
        <v>-128.16623418663036</v>
      </c>
      <c r="BQ244" s="56">
        <f t="shared" si="207"/>
        <v>31.652013450738394</v>
      </c>
      <c r="BR244" s="59"/>
      <c r="BS244" s="59"/>
      <c r="BT244" s="59">
        <v>21877.616000000002</v>
      </c>
      <c r="BU244" s="59">
        <v>-3.49654</v>
      </c>
      <c r="BV244" s="59">
        <v>-169.465</v>
      </c>
      <c r="BY244" s="59"/>
      <c r="BZ244" s="59"/>
      <c r="CA244" s="59"/>
      <c r="CC244" s="59"/>
    </row>
    <row r="245" spans="1:81" x14ac:dyDescent="0.25">
      <c r="A245">
        <f t="shared" si="211"/>
        <v>155000</v>
      </c>
      <c r="B245">
        <f t="shared" si="191"/>
        <v>155</v>
      </c>
      <c r="C245">
        <f t="shared" si="159"/>
        <v>1.6286842395338801</v>
      </c>
      <c r="D245">
        <f t="shared" si="160"/>
        <v>0.9096873516587245</v>
      </c>
      <c r="F245">
        <f t="shared" si="161"/>
        <v>7.9003057871595878E-4</v>
      </c>
      <c r="G245">
        <f t="shared" si="162"/>
        <v>1.0581789030679072E-2</v>
      </c>
      <c r="H245">
        <f t="shared" si="163"/>
        <v>-3.131010860969321</v>
      </c>
      <c r="J245">
        <f t="shared" si="164"/>
        <v>15</v>
      </c>
      <c r="M245">
        <f t="shared" si="165"/>
        <v>1.1761810832040526E-2</v>
      </c>
      <c r="N245">
        <f t="shared" si="166"/>
        <v>-1.5707963250000001</v>
      </c>
      <c r="O245">
        <f t="shared" si="167"/>
        <v>25.6523815282148</v>
      </c>
      <c r="P245">
        <f t="shared" si="168"/>
        <v>1.5318037113191434</v>
      </c>
      <c r="Q245">
        <f t="shared" si="169"/>
        <v>39.864275615818187</v>
      </c>
      <c r="R245">
        <f t="shared" si="170"/>
        <v>1.5457085786434939</v>
      </c>
      <c r="S245">
        <f t="shared" si="171"/>
        <v>0.61399255652292328</v>
      </c>
      <c r="T245">
        <f t="shared" si="172"/>
        <v>-0.9096873516587245</v>
      </c>
      <c r="U245">
        <f t="shared" si="173"/>
        <v>0.78362504293049406</v>
      </c>
      <c r="V245">
        <f t="shared" si="174"/>
        <v>-0.6703165670120208</v>
      </c>
      <c r="X245">
        <f t="shared" si="192"/>
        <v>-19.039415507105197</v>
      </c>
      <c r="Y245">
        <f t="shared" si="175"/>
        <v>-131.4715526035391</v>
      </c>
      <c r="Z245">
        <f t="shared" si="193"/>
        <v>48.528447396460905</v>
      </c>
      <c r="AC245">
        <v>1</v>
      </c>
      <c r="AD245">
        <f t="shared" si="176"/>
        <v>25.632882749880004</v>
      </c>
      <c r="AE245">
        <f t="shared" si="177"/>
        <v>-3.7445555361080682E-3</v>
      </c>
      <c r="AF245">
        <f t="shared" si="178"/>
        <v>4.7233845492750002E-3</v>
      </c>
      <c r="AG245">
        <f t="shared" si="194"/>
        <v>3229.3631030302404</v>
      </c>
      <c r="AH245">
        <f t="shared" si="195"/>
        <v>-2771.8533921961971</v>
      </c>
      <c r="AJ245">
        <f t="shared" si="179"/>
        <v>18000</v>
      </c>
      <c r="AK245">
        <f t="shared" si="180"/>
        <v>23139.714822840004</v>
      </c>
      <c r="AL245">
        <v>1</v>
      </c>
      <c r="AM245">
        <f t="shared" si="181"/>
        <v>39.851731083779995</v>
      </c>
      <c r="AN245">
        <f t="shared" si="196"/>
        <v>591.60651803399446</v>
      </c>
      <c r="AO245">
        <f t="shared" si="197"/>
        <v>-436.82904126218432</v>
      </c>
      <c r="AQ245">
        <f t="shared" si="182"/>
        <v>0.10405718983153141</v>
      </c>
      <c r="AR245">
        <f t="shared" si="183"/>
        <v>-32.257728847774736</v>
      </c>
      <c r="AT245">
        <f t="shared" si="209"/>
        <v>-89077.65668180256</v>
      </c>
      <c r="AU245">
        <f t="shared" si="210"/>
        <v>-104460.35060317485</v>
      </c>
      <c r="AV245">
        <f t="shared" si="198"/>
        <v>-2.2768797140200494</v>
      </c>
      <c r="AW245">
        <f t="shared" si="199"/>
        <v>-9999.6481591367447</v>
      </c>
      <c r="AX245">
        <f t="shared" si="200"/>
        <v>-23248.941274022131</v>
      </c>
      <c r="AY245">
        <f t="shared" si="208"/>
        <v>-1.9769888869509282</v>
      </c>
      <c r="BA245">
        <f t="shared" si="184"/>
        <v>5.4244668406036363</v>
      </c>
      <c r="BB245">
        <f t="shared" si="201"/>
        <v>14.687141174604397</v>
      </c>
      <c r="BC245">
        <f t="shared" si="202"/>
        <v>-0.29989082706912118</v>
      </c>
      <c r="BD245">
        <f t="shared" si="185"/>
        <v>-197.18247872538211</v>
      </c>
      <c r="BF245">
        <f t="shared" si="186"/>
        <v>-19.601417741985504</v>
      </c>
      <c r="BG245">
        <f t="shared" si="187"/>
        <v>-144.45494088749828</v>
      </c>
      <c r="BH245">
        <f t="shared" si="203"/>
        <v>35.545059112501718</v>
      </c>
      <c r="BI245">
        <f t="shared" si="204"/>
        <v>35.545059112501718</v>
      </c>
      <c r="BJ245">
        <f t="shared" si="188"/>
        <v>0</v>
      </c>
      <c r="BK245">
        <f t="shared" si="205"/>
        <v>0</v>
      </c>
      <c r="BM245">
        <f t="shared" si="206"/>
        <v>-34.288558916589899</v>
      </c>
      <c r="BN245">
        <f t="shared" si="189"/>
        <v>-127.27246216211617</v>
      </c>
      <c r="BQ245" s="56">
        <f t="shared" si="207"/>
        <v>31.589101974889534</v>
      </c>
      <c r="BR245" s="59"/>
      <c r="BS245" s="59"/>
      <c r="BT245" s="59">
        <v>22387.210999999999</v>
      </c>
      <c r="BU245" s="59">
        <v>-3.4356</v>
      </c>
      <c r="BV245" s="59">
        <v>-168.34299999999999</v>
      </c>
      <c r="BY245" s="59"/>
      <c r="BZ245" s="59"/>
      <c r="CA245" s="59"/>
      <c r="CC245" s="59"/>
    </row>
    <row r="246" spans="1:81" x14ac:dyDescent="0.25">
      <c r="A246">
        <f t="shared" si="211"/>
        <v>160000</v>
      </c>
      <c r="B246">
        <f t="shared" si="191"/>
        <v>160</v>
      </c>
      <c r="C246">
        <f t="shared" si="159"/>
        <v>1.6616113214954171</v>
      </c>
      <c r="D246">
        <f t="shared" si="160"/>
        <v>0.92501143356080262</v>
      </c>
      <c r="F246">
        <f t="shared" si="161"/>
        <v>7.4139148972471021E-4</v>
      </c>
      <c r="G246">
        <f t="shared" si="162"/>
        <v>1.0250630503312569E-2</v>
      </c>
      <c r="H246">
        <f t="shared" si="163"/>
        <v>-3.1313420194966874</v>
      </c>
      <c r="J246">
        <f t="shared" si="164"/>
        <v>15</v>
      </c>
      <c r="M246">
        <f t="shared" si="165"/>
        <v>1.1394254243539259E-2</v>
      </c>
      <c r="N246">
        <f t="shared" si="166"/>
        <v>-1.5707963250000001</v>
      </c>
      <c r="O246">
        <f t="shared" si="167"/>
        <v>26.478639818574209</v>
      </c>
      <c r="P246">
        <f t="shared" si="168"/>
        <v>1.5330210530268922</v>
      </c>
      <c r="Q246">
        <f t="shared" si="169"/>
        <v>41.149423429212199</v>
      </c>
      <c r="R246">
        <f t="shared" si="170"/>
        <v>1.5464922571042845</v>
      </c>
      <c r="S246">
        <f t="shared" si="171"/>
        <v>0.60182546126372083</v>
      </c>
      <c r="T246">
        <f t="shared" si="172"/>
        <v>-0.9250114335608024</v>
      </c>
      <c r="U246">
        <f t="shared" si="173"/>
        <v>0.77389624450585104</v>
      </c>
      <c r="V246">
        <f t="shared" si="174"/>
        <v>-0.68582592192518732</v>
      </c>
      <c r="X246">
        <f t="shared" si="192"/>
        <v>-19.424661459624332</v>
      </c>
      <c r="Y246">
        <f t="shared" si="175"/>
        <v>-132.26449715953009</v>
      </c>
      <c r="Z246">
        <f t="shared" si="193"/>
        <v>47.735502840469906</v>
      </c>
      <c r="AC246">
        <v>1</v>
      </c>
      <c r="AD246">
        <f t="shared" si="176"/>
        <v>26.459749935360001</v>
      </c>
      <c r="AE246">
        <f t="shared" si="177"/>
        <v>-3.9900362840527177E-3</v>
      </c>
      <c r="AF246">
        <f t="shared" si="178"/>
        <v>4.8757517927999995E-3</v>
      </c>
      <c r="AG246">
        <f t="shared" si="194"/>
        <v>3149.6750048967247</v>
      </c>
      <c r="AH246">
        <f t="shared" si="195"/>
        <v>-2782.6103807307522</v>
      </c>
      <c r="AJ246">
        <f t="shared" si="179"/>
        <v>18000</v>
      </c>
      <c r="AK246">
        <f t="shared" si="180"/>
        <v>23886.157236480001</v>
      </c>
      <c r="AL246">
        <v>1</v>
      </c>
      <c r="AM246">
        <f t="shared" si="181"/>
        <v>41.137270796159996</v>
      </c>
      <c r="AN246">
        <f t="shared" si="196"/>
        <v>590.93253595727867</v>
      </c>
      <c r="AO246">
        <f t="shared" si="197"/>
        <v>-423.19451745612133</v>
      </c>
      <c r="AQ246">
        <f t="shared" si="182"/>
        <v>9.7655296334996727E-2</v>
      </c>
      <c r="AR246">
        <f t="shared" si="183"/>
        <v>-31.249694827198955</v>
      </c>
      <c r="AT246">
        <f t="shared" si="209"/>
        <v>-86648.142774869775</v>
      </c>
      <c r="AU246">
        <f t="shared" si="210"/>
        <v>-98698.119349194123</v>
      </c>
      <c r="AV246">
        <f t="shared" si="198"/>
        <v>-2.291272532660555</v>
      </c>
      <c r="AW246">
        <f t="shared" si="199"/>
        <v>-9222.2358238087036</v>
      </c>
      <c r="AX246">
        <f t="shared" si="200"/>
        <v>-22602.636473521401</v>
      </c>
      <c r="AY246">
        <f t="shared" si="208"/>
        <v>-1.9581938342788481</v>
      </c>
      <c r="BA246">
        <f t="shared" si="184"/>
        <v>5.3800651233392207</v>
      </c>
      <c r="BB246">
        <f t="shared" si="201"/>
        <v>14.615750652865669</v>
      </c>
      <c r="BC246">
        <f t="shared" si="202"/>
        <v>-0.33307869838170689</v>
      </c>
      <c r="BD246">
        <f t="shared" si="185"/>
        <v>-199.08400368478939</v>
      </c>
      <c r="BF246">
        <f t="shared" si="186"/>
        <v>-20.050883382448927</v>
      </c>
      <c r="BG246">
        <f t="shared" si="187"/>
        <v>-145.49743461398995</v>
      </c>
      <c r="BH246">
        <f t="shared" si="203"/>
        <v>34.502565386010048</v>
      </c>
      <c r="BI246">
        <f t="shared" si="204"/>
        <v>34.502565386010048</v>
      </c>
      <c r="BJ246">
        <f t="shared" si="188"/>
        <v>0</v>
      </c>
      <c r="BK246">
        <f t="shared" si="205"/>
        <v>0</v>
      </c>
      <c r="BM246">
        <f t="shared" si="206"/>
        <v>-34.666634035314601</v>
      </c>
      <c r="BN246">
        <f t="shared" si="189"/>
        <v>-126.41343092920062</v>
      </c>
      <c r="BQ246" s="56">
        <f t="shared" si="207"/>
        <v>31.517711453150806</v>
      </c>
      <c r="BR246" s="59"/>
      <c r="BS246" s="59"/>
      <c r="BT246" s="59">
        <v>22908.677</v>
      </c>
      <c r="BU246" s="59">
        <v>-3.37297</v>
      </c>
      <c r="BV246" s="59">
        <v>-167.03899999999999</v>
      </c>
      <c r="BY246" s="59"/>
      <c r="BZ246" s="59"/>
      <c r="CA246" s="59"/>
      <c r="CC246" s="59"/>
    </row>
    <row r="247" spans="1:81" x14ac:dyDescent="0.25">
      <c r="A247">
        <f t="shared" si="211"/>
        <v>165000</v>
      </c>
      <c r="B247">
        <f t="shared" si="191"/>
        <v>165</v>
      </c>
      <c r="C247">
        <f t="shared" si="159"/>
        <v>1.694913382763636</v>
      </c>
      <c r="D247">
        <f t="shared" si="160"/>
        <v>0.93973667915748527</v>
      </c>
      <c r="F247">
        <f t="shared" si="161"/>
        <v>6.9711062991167732E-4</v>
      </c>
      <c r="G247">
        <f t="shared" si="162"/>
        <v>9.9395836883281637E-3</v>
      </c>
      <c r="H247">
        <f t="shared" si="163"/>
        <v>-3.1316530663116722</v>
      </c>
      <c r="J247">
        <f t="shared" si="164"/>
        <v>15</v>
      </c>
      <c r="M247">
        <f t="shared" si="165"/>
        <v>1.1048973811916857E-2</v>
      </c>
      <c r="N247">
        <f t="shared" si="166"/>
        <v>-1.5707963250000001</v>
      </c>
      <c r="O247">
        <f t="shared" si="167"/>
        <v>27.304934973358183</v>
      </c>
      <c r="P247">
        <f t="shared" si="168"/>
        <v>1.534164718560705</v>
      </c>
      <c r="Q247">
        <f t="shared" si="169"/>
        <v>42.434594983851227</v>
      </c>
      <c r="R247">
        <f t="shared" si="170"/>
        <v>1.5472284671185752</v>
      </c>
      <c r="S247">
        <f t="shared" si="171"/>
        <v>0.59000065146069769</v>
      </c>
      <c r="T247">
        <f t="shared" si="172"/>
        <v>-0.93973667915748527</v>
      </c>
      <c r="U247">
        <f t="shared" si="173"/>
        <v>0.76422895599408047</v>
      </c>
      <c r="V247">
        <f t="shared" si="174"/>
        <v>-0.70095136359726029</v>
      </c>
      <c r="X247">
        <f t="shared" si="192"/>
        <v>-19.802007897000831</v>
      </c>
      <c r="Y247">
        <f t="shared" si="175"/>
        <v>-133.04123386631215</v>
      </c>
      <c r="Z247">
        <f t="shared" si="193"/>
        <v>46.958766133687845</v>
      </c>
      <c r="AC247">
        <v>1</v>
      </c>
      <c r="AD247">
        <f t="shared" si="176"/>
        <v>27.286617120839999</v>
      </c>
      <c r="AE247">
        <f t="shared" si="177"/>
        <v>-4.2433100716146579E-3</v>
      </c>
      <c r="AF247">
        <f t="shared" si="178"/>
        <v>5.0281190363250005E-3</v>
      </c>
      <c r="AG247">
        <f t="shared" si="194"/>
        <v>3071.4768270689869</v>
      </c>
      <c r="AH247">
        <f t="shared" si="195"/>
        <v>-2790.9499464216351</v>
      </c>
      <c r="AJ247">
        <f t="shared" si="179"/>
        <v>18000</v>
      </c>
      <c r="AK247">
        <f t="shared" si="180"/>
        <v>24632.599650120002</v>
      </c>
      <c r="AL247">
        <v>1</v>
      </c>
      <c r="AM247">
        <f t="shared" si="181"/>
        <v>42.422810508539996</v>
      </c>
      <c r="AN247">
        <f t="shared" si="196"/>
        <v>590.31884632626634</v>
      </c>
      <c r="AO247">
        <f t="shared" si="197"/>
        <v>-410.38490719913642</v>
      </c>
      <c r="AQ247">
        <f t="shared" si="182"/>
        <v>9.1826521335892239E-2</v>
      </c>
      <c r="AR247">
        <f t="shared" si="183"/>
        <v>-30.302752040844435</v>
      </c>
      <c r="AT247">
        <f t="shared" si="209"/>
        <v>-84291.421152429321</v>
      </c>
      <c r="AU247">
        <f t="shared" si="210"/>
        <v>-93330.483914673634</v>
      </c>
      <c r="AV247">
        <f t="shared" si="198"/>
        <v>-2.3053490048714855</v>
      </c>
      <c r="AW247">
        <f t="shared" si="199"/>
        <v>-8520.3808897704548</v>
      </c>
      <c r="AX247">
        <f t="shared" si="200"/>
        <v>-21995.67718108496</v>
      </c>
      <c r="AY247">
        <f t="shared" si="208"/>
        <v>-1.9403642389411744</v>
      </c>
      <c r="BA247">
        <f t="shared" si="184"/>
        <v>5.3314700429293653</v>
      </c>
      <c r="BB247">
        <f t="shared" si="201"/>
        <v>14.536939465736429</v>
      </c>
      <c r="BC247">
        <f t="shared" si="202"/>
        <v>-0.36498476593031115</v>
      </c>
      <c r="BD247">
        <f t="shared" si="185"/>
        <v>-200.91208669827262</v>
      </c>
      <c r="BF247">
        <f t="shared" si="186"/>
        <v>-20.492251073911891</v>
      </c>
      <c r="BG247">
        <f t="shared" si="187"/>
        <v>-146.49964487127559</v>
      </c>
      <c r="BH247">
        <f t="shared" si="203"/>
        <v>33.500355128724408</v>
      </c>
      <c r="BI247">
        <f t="shared" si="204"/>
        <v>33.500355128724408</v>
      </c>
      <c r="BJ247">
        <f t="shared" si="188"/>
        <v>0</v>
      </c>
      <c r="BK247">
        <f t="shared" si="205"/>
        <v>0</v>
      </c>
      <c r="BM247">
        <f t="shared" si="206"/>
        <v>-35.029190539648319</v>
      </c>
      <c r="BN247">
        <f t="shared" si="189"/>
        <v>-125.58755817300298</v>
      </c>
      <c r="BQ247" s="56">
        <f t="shared" si="207"/>
        <v>31.438900266021562</v>
      </c>
      <c r="BR247" s="59"/>
      <c r="BS247" s="59"/>
      <c r="BT247" s="59">
        <v>23442.288</v>
      </c>
      <c r="BU247" s="59">
        <v>-3.29522</v>
      </c>
      <c r="BV247" s="59">
        <v>-165.876</v>
      </c>
      <c r="BY247" s="59"/>
      <c r="BZ247" s="59"/>
      <c r="CA247" s="59"/>
      <c r="CC247" s="59"/>
    </row>
    <row r="248" spans="1:81" x14ac:dyDescent="0.25">
      <c r="A248">
        <f t="shared" si="211"/>
        <v>170000</v>
      </c>
      <c r="B248">
        <f t="shared" si="191"/>
        <v>170</v>
      </c>
      <c r="C248">
        <f t="shared" si="159"/>
        <v>1.7285687507746483</v>
      </c>
      <c r="D248">
        <f t="shared" si="160"/>
        <v>0.95389149226686709</v>
      </c>
      <c r="F248">
        <f t="shared" si="161"/>
        <v>6.5668235209538281E-4</v>
      </c>
      <c r="G248">
        <f t="shared" si="162"/>
        <v>9.6468693498850035E-3</v>
      </c>
      <c r="H248">
        <f t="shared" si="163"/>
        <v>-3.1319457806501152</v>
      </c>
      <c r="J248">
        <f t="shared" si="164"/>
        <v>15</v>
      </c>
      <c r="M248">
        <f t="shared" si="165"/>
        <v>1.0724003993919304E-2</v>
      </c>
      <c r="N248">
        <f t="shared" si="166"/>
        <v>-1.5707963250000001</v>
      </c>
      <c r="O248">
        <f t="shared" si="167"/>
        <v>28.131263744128191</v>
      </c>
      <c r="P248">
        <f t="shared" si="168"/>
        <v>1.5352411972879085</v>
      </c>
      <c r="Q248">
        <f t="shared" si="169"/>
        <v>43.719788186067383</v>
      </c>
      <c r="R248">
        <f t="shared" si="170"/>
        <v>1.5479213940186238</v>
      </c>
      <c r="S248">
        <f t="shared" si="171"/>
        <v>0.57851329289150677</v>
      </c>
      <c r="T248">
        <f t="shared" si="172"/>
        <v>-0.95389149226686698</v>
      </c>
      <c r="U248">
        <f t="shared" si="173"/>
        <v>0.75463392423578501</v>
      </c>
      <c r="V248">
        <f t="shared" si="174"/>
        <v>-0.71570030454158395</v>
      </c>
      <c r="X248">
        <f t="shared" si="192"/>
        <v>-20.171856246514793</v>
      </c>
      <c r="Y248">
        <f t="shared" si="175"/>
        <v>-133.80167775708603</v>
      </c>
      <c r="Z248">
        <f t="shared" si="193"/>
        <v>46.198322242913974</v>
      </c>
      <c r="AC248">
        <v>1</v>
      </c>
      <c r="AD248">
        <f t="shared" si="176"/>
        <v>28.113484306320004</v>
      </c>
      <c r="AE248">
        <f t="shared" si="177"/>
        <v>-4.5043768987938892E-3</v>
      </c>
      <c r="AF248">
        <f t="shared" si="178"/>
        <v>5.1804862798499997E-3</v>
      </c>
      <c r="AG248">
        <f t="shared" si="194"/>
        <v>2994.8351056599536</v>
      </c>
      <c r="AH248">
        <f t="shared" si="195"/>
        <v>-2797.0088680654135</v>
      </c>
      <c r="AJ248">
        <f t="shared" si="179"/>
        <v>18000</v>
      </c>
      <c r="AK248">
        <f t="shared" si="180"/>
        <v>25379.04206376</v>
      </c>
      <c r="AL248">
        <v>1</v>
      </c>
      <c r="AM248">
        <f t="shared" si="181"/>
        <v>43.708350220919996</v>
      </c>
      <c r="AN248">
        <f t="shared" si="196"/>
        <v>589.75846759720685</v>
      </c>
      <c r="AO248">
        <f t="shared" si="197"/>
        <v>-398.32758373181014</v>
      </c>
      <c r="AQ248">
        <f t="shared" si="182"/>
        <v>8.6504442003096857E-2</v>
      </c>
      <c r="AR248">
        <f t="shared" si="183"/>
        <v>-29.411510281052934</v>
      </c>
      <c r="AT248">
        <f t="shared" si="209"/>
        <v>-82005.188539595736</v>
      </c>
      <c r="AU248">
        <f t="shared" si="210"/>
        <v>-88324.577191585689</v>
      </c>
      <c r="AV248">
        <f t="shared" si="198"/>
        <v>-2.3191105928537374</v>
      </c>
      <c r="AW248">
        <f t="shared" si="199"/>
        <v>-7885.0801495982523</v>
      </c>
      <c r="AX248">
        <f t="shared" si="200"/>
        <v>-21424.278422829739</v>
      </c>
      <c r="AY248">
        <f t="shared" si="208"/>
        <v>-1.9234548079957641</v>
      </c>
      <c r="BA248">
        <f t="shared" si="184"/>
        <v>5.2793784080564636</v>
      </c>
      <c r="BB248">
        <f t="shared" si="201"/>
        <v>14.451655837636148</v>
      </c>
      <c r="BC248">
        <f t="shared" si="202"/>
        <v>-0.39565578485797337</v>
      </c>
      <c r="BD248">
        <f t="shared" si="185"/>
        <v>-202.66940663820156</v>
      </c>
      <c r="BF248">
        <f t="shared" si="186"/>
        <v>-20.925678929524445</v>
      </c>
      <c r="BG248">
        <f t="shared" si="187"/>
        <v>-147.46272505552872</v>
      </c>
      <c r="BH248">
        <f t="shared" si="203"/>
        <v>32.537274944471278</v>
      </c>
      <c r="BI248">
        <f t="shared" si="204"/>
        <v>32.537274944471278</v>
      </c>
      <c r="BJ248">
        <f t="shared" si="188"/>
        <v>0</v>
      </c>
      <c r="BK248">
        <f t="shared" si="205"/>
        <v>0</v>
      </c>
      <c r="BM248">
        <f t="shared" si="206"/>
        <v>-35.37733476716059</v>
      </c>
      <c r="BN248">
        <f t="shared" si="189"/>
        <v>-124.79331841732719</v>
      </c>
      <c r="BQ248" s="56">
        <f t="shared" si="207"/>
        <v>31.353616637921284</v>
      </c>
      <c r="BR248" s="59"/>
      <c r="BS248" s="59"/>
      <c r="BT248" s="59">
        <v>23988.329000000002</v>
      </c>
      <c r="BU248" s="59">
        <v>-3.2437399999999998</v>
      </c>
      <c r="BV248" s="59">
        <v>-164.703</v>
      </c>
      <c r="BY248" s="59"/>
      <c r="BZ248" s="59"/>
      <c r="CA248" s="59"/>
      <c r="CC248" s="59"/>
    </row>
    <row r="249" spans="1:81" x14ac:dyDescent="0.25">
      <c r="A249">
        <f t="shared" si="211"/>
        <v>175000</v>
      </c>
      <c r="B249">
        <f t="shared" si="191"/>
        <v>175</v>
      </c>
      <c r="C249">
        <f t="shared" si="159"/>
        <v>1.7625571868656678</v>
      </c>
      <c r="D249">
        <f t="shared" si="160"/>
        <v>0.96750303465043619</v>
      </c>
      <c r="F249">
        <f t="shared" si="161"/>
        <v>6.1967228290280257E-4</v>
      </c>
      <c r="G249">
        <f t="shared" si="162"/>
        <v>9.370912233225049E-3</v>
      </c>
      <c r="H249">
        <f t="shared" si="163"/>
        <v>-3.1322217377667751</v>
      </c>
      <c r="J249">
        <f t="shared" si="164"/>
        <v>15</v>
      </c>
      <c r="M249">
        <f t="shared" si="165"/>
        <v>1.0417603879807323E-2</v>
      </c>
      <c r="N249">
        <f t="shared" si="166"/>
        <v>-1.5707963250000001</v>
      </c>
      <c r="O249">
        <f t="shared" si="167"/>
        <v>28.957623253107819</v>
      </c>
      <c r="P249">
        <f t="shared" si="168"/>
        <v>1.5362562385003755</v>
      </c>
      <c r="Q249">
        <f t="shared" si="169"/>
        <v>45.005001181312224</v>
      </c>
      <c r="R249">
        <f t="shared" si="170"/>
        <v>1.5485747452312459</v>
      </c>
      <c r="S249">
        <f t="shared" si="171"/>
        <v>0.56735747778957857</v>
      </c>
      <c r="T249">
        <f t="shared" si="172"/>
        <v>-0.96750303465043619</v>
      </c>
      <c r="U249">
        <f t="shared" si="173"/>
        <v>0.74512075137888734</v>
      </c>
      <c r="V249">
        <f t="shared" si="174"/>
        <v>-0.7300804483393224</v>
      </c>
      <c r="X249">
        <f t="shared" si="192"/>
        <v>-20.534569610560766</v>
      </c>
      <c r="Y249">
        <f t="shared" si="175"/>
        <v>-134.54581863991996</v>
      </c>
      <c r="Z249">
        <f t="shared" si="193"/>
        <v>45.454181360080042</v>
      </c>
      <c r="AC249">
        <v>1</v>
      </c>
      <c r="AD249">
        <f t="shared" si="176"/>
        <v>28.940351491800001</v>
      </c>
      <c r="AE249">
        <f t="shared" si="177"/>
        <v>-4.7732367655904089E-3</v>
      </c>
      <c r="AF249">
        <f t="shared" si="178"/>
        <v>5.3328535233749998E-3</v>
      </c>
      <c r="AG249">
        <f t="shared" si="194"/>
        <v>2919.8032170173333</v>
      </c>
      <c r="AH249">
        <f t="shared" si="195"/>
        <v>-2800.9229952191095</v>
      </c>
      <c r="AJ249">
        <f t="shared" si="179"/>
        <v>18000</v>
      </c>
      <c r="AK249">
        <f t="shared" si="180"/>
        <v>26125.484477400001</v>
      </c>
      <c r="AL249">
        <v>1</v>
      </c>
      <c r="AM249">
        <f t="shared" si="181"/>
        <v>44.993889933299997</v>
      </c>
      <c r="AN249">
        <f t="shared" si="196"/>
        <v>589.24540010601356</v>
      </c>
      <c r="AO249">
        <f t="shared" si="197"/>
        <v>-386.95819867328873</v>
      </c>
      <c r="AQ249">
        <f t="shared" si="182"/>
        <v>8.1631986677659779E-2</v>
      </c>
      <c r="AR249">
        <f t="shared" si="183"/>
        <v>-28.571195337180921</v>
      </c>
      <c r="AT249">
        <f t="shared" si="209"/>
        <v>-79787.368683494089</v>
      </c>
      <c r="AU249">
        <f t="shared" si="210"/>
        <v>-83650.91296816236</v>
      </c>
      <c r="AV249">
        <f t="shared" si="198"/>
        <v>-2.3325597283460975</v>
      </c>
      <c r="AW249">
        <f t="shared" si="199"/>
        <v>-7308.6004653605096</v>
      </c>
      <c r="AX249">
        <f t="shared" si="200"/>
        <v>-20885.135133693781</v>
      </c>
      <c r="AY249">
        <f t="shared" si="208"/>
        <v>-1.9074200936707029</v>
      </c>
      <c r="BA249">
        <f t="shared" si="184"/>
        <v>5.2244117189140447</v>
      </c>
      <c r="BB249">
        <f t="shared" si="201"/>
        <v>14.360747899056545</v>
      </c>
      <c r="BC249">
        <f t="shared" si="202"/>
        <v>-0.42513963467539462</v>
      </c>
      <c r="BD249">
        <f t="shared" si="185"/>
        <v>-204.35870679846767</v>
      </c>
      <c r="BF249">
        <f t="shared" si="186"/>
        <v>-21.351321161192367</v>
      </c>
      <c r="BG249">
        <f t="shared" si="187"/>
        <v>-148.387952461791</v>
      </c>
      <c r="BH249">
        <f t="shared" si="203"/>
        <v>31.612047538208998</v>
      </c>
      <c r="BI249">
        <f t="shared" si="204"/>
        <v>31.612047538208998</v>
      </c>
      <c r="BJ249">
        <f t="shared" si="188"/>
        <v>0</v>
      </c>
      <c r="BK249">
        <f t="shared" si="205"/>
        <v>0</v>
      </c>
      <c r="BM249">
        <f t="shared" si="206"/>
        <v>-35.712069060248915</v>
      </c>
      <c r="BN249">
        <f t="shared" si="189"/>
        <v>-124.02924566332334</v>
      </c>
      <c r="BQ249" s="56">
        <f t="shared" si="207"/>
        <v>31.26270869934168</v>
      </c>
      <c r="BR249" s="59"/>
      <c r="BS249" s="59"/>
      <c r="BT249" s="59">
        <v>24547.089</v>
      </c>
      <c r="BU249" s="59">
        <v>-3.1709299999999998</v>
      </c>
      <c r="BV249" s="59">
        <v>-163.65100000000001</v>
      </c>
      <c r="BY249" s="59"/>
      <c r="BZ249" s="59"/>
      <c r="CA249" s="59"/>
      <c r="CC249" s="59"/>
    </row>
    <row r="250" spans="1:81" x14ac:dyDescent="0.25">
      <c r="A250">
        <f t="shared" si="211"/>
        <v>180000</v>
      </c>
      <c r="B250">
        <f t="shared" si="191"/>
        <v>180</v>
      </c>
      <c r="C250">
        <f t="shared" si="159"/>
        <v>1.7968597907245951</v>
      </c>
      <c r="D250">
        <f t="shared" si="160"/>
        <v>0.98059722973239993</v>
      </c>
      <c r="F250">
        <f t="shared" si="161"/>
        <v>5.8570559624677196E-4</v>
      </c>
      <c r="G250">
        <f t="shared" si="162"/>
        <v>9.110312631622812E-3</v>
      </c>
      <c r="H250">
        <f t="shared" si="163"/>
        <v>-3.1324823373683772</v>
      </c>
      <c r="J250">
        <f t="shared" si="164"/>
        <v>15</v>
      </c>
      <c r="M250">
        <f t="shared" si="165"/>
        <v>1.012822599425712E-2</v>
      </c>
      <c r="N250">
        <f t="shared" si="166"/>
        <v>-1.5707963250000001</v>
      </c>
      <c r="O250">
        <f t="shared" si="167"/>
        <v>29.784010941795724</v>
      </c>
      <c r="P250">
        <f t="shared" si="168"/>
        <v>1.5372149539529649</v>
      </c>
      <c r="Q250">
        <f t="shared" si="169"/>
        <v>46.290232320970745</v>
      </c>
      <c r="R250">
        <f t="shared" si="170"/>
        <v>1.5491918165868068</v>
      </c>
      <c r="S250">
        <f t="shared" si="171"/>
        <v>0.55652644973303333</v>
      </c>
      <c r="T250">
        <f t="shared" si="172"/>
        <v>-0.98059722973239982</v>
      </c>
      <c r="U250">
        <f t="shared" si="173"/>
        <v>0.73569796308252577</v>
      </c>
      <c r="V250">
        <f t="shared" si="174"/>
        <v>-0.74409972853675987</v>
      </c>
      <c r="X250">
        <f t="shared" si="192"/>
        <v>-20.890477744241558</v>
      </c>
      <c r="Y250">
        <f t="shared" si="175"/>
        <v>-135.27370955167143</v>
      </c>
      <c r="Z250">
        <f t="shared" si="193"/>
        <v>44.726290448328569</v>
      </c>
      <c r="AC250">
        <v>1</v>
      </c>
      <c r="AD250">
        <f t="shared" si="176"/>
        <v>29.767218677279999</v>
      </c>
      <c r="AE250">
        <f t="shared" si="177"/>
        <v>-5.0498896720042206E-3</v>
      </c>
      <c r="AF250">
        <f t="shared" si="178"/>
        <v>5.4852207669E-3</v>
      </c>
      <c r="AG250">
        <f t="shared" si="194"/>
        <v>2846.4225603441309</v>
      </c>
      <c r="AH250">
        <f t="shared" si="195"/>
        <v>-2802.8260926916887</v>
      </c>
      <c r="AJ250">
        <f t="shared" si="179"/>
        <v>18000</v>
      </c>
      <c r="AK250">
        <f t="shared" si="180"/>
        <v>26871.926891040002</v>
      </c>
      <c r="AL250">
        <v>1</v>
      </c>
      <c r="AM250">
        <f t="shared" si="181"/>
        <v>46.279429645679997</v>
      </c>
      <c r="AN250">
        <f t="shared" si="196"/>
        <v>588.77446492713875</v>
      </c>
      <c r="AO250">
        <f t="shared" si="197"/>
        <v>-376.21953572839953</v>
      </c>
      <c r="AQ250">
        <f t="shared" si="182"/>
        <v>7.7159898457573636E-2</v>
      </c>
      <c r="AR250">
        <f t="shared" si="183"/>
        <v>-27.777563444726507</v>
      </c>
      <c r="AT250">
        <f t="shared" si="209"/>
        <v>-77636.049938554788</v>
      </c>
      <c r="AU250">
        <f t="shared" si="210"/>
        <v>-79282.949037166298</v>
      </c>
      <c r="AV250">
        <f t="shared" si="198"/>
        <v>-2.3456996575402673</v>
      </c>
      <c r="AW250">
        <f t="shared" si="199"/>
        <v>-6784.2714105449086</v>
      </c>
      <c r="AX250">
        <f t="shared" si="200"/>
        <v>-20375.349083377583</v>
      </c>
      <c r="AY250">
        <f t="shared" si="208"/>
        <v>-1.8922150486900844</v>
      </c>
      <c r="BA250">
        <f t="shared" si="184"/>
        <v>5.167121292773837</v>
      </c>
      <c r="BB250">
        <f t="shared" si="201"/>
        <v>14.26497312549075</v>
      </c>
      <c r="BC250">
        <f t="shared" si="202"/>
        <v>-0.45348460885018294</v>
      </c>
      <c r="BD250">
        <f t="shared" si="185"/>
        <v>-205.98275419094608</v>
      </c>
      <c r="BF250">
        <f t="shared" si="186"/>
        <v>-21.769330414114787</v>
      </c>
      <c r="BG250">
        <f t="shared" si="187"/>
        <v>-149.27668899642634</v>
      </c>
      <c r="BH250">
        <f t="shared" si="203"/>
        <v>30.723311003573656</v>
      </c>
      <c r="BI250">
        <f t="shared" si="204"/>
        <v>30.723311003573656</v>
      </c>
      <c r="BJ250">
        <f t="shared" si="188"/>
        <v>0</v>
      </c>
      <c r="BK250">
        <f t="shared" si="205"/>
        <v>0</v>
      </c>
      <c r="BM250">
        <f t="shared" si="206"/>
        <v>-36.034303539605538</v>
      </c>
      <c r="BN250">
        <f t="shared" si="189"/>
        <v>-123.29393480548025</v>
      </c>
      <c r="BQ250" s="56">
        <f t="shared" si="207"/>
        <v>31.166933925775886</v>
      </c>
      <c r="BR250" s="59"/>
      <c r="BS250" s="59"/>
      <c r="BT250" s="59">
        <v>25118.864000000001</v>
      </c>
      <c r="BU250" s="59">
        <v>-3.1069800000000001</v>
      </c>
      <c r="BV250" s="59">
        <v>-162.52199999999999</v>
      </c>
      <c r="BY250" s="59"/>
      <c r="BZ250" s="59"/>
      <c r="CA250" s="59"/>
      <c r="CC250" s="59"/>
    </row>
    <row r="251" spans="1:81" x14ac:dyDescent="0.25">
      <c r="A251">
        <f t="shared" si="211"/>
        <v>185000</v>
      </c>
      <c r="B251">
        <f t="shared" si="191"/>
        <v>185</v>
      </c>
      <c r="C251">
        <f t="shared" si="159"/>
        <v>1.8314589096694709</v>
      </c>
      <c r="D251">
        <f t="shared" si="160"/>
        <v>0.99319877860283101</v>
      </c>
      <c r="F251">
        <f t="shared" si="161"/>
        <v>5.5445747785968938E-4</v>
      </c>
      <c r="G251">
        <f t="shared" si="162"/>
        <v>8.8638225827050946E-3</v>
      </c>
      <c r="H251">
        <f t="shared" si="163"/>
        <v>-3.1327288274172953</v>
      </c>
      <c r="J251">
        <f t="shared" si="164"/>
        <v>15</v>
      </c>
      <c r="M251">
        <f t="shared" si="165"/>
        <v>9.8544901565744952E-3</v>
      </c>
      <c r="N251">
        <f t="shared" si="166"/>
        <v>-1.5707963250000001</v>
      </c>
      <c r="O251">
        <f t="shared" si="167"/>
        <v>30.610424527894605</v>
      </c>
      <c r="P251">
        <f t="shared" si="168"/>
        <v>1.538121903819369</v>
      </c>
      <c r="Q251">
        <f t="shared" si="169"/>
        <v>47.575480134552365</v>
      </c>
      <c r="R251">
        <f t="shared" si="170"/>
        <v>1.5497755478875128</v>
      </c>
      <c r="S251">
        <f t="shared" si="171"/>
        <v>0.54601279598485408</v>
      </c>
      <c r="T251">
        <f t="shared" si="172"/>
        <v>-0.99319877860283079</v>
      </c>
      <c r="U251">
        <f t="shared" si="173"/>
        <v>0.72637307720939048</v>
      </c>
      <c r="V251">
        <f t="shared" si="174"/>
        <v>-0.75776625319438806</v>
      </c>
      <c r="X251">
        <f t="shared" si="192"/>
        <v>-21.239881286727375</v>
      </c>
      <c r="Y251">
        <f t="shared" si="175"/>
        <v>-135.98545683599821</v>
      </c>
      <c r="Z251">
        <f t="shared" si="193"/>
        <v>44.014543164001793</v>
      </c>
      <c r="AC251">
        <v>1</v>
      </c>
      <c r="AD251">
        <f t="shared" si="176"/>
        <v>30.594085862760004</v>
      </c>
      <c r="AE251">
        <f t="shared" si="177"/>
        <v>-5.3343356180353225E-3</v>
      </c>
      <c r="AF251">
        <f t="shared" si="178"/>
        <v>5.6375880104250001E-3</v>
      </c>
      <c r="AG251">
        <f t="shared" si="194"/>
        <v>2774.7236978100145</v>
      </c>
      <c r="AH251">
        <f t="shared" si="195"/>
        <v>-2802.8489173410576</v>
      </c>
      <c r="AJ251">
        <f t="shared" si="179"/>
        <v>18000</v>
      </c>
      <c r="AK251">
        <f t="shared" si="180"/>
        <v>27618.369304680004</v>
      </c>
      <c r="AL251">
        <v>1</v>
      </c>
      <c r="AM251">
        <f t="shared" si="181"/>
        <v>47.564969358059997</v>
      </c>
      <c r="AN251">
        <f t="shared" si="196"/>
        <v>588.3411727581996</v>
      </c>
      <c r="AO251">
        <f t="shared" si="197"/>
        <v>-366.06054964884265</v>
      </c>
      <c r="AQ251">
        <f t="shared" si="182"/>
        <v>7.3045485423773385E-2</v>
      </c>
      <c r="AR251">
        <f t="shared" si="183"/>
        <v>-27.026829606796152</v>
      </c>
      <c r="AT251">
        <f t="shared" si="209"/>
        <v>-75549.439063146463</v>
      </c>
      <c r="AU251">
        <f t="shared" si="210"/>
        <v>-75196.720046387287</v>
      </c>
      <c r="AV251">
        <f t="shared" si="198"/>
        <v>-2.3585343068428029</v>
      </c>
      <c r="AW251">
        <f t="shared" si="199"/>
        <v>-6306.3163521623246</v>
      </c>
      <c r="AX251">
        <f t="shared" si="200"/>
        <v>-19892.368615335923</v>
      </c>
      <c r="AY251">
        <f t="shared" si="208"/>
        <v>-1.8777954645683868</v>
      </c>
      <c r="BA251">
        <f t="shared" si="184"/>
        <v>5.1079937396732102</v>
      </c>
      <c r="BB251">
        <f t="shared" si="201"/>
        <v>14.165007126459324</v>
      </c>
      <c r="BC251">
        <f t="shared" si="202"/>
        <v>-0.4807388422744161</v>
      </c>
      <c r="BD251">
        <f t="shared" si="185"/>
        <v>-207.54430674180335</v>
      </c>
      <c r="BF251">
        <f t="shared" si="186"/>
        <v>-22.179859203619991</v>
      </c>
      <c r="BG251">
        <f t="shared" si="187"/>
        <v>-150.13034882036612</v>
      </c>
      <c r="BH251">
        <f t="shared" si="203"/>
        <v>29.869651179633877</v>
      </c>
      <c r="BI251">
        <f t="shared" si="204"/>
        <v>29.869651179633877</v>
      </c>
      <c r="BJ251">
        <f t="shared" si="188"/>
        <v>0</v>
      </c>
      <c r="BK251">
        <f t="shared" si="205"/>
        <v>0</v>
      </c>
      <c r="BM251">
        <f t="shared" si="206"/>
        <v>-36.344866330079313</v>
      </c>
      <c r="BN251">
        <f t="shared" si="189"/>
        <v>-122.58604207856277</v>
      </c>
      <c r="BQ251" s="56">
        <f t="shared" si="207"/>
        <v>31.066967926744461</v>
      </c>
      <c r="BR251" s="59"/>
      <c r="BS251" s="59"/>
      <c r="BT251" s="59">
        <v>25703.957999999999</v>
      </c>
      <c r="BU251" s="59">
        <v>-3.0172699999999999</v>
      </c>
      <c r="BV251" s="59">
        <v>-161.32599999999999</v>
      </c>
      <c r="BY251" s="59"/>
      <c r="BZ251" s="59"/>
      <c r="CA251" s="59"/>
      <c r="CC251" s="59"/>
    </row>
    <row r="252" spans="1:81" x14ac:dyDescent="0.25">
      <c r="A252">
        <f t="shared" si="211"/>
        <v>190000</v>
      </c>
      <c r="B252">
        <f t="shared" si="191"/>
        <v>190</v>
      </c>
      <c r="C252">
        <f t="shared" si="159"/>
        <v>1.8663380529331683</v>
      </c>
      <c r="D252">
        <f t="shared" si="160"/>
        <v>1.0053311855047589</v>
      </c>
      <c r="F252">
        <f t="shared" si="161"/>
        <v>5.2564532512611281E-4</v>
      </c>
      <c r="G252">
        <f t="shared" si="162"/>
        <v>8.6303258375940734E-3</v>
      </c>
      <c r="H252">
        <f t="shared" si="163"/>
        <v>-3.1329623241624063</v>
      </c>
      <c r="J252">
        <f t="shared" si="164"/>
        <v>15</v>
      </c>
      <c r="M252">
        <f t="shared" si="165"/>
        <v>9.5951614682435876E-3</v>
      </c>
      <c r="N252">
        <f t="shared" si="166"/>
        <v>-1.5707963250000001</v>
      </c>
      <c r="O252">
        <f t="shared" si="167"/>
        <v>31.436861969027738</v>
      </c>
      <c r="P252">
        <f t="shared" si="168"/>
        <v>1.5389811691109265</v>
      </c>
      <c r="Q252">
        <f t="shared" si="169"/>
        <v>48.860743306269306</v>
      </c>
      <c r="R252">
        <f t="shared" si="170"/>
        <v>1.5503285697111091</v>
      </c>
      <c r="S252">
        <f t="shared" si="171"/>
        <v>0.53580861110793054</v>
      </c>
      <c r="T252">
        <f t="shared" si="172"/>
        <v>-1.0053311855047586</v>
      </c>
      <c r="U252">
        <f t="shared" si="173"/>
        <v>0.71715267209525901</v>
      </c>
      <c r="V252">
        <f t="shared" si="174"/>
        <v>-0.77108825485754617</v>
      </c>
      <c r="X252">
        <f t="shared" si="192"/>
        <v>-21.583055369973486</v>
      </c>
      <c r="Y252">
        <f t="shared" si="175"/>
        <v>-136.68121159362428</v>
      </c>
      <c r="Z252">
        <f t="shared" si="193"/>
        <v>43.318788406375717</v>
      </c>
      <c r="AC252">
        <v>1</v>
      </c>
      <c r="AD252">
        <f t="shared" si="176"/>
        <v>31.420953048240001</v>
      </c>
      <c r="AE252">
        <f t="shared" si="177"/>
        <v>-5.6265746036837155E-3</v>
      </c>
      <c r="AF252">
        <f t="shared" si="178"/>
        <v>5.7899552539500002E-3</v>
      </c>
      <c r="AG252">
        <f t="shared" si="194"/>
        <v>2704.7274429533536</v>
      </c>
      <c r="AH252">
        <f t="shared" si="195"/>
        <v>-2801.1184938507622</v>
      </c>
      <c r="AJ252">
        <f t="shared" si="179"/>
        <v>18000</v>
      </c>
      <c r="AK252">
        <f t="shared" si="180"/>
        <v>28364.811718320001</v>
      </c>
      <c r="AL252">
        <v>1</v>
      </c>
      <c r="AM252">
        <f t="shared" si="181"/>
        <v>48.850509070439998</v>
      </c>
      <c r="AN252">
        <f t="shared" si="196"/>
        <v>587.941616603331</v>
      </c>
      <c r="AO252">
        <f t="shared" si="197"/>
        <v>-356.43555645017636</v>
      </c>
      <c r="AQ252">
        <f t="shared" si="182"/>
        <v>6.92515979806234E-2</v>
      </c>
      <c r="AR252">
        <f t="shared" si="183"/>
        <v>-26.315607232636893</v>
      </c>
      <c r="AT252">
        <f t="shared" si="209"/>
        <v>-73525.827398725509</v>
      </c>
      <c r="AU252">
        <f t="shared" si="210"/>
        <v>-71370.526991927007</v>
      </c>
      <c r="AV252">
        <f t="shared" si="198"/>
        <v>-2.3710681664637625</v>
      </c>
      <c r="AW252">
        <f t="shared" si="199"/>
        <v>-5869.7140218298227</v>
      </c>
      <c r="AX252">
        <f t="shared" si="200"/>
        <v>-19433.938663820762</v>
      </c>
      <c r="AY252">
        <f t="shared" si="208"/>
        <v>-1.8641183088766562</v>
      </c>
      <c r="BA252">
        <f t="shared" si="184"/>
        <v>5.0474565454155522</v>
      </c>
      <c r="BB252">
        <f t="shared" si="201"/>
        <v>14.061451774037259</v>
      </c>
      <c r="BC252">
        <f t="shared" si="202"/>
        <v>-0.50694985758710631</v>
      </c>
      <c r="BD252">
        <f t="shared" si="185"/>
        <v>-209.04608729768933</v>
      </c>
      <c r="BF252">
        <f t="shared" si="186"/>
        <v>-22.583060697817618</v>
      </c>
      <c r="BG252">
        <f t="shared" si="187"/>
        <v>-150.95037204268209</v>
      </c>
      <c r="BH252">
        <f t="shared" si="203"/>
        <v>29.049627957317909</v>
      </c>
      <c r="BI252">
        <f t="shared" si="204"/>
        <v>29.049627957317909</v>
      </c>
      <c r="BJ252">
        <f t="shared" si="188"/>
        <v>0</v>
      </c>
      <c r="BK252">
        <f t="shared" si="205"/>
        <v>0</v>
      </c>
      <c r="BM252">
        <f t="shared" si="206"/>
        <v>-36.644512471854881</v>
      </c>
      <c r="BN252">
        <f t="shared" si="189"/>
        <v>-121.90428474499278</v>
      </c>
      <c r="BQ252" s="56">
        <f t="shared" si="207"/>
        <v>30.963412574322398</v>
      </c>
      <c r="BR252" s="59"/>
      <c r="BS252" s="59"/>
      <c r="BT252" s="59">
        <v>26302.68</v>
      </c>
      <c r="BU252" s="59">
        <v>-2.9494799999999999</v>
      </c>
      <c r="BV252" s="59">
        <v>-160.22999999999999</v>
      </c>
      <c r="BY252" s="59"/>
      <c r="BZ252" s="59"/>
      <c r="CA252" s="59"/>
      <c r="CC252" s="59"/>
    </row>
    <row r="253" spans="1:81" x14ac:dyDescent="0.25">
      <c r="A253">
        <f t="shared" si="211"/>
        <v>195000</v>
      </c>
      <c r="B253">
        <f t="shared" si="191"/>
        <v>195</v>
      </c>
      <c r="C253">
        <f t="shared" si="159"/>
        <v>1.901481811003956</v>
      </c>
      <c r="D253">
        <f t="shared" si="160"/>
        <v>1.0170167904770018</v>
      </c>
      <c r="F253">
        <f t="shared" si="161"/>
        <v>4.9902233041548545E-4</v>
      </c>
      <c r="G253">
        <f t="shared" si="162"/>
        <v>8.4088209228662773E-3</v>
      </c>
      <c r="H253">
        <f t="shared" si="163"/>
        <v>-3.1331838290771339</v>
      </c>
      <c r="J253">
        <f t="shared" si="164"/>
        <v>15</v>
      </c>
      <c r="M253">
        <f t="shared" si="165"/>
        <v>9.3491316870065715E-3</v>
      </c>
      <c r="N253">
        <f t="shared" si="166"/>
        <v>-1.5707963250000001</v>
      </c>
      <c r="O253">
        <f t="shared" si="167"/>
        <v>32.263321432027446</v>
      </c>
      <c r="P253">
        <f t="shared" si="168"/>
        <v>1.5397964129812431</v>
      </c>
      <c r="Q253">
        <f t="shared" si="169"/>
        <v>50.146020655215573</v>
      </c>
      <c r="R253">
        <f t="shared" si="170"/>
        <v>1.5508532430212687</v>
      </c>
      <c r="S253">
        <f t="shared" si="171"/>
        <v>0.52590563539075563</v>
      </c>
      <c r="T253">
        <f t="shared" si="172"/>
        <v>-1.0170167904770018</v>
      </c>
      <c r="U253">
        <f t="shared" si="173"/>
        <v>0.70804245364915752</v>
      </c>
      <c r="V253">
        <f t="shared" si="174"/>
        <v>-0.78407404568022332</v>
      </c>
      <c r="X253">
        <f t="shared" si="192"/>
        <v>-21.920252705833537</v>
      </c>
      <c r="Y253">
        <f t="shared" si="175"/>
        <v>-137.36116229959734</v>
      </c>
      <c r="Z253">
        <f t="shared" si="193"/>
        <v>42.638837700402661</v>
      </c>
      <c r="AC253">
        <v>1</v>
      </c>
      <c r="AD253">
        <f t="shared" si="176"/>
        <v>32.247820233719999</v>
      </c>
      <c r="AE253">
        <f t="shared" si="177"/>
        <v>-5.9266066289493978E-3</v>
      </c>
      <c r="AF253">
        <f t="shared" si="178"/>
        <v>5.9423224974749994E-3</v>
      </c>
      <c r="AG253">
        <f t="shared" si="194"/>
        <v>2636.4458908123806</v>
      </c>
      <c r="AH253">
        <f t="shared" si="195"/>
        <v>-2797.7575603510909</v>
      </c>
      <c r="AJ253">
        <f t="shared" si="179"/>
        <v>18000</v>
      </c>
      <c r="AK253">
        <f t="shared" si="180"/>
        <v>29111.254131960002</v>
      </c>
      <c r="AL253">
        <v>1</v>
      </c>
      <c r="AM253">
        <f t="shared" si="181"/>
        <v>50.136048782819998</v>
      </c>
      <c r="AN253">
        <f t="shared" si="196"/>
        <v>587.57238344411735</v>
      </c>
      <c r="AO253">
        <f t="shared" si="197"/>
        <v>-347.3035478320852</v>
      </c>
      <c r="AQ253">
        <f t="shared" si="182"/>
        <v>6.5745787338676268E-2</v>
      </c>
      <c r="AR253">
        <f t="shared" si="183"/>
        <v>-25.640857062083747</v>
      </c>
      <c r="AT253">
        <f t="shared" si="209"/>
        <v>-71563.566488459182</v>
      </c>
      <c r="AU253">
        <f t="shared" si="210"/>
        <v>-67784.673011826322</v>
      </c>
      <c r="AV253">
        <f t="shared" si="198"/>
        <v>-2.3833061893439833</v>
      </c>
      <c r="AW253">
        <f t="shared" si="199"/>
        <v>-5470.0844315613831</v>
      </c>
      <c r="AX253">
        <f t="shared" si="200"/>
        <v>-18998.059072093638</v>
      </c>
      <c r="AY253">
        <f t="shared" si="208"/>
        <v>-1.8511419766170085</v>
      </c>
      <c r="BA253">
        <f t="shared" si="184"/>
        <v>4.9858835822659975</v>
      </c>
      <c r="BB253">
        <f t="shared" si="201"/>
        <v>13.95484267481222</v>
      </c>
      <c r="BC253">
        <f t="shared" si="202"/>
        <v>-0.53216421272697478</v>
      </c>
      <c r="BD253">
        <f t="shared" si="185"/>
        <v>-210.49076343199857</v>
      </c>
      <c r="BF253">
        <f t="shared" si="186"/>
        <v>-22.979089035087604</v>
      </c>
      <c r="BG253">
        <f t="shared" si="187"/>
        <v>-151.73820362702946</v>
      </c>
      <c r="BH253">
        <f t="shared" si="203"/>
        <v>28.261796372970537</v>
      </c>
      <c r="BI253">
        <f t="shared" si="204"/>
        <v>28.261796372970537</v>
      </c>
      <c r="BJ253">
        <f t="shared" si="188"/>
        <v>0</v>
      </c>
      <c r="BK253">
        <f t="shared" si="205"/>
        <v>0</v>
      </c>
      <c r="BM253">
        <f t="shared" si="206"/>
        <v>-36.933931709899824</v>
      </c>
      <c r="BN253">
        <f t="shared" si="189"/>
        <v>-121.24744019503093</v>
      </c>
      <c r="BQ253" s="56">
        <f t="shared" si="207"/>
        <v>30.856803475097358</v>
      </c>
      <c r="BR253" s="59"/>
      <c r="BS253" s="59"/>
      <c r="BT253" s="59">
        <v>26915.348000000002</v>
      </c>
      <c r="BU253" s="59">
        <v>-2.8411300000000002</v>
      </c>
      <c r="BV253" s="59">
        <v>-159.27600000000001</v>
      </c>
      <c r="BY253" s="59"/>
      <c r="BZ253" s="59"/>
      <c r="CA253" s="59"/>
      <c r="CC253" s="59"/>
    </row>
    <row r="254" spans="1:81" x14ac:dyDescent="0.25">
      <c r="A254">
        <f t="shared" si="211"/>
        <v>200000</v>
      </c>
      <c r="B254">
        <f t="shared" si="191"/>
        <v>200</v>
      </c>
      <c r="C254">
        <f t="shared" si="159"/>
        <v>1.9368757799779597</v>
      </c>
      <c r="D254">
        <f t="shared" si="160"/>
        <v>1.0282768072320181</v>
      </c>
      <c r="F254">
        <f t="shared" si="161"/>
        <v>4.7437217437595116E-4</v>
      </c>
      <c r="G254">
        <f t="shared" si="162"/>
        <v>8.1984067519362026E-3</v>
      </c>
      <c r="H254">
        <f t="shared" si="163"/>
        <v>-3.1333942432480639</v>
      </c>
      <c r="J254">
        <f t="shared" si="164"/>
        <v>15</v>
      </c>
      <c r="M254">
        <f t="shared" si="165"/>
        <v>9.1154033948314082E-3</v>
      </c>
      <c r="N254">
        <f t="shared" si="166"/>
        <v>-1.5707963250000001</v>
      </c>
      <c r="O254">
        <f t="shared" si="167"/>
        <v>33.089801266822185</v>
      </c>
      <c r="P254">
        <f t="shared" si="168"/>
        <v>1.5405709328563866</v>
      </c>
      <c r="Q254">
        <f t="shared" si="169"/>
        <v>51.431311118516945</v>
      </c>
      <c r="R254">
        <f t="shared" si="170"/>
        <v>1.5513516928421112</v>
      </c>
      <c r="S254">
        <f t="shared" si="171"/>
        <v>0.51629537130738423</v>
      </c>
      <c r="T254">
        <f t="shared" si="172"/>
        <v>-1.0282768072320181</v>
      </c>
      <c r="U254">
        <f t="shared" si="173"/>
        <v>0.69904732068565512</v>
      </c>
      <c r="V254">
        <f t="shared" si="174"/>
        <v>-0.79673197740734136</v>
      </c>
      <c r="X254">
        <f t="shared" si="192"/>
        <v>-22.251706234608143</v>
      </c>
      <c r="Y254">
        <f t="shared" si="175"/>
        <v>-138.02552841860108</v>
      </c>
      <c r="Z254">
        <f t="shared" si="193"/>
        <v>41.974471581398916</v>
      </c>
      <c r="AC254">
        <v>1</v>
      </c>
      <c r="AD254">
        <f t="shared" si="176"/>
        <v>33.074687419199996</v>
      </c>
      <c r="AE254">
        <f t="shared" si="177"/>
        <v>-6.2344316938323712E-3</v>
      </c>
      <c r="AF254">
        <f t="shared" si="178"/>
        <v>6.0946897410000004E-3</v>
      </c>
      <c r="AG254">
        <f t="shared" si="194"/>
        <v>2569.8833854745562</v>
      </c>
      <c r="AH254">
        <f t="shared" si="195"/>
        <v>-2792.8841583760295</v>
      </c>
      <c r="AJ254">
        <f t="shared" si="179"/>
        <v>18000</v>
      </c>
      <c r="AK254">
        <f t="shared" si="180"/>
        <v>29857.696545600003</v>
      </c>
      <c r="AL254">
        <v>1</v>
      </c>
      <c r="AM254">
        <f t="shared" si="181"/>
        <v>51.421588495199998</v>
      </c>
      <c r="AN254">
        <f t="shared" si="196"/>
        <v>587.23048115399774</v>
      </c>
      <c r="AO254">
        <f t="shared" si="197"/>
        <v>-338.62760813916537</v>
      </c>
      <c r="AQ254">
        <f t="shared" si="182"/>
        <v>6.2499609377441388E-2</v>
      </c>
      <c r="AR254">
        <f t="shared" si="183"/>
        <v>-24.999843750976556</v>
      </c>
      <c r="AT254">
        <f t="shared" si="209"/>
        <v>-69661.050866240665</v>
      </c>
      <c r="AU254">
        <f t="shared" si="210"/>
        <v>-64421.237264029507</v>
      </c>
      <c r="AV254">
        <f t="shared" si="198"/>
        <v>-2.3952537033490615</v>
      </c>
      <c r="AW254">
        <f t="shared" si="199"/>
        <v>-5103.5943515707504</v>
      </c>
      <c r="AX254">
        <f t="shared" si="200"/>
        <v>-18582.949658037269</v>
      </c>
      <c r="AY254">
        <f t="shared" si="208"/>
        <v>-1.8388264696079577</v>
      </c>
      <c r="BA254">
        <f t="shared" si="184"/>
        <v>4.9236004200399464</v>
      </c>
      <c r="BB254">
        <f t="shared" si="201"/>
        <v>13.845656001297424</v>
      </c>
      <c r="BC254">
        <f t="shared" si="202"/>
        <v>-0.55642723374110381</v>
      </c>
      <c r="BD254">
        <f t="shared" si="185"/>
        <v>-211.88093213593388</v>
      </c>
      <c r="BF254">
        <f t="shared" si="186"/>
        <v>-23.368099321157935</v>
      </c>
      <c r="BG254">
        <f t="shared" si="187"/>
        <v>-152.49527673687638</v>
      </c>
      <c r="BH254">
        <f t="shared" si="203"/>
        <v>27.504723263123623</v>
      </c>
      <c r="BI254">
        <f t="shared" si="204"/>
        <v>27.504723263123623</v>
      </c>
      <c r="BJ254">
        <f t="shared" si="188"/>
        <v>0</v>
      </c>
      <c r="BK254">
        <f t="shared" si="205"/>
        <v>0</v>
      </c>
      <c r="BM254">
        <f t="shared" si="206"/>
        <v>-37.213755322455356</v>
      </c>
      <c r="BN254">
        <f t="shared" si="189"/>
        <v>-120.61434460094252</v>
      </c>
      <c r="BQ254" s="56">
        <f t="shared" si="207"/>
        <v>30.747616801582559</v>
      </c>
      <c r="BR254" s="59"/>
      <c r="BS254" s="59"/>
      <c r="BT254" s="59">
        <v>27542.287</v>
      </c>
      <c r="BU254" s="59">
        <v>-2.7366600000000001</v>
      </c>
      <c r="BV254" s="59">
        <v>-158.108</v>
      </c>
      <c r="BY254" s="59"/>
      <c r="BZ254" s="59"/>
      <c r="CA254" s="59"/>
      <c r="CC254" s="59"/>
    </row>
    <row r="255" spans="1:81" x14ac:dyDescent="0.25">
      <c r="A255">
        <f t="shared" si="211"/>
        <v>205000</v>
      </c>
      <c r="B255">
        <f t="shared" si="191"/>
        <v>205</v>
      </c>
      <c r="C255">
        <f t="shared" si="159"/>
        <v>1.972506490809449</v>
      </c>
      <c r="D255">
        <f t="shared" si="160"/>
        <v>1.0391313646968685</v>
      </c>
      <c r="F255">
        <f t="shared" si="161"/>
        <v>4.5150461503116991E-4</v>
      </c>
      <c r="G255">
        <f t="shared" si="162"/>
        <v>7.9982703489558885E-3</v>
      </c>
      <c r="H255">
        <f t="shared" si="163"/>
        <v>-3.1335943796510444</v>
      </c>
      <c r="J255">
        <f t="shared" si="164"/>
        <v>15</v>
      </c>
      <c r="M255">
        <f t="shared" si="165"/>
        <v>8.893076482762349E-3</v>
      </c>
      <c r="N255">
        <f t="shared" si="166"/>
        <v>-1.5707963250000001</v>
      </c>
      <c r="O255">
        <f t="shared" si="167"/>
        <v>33.916299984138895</v>
      </c>
      <c r="P255">
        <f t="shared" si="168"/>
        <v>1.5413077049530286</v>
      </c>
      <c r="Q255">
        <f t="shared" si="169"/>
        <v>52.716613736945156</v>
      </c>
      <c r="R255">
        <f t="shared" si="170"/>
        <v>1.5518258370092197</v>
      </c>
      <c r="S255">
        <f t="shared" si="171"/>
        <v>0.50696918091744003</v>
      </c>
      <c r="T255">
        <f t="shared" si="172"/>
        <v>-1.0391313646968683</v>
      </c>
      <c r="U255">
        <f t="shared" si="173"/>
        <v>0.6901714280220822</v>
      </c>
      <c r="V255">
        <f t="shared" si="174"/>
        <v>-0.80907040590461343</v>
      </c>
      <c r="X255">
        <f t="shared" si="192"/>
        <v>-22.577631403609544</v>
      </c>
      <c r="Y255">
        <f t="shared" si="175"/>
        <v>-138.67455487802138</v>
      </c>
      <c r="Z255">
        <f t="shared" si="193"/>
        <v>41.325445121978618</v>
      </c>
      <c r="AC255">
        <v>1</v>
      </c>
      <c r="AD255">
        <f t="shared" si="176"/>
        <v>33.901554604680001</v>
      </c>
      <c r="AE255">
        <f t="shared" si="177"/>
        <v>-6.5500497983326357E-3</v>
      </c>
      <c r="AF255">
        <f t="shared" si="178"/>
        <v>6.2470569845249997E-3</v>
      </c>
      <c r="AG255">
        <f t="shared" si="194"/>
        <v>2505.0374226200365</v>
      </c>
      <c r="AH255">
        <f t="shared" si="195"/>
        <v>-2786.6113448253927</v>
      </c>
      <c r="AJ255">
        <f t="shared" si="179"/>
        <v>18000</v>
      </c>
      <c r="AK255">
        <f t="shared" si="180"/>
        <v>30604.138959240005</v>
      </c>
      <c r="AL255">
        <v>1</v>
      </c>
      <c r="AM255">
        <f t="shared" si="181"/>
        <v>52.707128207579991</v>
      </c>
      <c r="AN255">
        <f t="shared" si="196"/>
        <v>586.91327772250327</v>
      </c>
      <c r="AO255">
        <f t="shared" si="197"/>
        <v>-330.37441641097161</v>
      </c>
      <c r="AQ255">
        <f t="shared" si="182"/>
        <v>5.9488045877180984E-2</v>
      </c>
      <c r="AR255">
        <f t="shared" si="183"/>
        <v>-24.390098809644201</v>
      </c>
      <c r="AT255">
        <f t="shared" si="209"/>
        <v>-67816.706263245957</v>
      </c>
      <c r="AU255">
        <f t="shared" si="210"/>
        <v>-61263.880323081976</v>
      </c>
      <c r="AV255">
        <f t="shared" si="198"/>
        <v>-2.4069163349875717</v>
      </c>
      <c r="AW255">
        <f t="shared" si="199"/>
        <v>-4766.8786014431471</v>
      </c>
      <c r="AX255">
        <f t="shared" si="200"/>
        <v>-18187.020796942586</v>
      </c>
      <c r="AY255">
        <f t="shared" si="208"/>
        <v>-1.8271335163561975</v>
      </c>
      <c r="BA255">
        <f t="shared" si="184"/>
        <v>4.8608893523452066</v>
      </c>
      <c r="BB255">
        <f t="shared" si="201"/>
        <v>13.734314708210336</v>
      </c>
      <c r="BC255">
        <f t="shared" si="202"/>
        <v>-0.57978281863137426</v>
      </c>
      <c r="BD255">
        <f t="shared" si="185"/>
        <v>-213.21910857973498</v>
      </c>
      <c r="BF255">
        <f t="shared" si="186"/>
        <v>-23.750247415043088</v>
      </c>
      <c r="BG255">
        <f t="shared" si="187"/>
        <v>-153.22299981997949</v>
      </c>
      <c r="BH255">
        <f t="shared" si="203"/>
        <v>26.777000180020508</v>
      </c>
      <c r="BI255">
        <f t="shared" si="204"/>
        <v>26.777000180020508</v>
      </c>
      <c r="BJ255">
        <f t="shared" si="188"/>
        <v>0</v>
      </c>
      <c r="BK255">
        <f t="shared" si="205"/>
        <v>0</v>
      </c>
      <c r="BM255">
        <f t="shared" si="206"/>
        <v>-37.484562123253426</v>
      </c>
      <c r="BN255">
        <f t="shared" si="189"/>
        <v>-120.00389124024454</v>
      </c>
      <c r="BQ255" s="56">
        <f t="shared" si="207"/>
        <v>30.636275508495473</v>
      </c>
      <c r="BR255" s="59"/>
      <c r="BS255" s="59"/>
      <c r="BT255" s="59">
        <v>28183.829000000002</v>
      </c>
      <c r="BU255" s="59">
        <v>-2.6523400000000001</v>
      </c>
      <c r="BV255" s="59">
        <v>-157.06299999999999</v>
      </c>
      <c r="BY255" s="59"/>
      <c r="BZ255" s="59"/>
      <c r="CA255" s="59"/>
      <c r="CC255" s="59"/>
    </row>
    <row r="256" spans="1:81" x14ac:dyDescent="0.25">
      <c r="A256">
        <f t="shared" si="211"/>
        <v>210000</v>
      </c>
      <c r="B256">
        <f t="shared" si="191"/>
        <v>210</v>
      </c>
      <c r="C256">
        <f t="shared" si="159"/>
        <v>2.0083613432944323</v>
      </c>
      <c r="D256">
        <f t="shared" si="160"/>
        <v>1.0495995509415679</v>
      </c>
      <c r="F256">
        <f t="shared" si="161"/>
        <v>4.3025180391622638E-4</v>
      </c>
      <c r="G256">
        <f t="shared" si="162"/>
        <v>7.8076763318819841E-3</v>
      </c>
      <c r="H256">
        <f t="shared" si="163"/>
        <v>-3.133784973668118</v>
      </c>
      <c r="J256">
        <f t="shared" si="164"/>
        <v>15</v>
      </c>
      <c r="M256">
        <f t="shared" si="165"/>
        <v>8.681336566506102E-3</v>
      </c>
      <c r="N256">
        <f t="shared" si="166"/>
        <v>-1.5707963250000001</v>
      </c>
      <c r="O256">
        <f t="shared" si="167"/>
        <v>34.742816236385622</v>
      </c>
      <c r="P256">
        <f t="shared" si="168"/>
        <v>1.5420094224501382</v>
      </c>
      <c r="Q256">
        <f t="shared" si="169"/>
        <v>54.001927642585848</v>
      </c>
      <c r="R256">
        <f t="shared" si="170"/>
        <v>1.5522774108169191</v>
      </c>
      <c r="S256">
        <f t="shared" si="171"/>
        <v>0.49791836680128582</v>
      </c>
      <c r="T256">
        <f t="shared" si="172"/>
        <v>-1.0495995509415676</v>
      </c>
      <c r="U256">
        <f t="shared" si="173"/>
        <v>0.68141824698831044</v>
      </c>
      <c r="V256">
        <f t="shared" si="174"/>
        <v>-0.82109765991718098</v>
      </c>
      <c r="X256">
        <f t="shared" si="192"/>
        <v>-22.898228132634092</v>
      </c>
      <c r="Y256">
        <f t="shared" si="175"/>
        <v>-139.30850728126177</v>
      </c>
      <c r="Z256">
        <f t="shared" si="193"/>
        <v>40.691492718738232</v>
      </c>
      <c r="AC256">
        <v>1</v>
      </c>
      <c r="AD256">
        <f t="shared" si="176"/>
        <v>34.728421790159999</v>
      </c>
      <c r="AE256">
        <f t="shared" si="177"/>
        <v>-6.8734609424501904E-3</v>
      </c>
      <c r="AF256">
        <f t="shared" si="178"/>
        <v>6.3994242280499998E-3</v>
      </c>
      <c r="AG256">
        <f t="shared" si="194"/>
        <v>2441.8994861881115</v>
      </c>
      <c r="AH256">
        <f t="shared" si="195"/>
        <v>-2779.0470064089368</v>
      </c>
      <c r="AJ256">
        <f t="shared" si="179"/>
        <v>18000</v>
      </c>
      <c r="AK256">
        <f t="shared" si="180"/>
        <v>31350.581372880006</v>
      </c>
      <c r="AL256">
        <v>1</v>
      </c>
      <c r="AM256">
        <f t="shared" si="181"/>
        <v>53.992667919959999</v>
      </c>
      <c r="AN256">
        <f t="shared" si="196"/>
        <v>586.61845047582347</v>
      </c>
      <c r="AO256">
        <f t="shared" si="197"/>
        <v>-322.51381938262767</v>
      </c>
      <c r="AQ256">
        <f t="shared" si="182"/>
        <v>5.6689021037295707E-2</v>
      </c>
      <c r="AR256">
        <f t="shared" si="183"/>
        <v>-23.809388835664198</v>
      </c>
      <c r="AT256">
        <f t="shared" si="209"/>
        <v>-66028.98187683546</v>
      </c>
      <c r="AU256">
        <f t="shared" si="210"/>
        <v>-58297.675818471318</v>
      </c>
      <c r="AV256">
        <f t="shared" si="198"/>
        <v>-2.4182999431750223</v>
      </c>
      <c r="AW256">
        <f t="shared" si="199"/>
        <v>-4456.974197194575</v>
      </c>
      <c r="AX256">
        <f t="shared" si="200"/>
        <v>-17808.848540683859</v>
      </c>
      <c r="AY256">
        <f t="shared" si="208"/>
        <v>-1.8160266433989218</v>
      </c>
      <c r="BA256">
        <f t="shared" si="184"/>
        <v>4.7979940856525847</v>
      </c>
      <c r="BB256">
        <f t="shared" si="201"/>
        <v>13.621194165799931</v>
      </c>
      <c r="BC256">
        <f t="shared" si="202"/>
        <v>-0.60227329977610045</v>
      </c>
      <c r="BD256">
        <f t="shared" si="185"/>
        <v>-214.50771823001881</v>
      </c>
      <c r="BF256">
        <f t="shared" si="186"/>
        <v>-24.125689585037449</v>
      </c>
      <c r="BG256">
        <f t="shared" si="187"/>
        <v>-153.92274681139105</v>
      </c>
      <c r="BH256">
        <f t="shared" si="203"/>
        <v>26.07725318860895</v>
      </c>
      <c r="BI256">
        <f t="shared" si="204"/>
        <v>26.07725318860895</v>
      </c>
      <c r="BJ256">
        <f t="shared" si="188"/>
        <v>0</v>
      </c>
      <c r="BK256">
        <f t="shared" si="205"/>
        <v>0</v>
      </c>
      <c r="BM256">
        <f t="shared" si="206"/>
        <v>-37.746883750837384</v>
      </c>
      <c r="BN256">
        <f t="shared" si="189"/>
        <v>-119.41502858137227</v>
      </c>
      <c r="BQ256" s="56">
        <f t="shared" si="207"/>
        <v>30.52315496608507</v>
      </c>
      <c r="BR256" s="59"/>
      <c r="BS256" s="59"/>
      <c r="BT256" s="59">
        <v>28840.314999999999</v>
      </c>
      <c r="BU256" s="59">
        <v>-2.5506799999999998</v>
      </c>
      <c r="BV256" s="59">
        <v>-156.01</v>
      </c>
      <c r="BY256" s="59"/>
      <c r="BZ256" s="59"/>
      <c r="CA256" s="59"/>
      <c r="CC256" s="59"/>
    </row>
    <row r="257" spans="1:81" x14ac:dyDescent="0.25">
      <c r="A257">
        <f t="shared" si="211"/>
        <v>215000</v>
      </c>
      <c r="B257">
        <f t="shared" si="191"/>
        <v>215</v>
      </c>
      <c r="C257">
        <f t="shared" si="159"/>
        <v>2.0444285445882562</v>
      </c>
      <c r="D257">
        <f t="shared" si="160"/>
        <v>1.0596994584688166</v>
      </c>
      <c r="F257">
        <f t="shared" si="161"/>
        <v>4.1046519543694294E-4</v>
      </c>
      <c r="G257">
        <f t="shared" si="162"/>
        <v>7.6259578673564784E-3</v>
      </c>
      <c r="H257">
        <f t="shared" si="163"/>
        <v>-3.1339666921326437</v>
      </c>
      <c r="J257">
        <f t="shared" si="164"/>
        <v>15</v>
      </c>
      <c r="M257">
        <f t="shared" si="165"/>
        <v>8.4794450184478218E-3</v>
      </c>
      <c r="N257">
        <f t="shared" si="166"/>
        <v>-1.5707963250000001</v>
      </c>
      <c r="O257">
        <f t="shared" si="167"/>
        <v>35.569348801197748</v>
      </c>
      <c r="P257">
        <f t="shared" si="168"/>
        <v>1.5426785283449855</v>
      </c>
      <c r="Q257">
        <f t="shared" si="169"/>
        <v>55.2872520482262</v>
      </c>
      <c r="R257">
        <f t="shared" si="170"/>
        <v>1.5527079882292303</v>
      </c>
      <c r="S257">
        <f t="shared" si="171"/>
        <v>0.48913423883024398</v>
      </c>
      <c r="T257">
        <f t="shared" si="172"/>
        <v>-1.0596994584688164</v>
      </c>
      <c r="U257">
        <f t="shared" si="173"/>
        <v>0.67279062309591242</v>
      </c>
      <c r="V257">
        <f t="shared" si="174"/>
        <v>-0.83282201373716069</v>
      </c>
      <c r="X257">
        <f t="shared" si="192"/>
        <v>-23.213682513728848</v>
      </c>
      <c r="Y257">
        <f t="shared" si="175"/>
        <v>-139.92766776214788</v>
      </c>
      <c r="Z257">
        <f t="shared" si="193"/>
        <v>40.072332237852123</v>
      </c>
      <c r="AC257">
        <v>1</v>
      </c>
      <c r="AD257">
        <f t="shared" si="176"/>
        <v>35.555288975639996</v>
      </c>
      <c r="AE257">
        <f t="shared" si="177"/>
        <v>-7.2046651261850328E-3</v>
      </c>
      <c r="AF257">
        <f t="shared" si="178"/>
        <v>6.5517914715749991E-3</v>
      </c>
      <c r="AG257">
        <f t="shared" si="194"/>
        <v>2380.4558195485106</v>
      </c>
      <c r="AH257">
        <f t="shared" si="195"/>
        <v>-2770.2937595420995</v>
      </c>
      <c r="AJ257">
        <f t="shared" si="179"/>
        <v>18000</v>
      </c>
      <c r="AK257">
        <f t="shared" si="180"/>
        <v>32097.02378652</v>
      </c>
      <c r="AL257">
        <v>1</v>
      </c>
      <c r="AM257">
        <f t="shared" si="181"/>
        <v>55.278207632339999</v>
      </c>
      <c r="AN257">
        <f t="shared" si="196"/>
        <v>586.34394345805015</v>
      </c>
      <c r="AO257">
        <f t="shared" si="197"/>
        <v>-315.01846391912051</v>
      </c>
      <c r="AQ257">
        <f t="shared" si="182"/>
        <v>5.4082995765301428E-2</v>
      </c>
      <c r="AR257">
        <f t="shared" si="183"/>
        <v>-23.255688179079616</v>
      </c>
      <c r="AT257">
        <f t="shared" si="209"/>
        <v>-64296.345654353099</v>
      </c>
      <c r="AU257">
        <f t="shared" si="210"/>
        <v>-55508.964049161536</v>
      </c>
      <c r="AV257">
        <f t="shared" si="198"/>
        <v>-2.4294105617791089</v>
      </c>
      <c r="AW257">
        <f t="shared" si="199"/>
        <v>-4171.2650063421206</v>
      </c>
      <c r="AX257">
        <f t="shared" si="200"/>
        <v>-17447.153486282899</v>
      </c>
      <c r="AY257">
        <f t="shared" si="208"/>
        <v>-1.8054712076337727</v>
      </c>
      <c r="BA257">
        <f t="shared" si="184"/>
        <v>4.7351240639416634</v>
      </c>
      <c r="BB257">
        <f t="shared" si="201"/>
        <v>13.506627246846705</v>
      </c>
      <c r="BC257">
        <f t="shared" si="202"/>
        <v>-0.62393935414533619</v>
      </c>
      <c r="BD257">
        <f t="shared" si="185"/>
        <v>-215.74909170549546</v>
      </c>
      <c r="BF257">
        <f t="shared" si="186"/>
        <v>-24.494582094009548</v>
      </c>
      <c r="BG257">
        <f t="shared" si="187"/>
        <v>-154.59584991251151</v>
      </c>
      <c r="BH257">
        <f t="shared" si="203"/>
        <v>25.404150087488489</v>
      </c>
      <c r="BI257">
        <f t="shared" si="204"/>
        <v>25.404150087488489</v>
      </c>
      <c r="BJ257">
        <f t="shared" si="188"/>
        <v>0</v>
      </c>
      <c r="BK257">
        <f t="shared" si="205"/>
        <v>0</v>
      </c>
      <c r="BM257">
        <f t="shared" si="206"/>
        <v>-38.001209340856249</v>
      </c>
      <c r="BN257">
        <f t="shared" si="189"/>
        <v>-118.84675820701605</v>
      </c>
      <c r="BQ257" s="56">
        <f t="shared" si="207"/>
        <v>30.408588047131843</v>
      </c>
      <c r="BR257" s="59"/>
      <c r="BS257" s="59"/>
      <c r="BT257" s="59">
        <v>29512.092000000001</v>
      </c>
      <c r="BU257" s="59">
        <v>-2.44991</v>
      </c>
      <c r="BV257" s="59">
        <v>-155.03200000000001</v>
      </c>
      <c r="BY257" s="59"/>
      <c r="BZ257" s="59"/>
      <c r="CA257" s="59"/>
      <c r="CC257" s="59"/>
    </row>
    <row r="258" spans="1:81" x14ac:dyDescent="0.25">
      <c r="A258">
        <f t="shared" si="211"/>
        <v>220000</v>
      </c>
      <c r="B258">
        <f t="shared" si="191"/>
        <v>220</v>
      </c>
      <c r="C258">
        <f t="shared" si="159"/>
        <v>2.08069705203543</v>
      </c>
      <c r="D258">
        <f t="shared" si="160"/>
        <v>1.0694482300482455</v>
      </c>
      <c r="F258">
        <f t="shared" si="161"/>
        <v>3.9201294272406799E-4</v>
      </c>
      <c r="G258">
        <f t="shared" si="162"/>
        <v>7.4525088624867982E-3</v>
      </c>
      <c r="H258">
        <f t="shared" si="163"/>
        <v>-3.1341401411375136</v>
      </c>
      <c r="J258">
        <f t="shared" si="164"/>
        <v>15</v>
      </c>
      <c r="M258">
        <f t="shared" si="165"/>
        <v>8.2867303589376443E-3</v>
      </c>
      <c r="N258">
        <f t="shared" si="166"/>
        <v>-1.5707963250000001</v>
      </c>
      <c r="O258">
        <f t="shared" si="167"/>
        <v>36.395896567224746</v>
      </c>
      <c r="P258">
        <f t="shared" si="168"/>
        <v>1.5433172438372782</v>
      </c>
      <c r="Q258">
        <f t="shared" si="169"/>
        <v>56.57258623818889</v>
      </c>
      <c r="R258">
        <f t="shared" si="170"/>
        <v>1.5531190002006903</v>
      </c>
      <c r="S258">
        <f t="shared" si="171"/>
        <v>0.48060816879696922</v>
      </c>
      <c r="T258">
        <f t="shared" si="172"/>
        <v>-1.0694482300482453</v>
      </c>
      <c r="U258">
        <f t="shared" si="173"/>
        <v>0.66429083069805417</v>
      </c>
      <c r="V258">
        <f t="shared" si="174"/>
        <v>-0.84425166346459513</v>
      </c>
      <c r="X258">
        <f t="shared" si="192"/>
        <v>-23.524168284867656</v>
      </c>
      <c r="Y258">
        <f t="shared" si="175"/>
        <v>-140.53233139616145</v>
      </c>
      <c r="Z258">
        <f t="shared" si="193"/>
        <v>39.467668603838547</v>
      </c>
      <c r="AC258">
        <v>1</v>
      </c>
      <c r="AD258">
        <f t="shared" si="176"/>
        <v>36.382156161120001</v>
      </c>
      <c r="AE258">
        <f t="shared" si="177"/>
        <v>-7.5436623495371696E-3</v>
      </c>
      <c r="AF258">
        <f t="shared" si="178"/>
        <v>6.7041587150999992E-3</v>
      </c>
      <c r="AG258">
        <f t="shared" si="194"/>
        <v>2320.6881325473701</v>
      </c>
      <c r="AH258">
        <f t="shared" si="195"/>
        <v>-2760.4489208813839</v>
      </c>
      <c r="AJ258">
        <f t="shared" si="179"/>
        <v>18000</v>
      </c>
      <c r="AK258">
        <f t="shared" si="180"/>
        <v>32843.466200160001</v>
      </c>
      <c r="AL258">
        <v>1</v>
      </c>
      <c r="AM258">
        <f t="shared" si="181"/>
        <v>56.563747344719992</v>
      </c>
      <c r="AN258">
        <f t="shared" si="196"/>
        <v>586.08793150810163</v>
      </c>
      <c r="AO258">
        <f t="shared" si="197"/>
        <v>-307.86347945381345</v>
      </c>
      <c r="AQ258">
        <f t="shared" si="182"/>
        <v>5.1652625761230572E-2</v>
      </c>
      <c r="AR258">
        <f t="shared" si="183"/>
        <v>-22.72715533494145</v>
      </c>
      <c r="AT258">
        <f t="shared" si="209"/>
        <v>-62617.281783423714</v>
      </c>
      <c r="AU258">
        <f t="shared" si="210"/>
        <v>-52885.224107402551</v>
      </c>
      <c r="AV258">
        <f t="shared" si="198"/>
        <v>-2.4402543498574687</v>
      </c>
      <c r="AW258">
        <f t="shared" si="199"/>
        <v>-3907.4350359780278</v>
      </c>
      <c r="AX258">
        <f t="shared" si="200"/>
        <v>-17100.782758517133</v>
      </c>
      <c r="AY258">
        <f t="shared" si="208"/>
        <v>-1.7954343977689329</v>
      </c>
      <c r="BA258">
        <f t="shared" si="184"/>
        <v>4.6724584202291064</v>
      </c>
      <c r="BB258">
        <f t="shared" si="201"/>
        <v>13.39090890644102</v>
      </c>
      <c r="BC258">
        <f t="shared" si="202"/>
        <v>-0.64481995208853582</v>
      </c>
      <c r="BD258">
        <f t="shared" si="185"/>
        <v>-216.94546184271741</v>
      </c>
      <c r="BF258">
        <f t="shared" si="186"/>
        <v>-24.857080756291147</v>
      </c>
      <c r="BG258">
        <f t="shared" si="187"/>
        <v>-155.24359447810798</v>
      </c>
      <c r="BH258">
        <f t="shared" si="203"/>
        <v>24.75640552189202</v>
      </c>
      <c r="BI258">
        <f t="shared" si="204"/>
        <v>24.75640552189202</v>
      </c>
      <c r="BJ258">
        <f t="shared" si="188"/>
        <v>0</v>
      </c>
      <c r="BK258">
        <f t="shared" si="205"/>
        <v>0</v>
      </c>
      <c r="BM258">
        <f t="shared" si="206"/>
        <v>-38.247989662732166</v>
      </c>
      <c r="BN258">
        <f t="shared" si="189"/>
        <v>-118.29813263539057</v>
      </c>
      <c r="BQ258" s="56">
        <f t="shared" si="207"/>
        <v>30.292869706726155</v>
      </c>
      <c r="BR258" s="59"/>
      <c r="BS258" s="59"/>
      <c r="BT258" s="59">
        <v>30199.517</v>
      </c>
      <c r="BU258" s="59">
        <v>-2.3553299999999999</v>
      </c>
      <c r="BV258" s="59">
        <v>-154.00200000000001</v>
      </c>
      <c r="BY258" s="59"/>
      <c r="BZ258" s="59"/>
      <c r="CA258" s="59"/>
      <c r="CC258" s="59"/>
    </row>
    <row r="259" spans="1:81" x14ac:dyDescent="0.25">
      <c r="A259">
        <f t="shared" si="211"/>
        <v>225000</v>
      </c>
      <c r="B259">
        <f t="shared" si="191"/>
        <v>225</v>
      </c>
      <c r="C259">
        <f t="shared" si="159"/>
        <v>2.1171565200769713</v>
      </c>
      <c r="D259">
        <f t="shared" si="160"/>
        <v>1.0788621044524151</v>
      </c>
      <c r="F259">
        <f t="shared" si="161"/>
        <v>3.747776943822916E-4</v>
      </c>
      <c r="G259">
        <f t="shared" si="162"/>
        <v>7.2867772005210532E-3</v>
      </c>
      <c r="H259">
        <f t="shared" si="163"/>
        <v>-3.1343058727994793</v>
      </c>
      <c r="J259">
        <f t="shared" si="164"/>
        <v>15</v>
      </c>
      <c r="M259">
        <f t="shared" si="165"/>
        <v>8.102580795405696E-3</v>
      </c>
      <c r="N259">
        <f t="shared" si="166"/>
        <v>-1.5707963250000001</v>
      </c>
      <c r="O259">
        <f t="shared" si="167"/>
        <v>37.222458521809443</v>
      </c>
      <c r="P259">
        <f t="shared" si="168"/>
        <v>1.5439275929355951</v>
      </c>
      <c r="Q259">
        <f t="shared" si="169"/>
        <v>57.857929560387461</v>
      </c>
      <c r="R259">
        <f t="shared" si="170"/>
        <v>1.553511750556225</v>
      </c>
      <c r="S259">
        <f t="shared" si="171"/>
        <v>0.47233163467935013</v>
      </c>
      <c r="T259">
        <f t="shared" si="172"/>
        <v>-1.0788621044524151</v>
      </c>
      <c r="U259">
        <f t="shared" si="173"/>
        <v>0.65592062454259936</v>
      </c>
      <c r="V259">
        <f t="shared" si="174"/>
        <v>-0.85539470655488303</v>
      </c>
      <c r="X259">
        <f t="shared" si="192"/>
        <v>-23.829848110767507</v>
      </c>
      <c r="Y259">
        <f t="shared" si="175"/>
        <v>-141.1228030964669</v>
      </c>
      <c r="Z259">
        <f t="shared" si="193"/>
        <v>38.877196903533104</v>
      </c>
      <c r="AC259">
        <v>1</v>
      </c>
      <c r="AD259">
        <f t="shared" si="176"/>
        <v>37.209023346599999</v>
      </c>
      <c r="AE259">
        <f t="shared" si="177"/>
        <v>-7.890452612506595E-3</v>
      </c>
      <c r="AF259">
        <f t="shared" si="178"/>
        <v>6.8565259586250002E-3</v>
      </c>
      <c r="AG259">
        <f t="shared" si="194"/>
        <v>2262.5742465552794</v>
      </c>
      <c r="AH259">
        <f t="shared" si="195"/>
        <v>-2749.604535662394</v>
      </c>
      <c r="AJ259">
        <f t="shared" si="179"/>
        <v>18000</v>
      </c>
      <c r="AK259">
        <f t="shared" si="180"/>
        <v>33589.908613800006</v>
      </c>
      <c r="AL259">
        <v>1</v>
      </c>
      <c r="AM259">
        <f t="shared" si="181"/>
        <v>57.8492870571</v>
      </c>
      <c r="AN259">
        <f t="shared" si="196"/>
        <v>585.84878985666853</v>
      </c>
      <c r="AO259">
        <f t="shared" si="197"/>
        <v>-301.02620267307242</v>
      </c>
      <c r="AQ259">
        <f t="shared" si="182"/>
        <v>4.9382472185322539E-2</v>
      </c>
      <c r="AR259">
        <f t="shared" si="183"/>
        <v>-22.222112483395144</v>
      </c>
      <c r="AT259">
        <f t="shared" si="209"/>
        <v>-60990.289766545451</v>
      </c>
      <c r="AU259">
        <f t="shared" si="210"/>
        <v>-50414.961678487416</v>
      </c>
      <c r="AV259">
        <f t="shared" si="198"/>
        <v>-2.4508375486448268</v>
      </c>
      <c r="AW259">
        <f t="shared" si="199"/>
        <v>-3663.4288479939332</v>
      </c>
      <c r="AX259">
        <f t="shared" si="200"/>
        <v>-16768.69459072511</v>
      </c>
      <c r="AY259">
        <f t="shared" si="208"/>
        <v>-1.7858852117578512</v>
      </c>
      <c r="BA259">
        <f t="shared" si="184"/>
        <v>4.6101495595841824</v>
      </c>
      <c r="BB259">
        <f t="shared" si="201"/>
        <v>13.2743002945545</v>
      </c>
      <c r="BC259">
        <f t="shared" si="202"/>
        <v>-0.66495233688697564</v>
      </c>
      <c r="BD259">
        <f t="shared" si="185"/>
        <v>-218.09896252451941</v>
      </c>
      <c r="BF259">
        <f t="shared" si="186"/>
        <v>-25.213340495522374</v>
      </c>
      <c r="BG259">
        <f t="shared" si="187"/>
        <v>-155.86721561184169</v>
      </c>
      <c r="BH259">
        <f t="shared" si="203"/>
        <v>24.132784388158314</v>
      </c>
      <c r="BI259">
        <f t="shared" si="204"/>
        <v>24.132784388158314</v>
      </c>
      <c r="BJ259">
        <f t="shared" si="188"/>
        <v>0</v>
      </c>
      <c r="BK259">
        <f t="shared" si="205"/>
        <v>0</v>
      </c>
      <c r="BM259">
        <f t="shared" si="206"/>
        <v>-38.487640790076874</v>
      </c>
      <c r="BN259">
        <f t="shared" si="189"/>
        <v>-117.76825308732229</v>
      </c>
      <c r="BQ259" s="56">
        <f t="shared" si="207"/>
        <v>30.176261094839635</v>
      </c>
      <c r="BR259" s="59"/>
      <c r="BS259" s="59"/>
      <c r="BT259" s="59">
        <v>30902.954000000002</v>
      </c>
      <c r="BU259" s="59">
        <v>-2.2543500000000001</v>
      </c>
      <c r="BV259" s="59">
        <v>-152.994</v>
      </c>
      <c r="BY259" s="59"/>
      <c r="BZ259" s="59"/>
      <c r="CA259" s="59"/>
      <c r="CC259" s="59"/>
    </row>
    <row r="260" spans="1:81" x14ac:dyDescent="0.25">
      <c r="A260">
        <f t="shared" si="211"/>
        <v>230000</v>
      </c>
      <c r="B260">
        <f t="shared" si="191"/>
        <v>230</v>
      </c>
      <c r="C260">
        <f t="shared" si="159"/>
        <v>2.1537972509950345</v>
      </c>
      <c r="D260">
        <f t="shared" si="160"/>
        <v>1.0879564615958981</v>
      </c>
      <c r="F260">
        <f t="shared" si="161"/>
        <v>3.5865472311479962E-4</v>
      </c>
      <c r="G260">
        <f t="shared" si="162"/>
        <v>7.1282588610933929E-3</v>
      </c>
      <c r="H260">
        <f t="shared" si="163"/>
        <v>-3.134464391138907</v>
      </c>
      <c r="J260">
        <f t="shared" si="164"/>
        <v>15</v>
      </c>
      <c r="M260">
        <f t="shared" si="165"/>
        <v>7.9264377346360063E-3</v>
      </c>
      <c r="N260">
        <f t="shared" si="166"/>
        <v>-1.5707963250000001</v>
      </c>
      <c r="O260">
        <f t="shared" si="167"/>
        <v>38.049033740272215</v>
      </c>
      <c r="P260">
        <f t="shared" si="168"/>
        <v>1.5445114238598345</v>
      </c>
      <c r="Q260">
        <f t="shared" si="169"/>
        <v>59.143281419417434</v>
      </c>
      <c r="R260">
        <f t="shared" si="170"/>
        <v>1.5538874298012171</v>
      </c>
      <c r="S260">
        <f t="shared" si="171"/>
        <v>0.46429625608353314</v>
      </c>
      <c r="T260">
        <f t="shared" si="172"/>
        <v>-1.0879564615958981</v>
      </c>
      <c r="U260">
        <f t="shared" si="173"/>
        <v>0.64768128817988779</v>
      </c>
      <c r="V260">
        <f t="shared" si="174"/>
        <v>-0.86625912435755348</v>
      </c>
      <c r="X260">
        <f t="shared" si="192"/>
        <v>-24.130874698807059</v>
      </c>
      <c r="Y260">
        <f t="shared" si="175"/>
        <v>-141.69939493281331</v>
      </c>
      <c r="Z260">
        <f t="shared" si="193"/>
        <v>38.300605067186694</v>
      </c>
      <c r="AC260">
        <v>1</v>
      </c>
      <c r="AD260">
        <f t="shared" si="176"/>
        <v>38.035890532079996</v>
      </c>
      <c r="AE260">
        <f t="shared" si="177"/>
        <v>-8.2450359150933131E-3</v>
      </c>
      <c r="AF260">
        <f t="shared" si="178"/>
        <v>7.0088932021500003E-3</v>
      </c>
      <c r="AG260">
        <f t="shared" si="194"/>
        <v>2206.0886802050472</v>
      </c>
      <c r="AH260">
        <f t="shared" si="195"/>
        <v>-2737.8474527597373</v>
      </c>
      <c r="AJ260">
        <f t="shared" si="179"/>
        <v>18000</v>
      </c>
      <c r="AK260">
        <f t="shared" si="180"/>
        <v>34336.351027440003</v>
      </c>
      <c r="AL260">
        <v>1</v>
      </c>
      <c r="AM260">
        <f t="shared" si="181"/>
        <v>59.134826769479993</v>
      </c>
      <c r="AN260">
        <f t="shared" si="196"/>
        <v>585.62506829473909</v>
      </c>
      <c r="AO260">
        <f t="shared" si="197"/>
        <v>-294.48593803428491</v>
      </c>
      <c r="AQ260">
        <f t="shared" si="182"/>
        <v>4.7258755865993068E-2</v>
      </c>
      <c r="AR260">
        <f t="shared" si="183"/>
        <v>-21.739027698356814</v>
      </c>
      <c r="AT260">
        <f t="shared" si="209"/>
        <v>-59413.884603063038</v>
      </c>
      <c r="AU260">
        <f t="shared" si="210"/>
        <v>-48087.610188377257</v>
      </c>
      <c r="AV260">
        <f t="shared" si="198"/>
        <v>-2.4611664444685877</v>
      </c>
      <c r="AW260">
        <f t="shared" si="199"/>
        <v>-3437.4178855475061</v>
      </c>
      <c r="AX260">
        <f t="shared" si="200"/>
        <v>-16449.94508273782</v>
      </c>
      <c r="AY260">
        <f t="shared" si="208"/>
        <v>-1.7767944159481455</v>
      </c>
      <c r="BA260">
        <f t="shared" si="184"/>
        <v>4.5483263873779807</v>
      </c>
      <c r="BB260">
        <f t="shared" si="201"/>
        <v>13.157032441119483</v>
      </c>
      <c r="BC260">
        <f t="shared" si="202"/>
        <v>-0.68437202852044221</v>
      </c>
      <c r="BD260">
        <f t="shared" si="185"/>
        <v>-219.21162889583397</v>
      </c>
      <c r="BF260">
        <f t="shared" si="186"/>
        <v>-25.563514923072805</v>
      </c>
      <c r="BG260">
        <f t="shared" si="187"/>
        <v>-156.46789613268962</v>
      </c>
      <c r="BH260">
        <f t="shared" si="203"/>
        <v>23.532103867310383</v>
      </c>
      <c r="BI260">
        <f t="shared" si="204"/>
        <v>23.532103867310383</v>
      </c>
      <c r="BJ260">
        <f t="shared" si="188"/>
        <v>0</v>
      </c>
      <c r="BK260">
        <f t="shared" si="205"/>
        <v>0</v>
      </c>
      <c r="BM260">
        <f t="shared" si="206"/>
        <v>-38.720547364192292</v>
      </c>
      <c r="BN260">
        <f t="shared" si="189"/>
        <v>-117.25626723685568</v>
      </c>
      <c r="BQ260" s="56">
        <f t="shared" si="207"/>
        <v>30.058993241404618</v>
      </c>
      <c r="BR260" s="59"/>
      <c r="BS260" s="59"/>
      <c r="BT260" s="59">
        <v>31622.776999999998</v>
      </c>
      <c r="BU260" s="59">
        <v>-2.1282199999999998</v>
      </c>
      <c r="BV260" s="59">
        <v>-152.041</v>
      </c>
      <c r="BY260" s="59"/>
      <c r="BZ260" s="59"/>
      <c r="CA260" s="59"/>
      <c r="CC260" s="59"/>
    </row>
    <row r="261" spans="1:81" x14ac:dyDescent="0.25">
      <c r="A261">
        <f t="shared" si="211"/>
        <v>235000</v>
      </c>
      <c r="B261">
        <f t="shared" si="191"/>
        <v>235</v>
      </c>
      <c r="C261">
        <f t="shared" si="159"/>
        <v>2.1906101492545251</v>
      </c>
      <c r="D261">
        <f t="shared" si="160"/>
        <v>1.0967458666973253</v>
      </c>
      <c r="F261">
        <f t="shared" si="161"/>
        <v>3.4355033029122485E-4</v>
      </c>
      <c r="G261">
        <f t="shared" si="162"/>
        <v>6.976492792921076E-3</v>
      </c>
      <c r="H261">
        <f t="shared" si="163"/>
        <v>-3.1346161572070792</v>
      </c>
      <c r="J261">
        <f t="shared" si="164"/>
        <v>15</v>
      </c>
      <c r="M261">
        <f t="shared" si="165"/>
        <v>7.7577901232607719E-3</v>
      </c>
      <c r="N261">
        <f t="shared" si="166"/>
        <v>-1.5707963250000001</v>
      </c>
      <c r="O261">
        <f t="shared" si="167"/>
        <v>38.875621376561554</v>
      </c>
      <c r="P261">
        <f t="shared" si="168"/>
        <v>1.5450704277159526</v>
      </c>
      <c r="Q261">
        <f t="shared" si="169"/>
        <v>60.428641270528914</v>
      </c>
      <c r="R261">
        <f t="shared" si="170"/>
        <v>1.5542471271697906</v>
      </c>
      <c r="S261">
        <f t="shared" si="171"/>
        <v>0.45649382220761869</v>
      </c>
      <c r="T261">
        <f t="shared" si="172"/>
        <v>-1.0967458666973253</v>
      </c>
      <c r="U261">
        <f t="shared" si="173"/>
        <v>0.63957367923483865</v>
      </c>
      <c r="V261">
        <f t="shared" si="174"/>
        <v>-0.87685276736533191</v>
      </c>
      <c r="X261">
        <f t="shared" si="192"/>
        <v>-24.427391773642437</v>
      </c>
      <c r="Y261">
        <f t="shared" si="175"/>
        <v>-142.26242381984187</v>
      </c>
      <c r="Z261">
        <f t="shared" si="193"/>
        <v>37.737576180158129</v>
      </c>
      <c r="AC261">
        <v>1</v>
      </c>
      <c r="AD261">
        <f t="shared" si="176"/>
        <v>38.862757717560001</v>
      </c>
      <c r="AE261">
        <f t="shared" si="177"/>
        <v>-8.6074122572973172E-3</v>
      </c>
      <c r="AF261">
        <f t="shared" si="178"/>
        <v>7.1612604456750004E-3</v>
      </c>
      <c r="AG261">
        <f t="shared" si="194"/>
        <v>2151.2031789007224</v>
      </c>
      <c r="AH261">
        <f t="shared" si="195"/>
        <v>-2725.2594369464355</v>
      </c>
      <c r="AJ261">
        <f t="shared" si="179"/>
        <v>18000</v>
      </c>
      <c r="AK261">
        <f t="shared" si="180"/>
        <v>35082.793441080008</v>
      </c>
      <c r="AL261">
        <v>1</v>
      </c>
      <c r="AM261">
        <f t="shared" si="181"/>
        <v>60.42036648186</v>
      </c>
      <c r="AN261">
        <f t="shared" si="196"/>
        <v>585.41546914470553</v>
      </c>
      <c r="AO261">
        <f t="shared" si="197"/>
        <v>-288.22374879311059</v>
      </c>
      <c r="AQ261">
        <f t="shared" si="182"/>
        <v>4.526914771775592E-2</v>
      </c>
      <c r="AR261">
        <f t="shared" si="183"/>
        <v>-21.276499427345282</v>
      </c>
      <c r="AT261">
        <f t="shared" si="209"/>
        <v>-57886.597715081596</v>
      </c>
      <c r="AU261">
        <f t="shared" si="210"/>
        <v>-45893.443376004907</v>
      </c>
      <c r="AV261">
        <f t="shared" si="198"/>
        <v>-2.4712473368752876</v>
      </c>
      <c r="AW261">
        <f t="shared" si="199"/>
        <v>-3227.7717239258932</v>
      </c>
      <c r="AX261">
        <f t="shared" si="200"/>
        <v>-16143.676790491912</v>
      </c>
      <c r="AY261">
        <f t="shared" si="208"/>
        <v>-1.7681344906768699</v>
      </c>
      <c r="BA261">
        <f t="shared" si="184"/>
        <v>4.4870972024461446</v>
      </c>
      <c r="BB261">
        <f t="shared" si="201"/>
        <v>13.03930955214464</v>
      </c>
      <c r="BC261">
        <f t="shared" si="202"/>
        <v>-0.70311284619841774</v>
      </c>
      <c r="BD261">
        <f t="shared" si="185"/>
        <v>-220.28539865463307</v>
      </c>
      <c r="BF261">
        <f t="shared" si="186"/>
        <v>-25.907755949423258</v>
      </c>
      <c r="BG261">
        <f t="shared" si="187"/>
        <v>-157.04676562936027</v>
      </c>
      <c r="BH261">
        <f t="shared" si="203"/>
        <v>22.953234370639734</v>
      </c>
      <c r="BI261">
        <f t="shared" si="204"/>
        <v>22.953234370639734</v>
      </c>
      <c r="BJ261">
        <f t="shared" si="188"/>
        <v>0</v>
      </c>
      <c r="BK261">
        <f t="shared" si="205"/>
        <v>0</v>
      </c>
      <c r="BM261">
        <f t="shared" si="206"/>
        <v>-38.947065501567899</v>
      </c>
      <c r="BN261">
        <f t="shared" si="189"/>
        <v>-116.7613669747272</v>
      </c>
      <c r="BQ261" s="56">
        <f t="shared" si="207"/>
        <v>29.941270352429775</v>
      </c>
      <c r="BR261" s="59"/>
      <c r="BS261" s="59"/>
      <c r="BT261" s="59">
        <v>32359.366000000002</v>
      </c>
      <c r="BU261" s="59">
        <v>-2.03586</v>
      </c>
      <c r="BV261" s="59">
        <v>-151.05000000000001</v>
      </c>
      <c r="BY261" s="59"/>
      <c r="BZ261" s="59"/>
      <c r="CA261" s="59"/>
      <c r="CC261" s="59"/>
    </row>
    <row r="262" spans="1:81" x14ac:dyDescent="0.25">
      <c r="A262">
        <f t="shared" si="211"/>
        <v>240000</v>
      </c>
      <c r="B262">
        <f t="shared" si="191"/>
        <v>240</v>
      </c>
      <c r="C262">
        <f t="shared" si="159"/>
        <v>2.2275866792055323</v>
      </c>
      <c r="D262">
        <f t="shared" si="160"/>
        <v>1.1052441131812663</v>
      </c>
      <c r="F262">
        <f t="shared" si="161"/>
        <v>3.2938048091347359E-4</v>
      </c>
      <c r="G262">
        <f t="shared" si="162"/>
        <v>6.8310564289225922E-3</v>
      </c>
      <c r="H262">
        <f t="shared" si="163"/>
        <v>-3.1347615935710778</v>
      </c>
      <c r="J262">
        <f t="shared" si="164"/>
        <v>15</v>
      </c>
      <c r="M262">
        <f t="shared" si="165"/>
        <v>7.596169495692839E-3</v>
      </c>
      <c r="N262">
        <f t="shared" si="166"/>
        <v>-1.5707963250000001</v>
      </c>
      <c r="O262">
        <f t="shared" si="167"/>
        <v>39.702220655071841</v>
      </c>
      <c r="P262">
        <f t="shared" si="168"/>
        <v>1.5456061548400559</v>
      </c>
      <c r="Q262">
        <f t="shared" si="169"/>
        <v>61.714008614352267</v>
      </c>
      <c r="R262">
        <f t="shared" si="170"/>
        <v>1.5545918411680479</v>
      </c>
      <c r="S262">
        <f t="shared" si="171"/>
        <v>0.44891631348623873</v>
      </c>
      <c r="T262">
        <f t="shared" si="172"/>
        <v>-1.1052441131812663</v>
      </c>
      <c r="U262">
        <f t="shared" si="173"/>
        <v>0.63159827159169268</v>
      </c>
      <c r="V262">
        <f t="shared" si="174"/>
        <v>-0.88718334290810641</v>
      </c>
      <c r="X262">
        <f t="shared" si="192"/>
        <v>-24.719534930483285</v>
      </c>
      <c r="Y262">
        <f t="shared" si="175"/>
        <v>-142.81220952843597</v>
      </c>
      <c r="Z262">
        <f t="shared" si="193"/>
        <v>37.187790471564028</v>
      </c>
      <c r="AC262">
        <v>1</v>
      </c>
      <c r="AD262">
        <f t="shared" si="176"/>
        <v>39.689624903039999</v>
      </c>
      <c r="AE262">
        <f t="shared" si="177"/>
        <v>-8.977581639118614E-3</v>
      </c>
      <c r="AF262">
        <f t="shared" si="178"/>
        <v>7.3136276891999996E-3</v>
      </c>
      <c r="AG262">
        <f t="shared" si="194"/>
        <v>2097.8871914349038</v>
      </c>
      <c r="AH262">
        <f t="shared" si="195"/>
        <v>-2711.9173102093805</v>
      </c>
      <c r="AJ262">
        <f t="shared" si="179"/>
        <v>18000</v>
      </c>
      <c r="AK262">
        <f t="shared" si="180"/>
        <v>35829.235854719998</v>
      </c>
      <c r="AL262">
        <v>1</v>
      </c>
      <c r="AM262">
        <f t="shared" si="181"/>
        <v>61.705906194239994</v>
      </c>
      <c r="AN262">
        <f t="shared" si="196"/>
        <v>585.21882840757496</v>
      </c>
      <c r="AO262">
        <f t="shared" si="197"/>
        <v>-282.22227410085469</v>
      </c>
      <c r="AQ262">
        <f t="shared" si="182"/>
        <v>4.3402589398483515E-2</v>
      </c>
      <c r="AR262">
        <f t="shared" si="183"/>
        <v>-20.833242911272087</v>
      </c>
      <c r="AT262">
        <f t="shared" si="209"/>
        <v>-56406.978342501454</v>
      </c>
      <c r="AU262">
        <f t="shared" si="210"/>
        <v>-43823.497693107376</v>
      </c>
      <c r="AV262">
        <f t="shared" si="198"/>
        <v>-2.4810865113385843</v>
      </c>
      <c r="AW262">
        <f t="shared" si="199"/>
        <v>-3033.0334409323327</v>
      </c>
      <c r="AX262">
        <f t="shared" si="200"/>
        <v>-15849.108862581437</v>
      </c>
      <c r="AY262">
        <f t="shared" si="208"/>
        <v>-1.7598795661808531</v>
      </c>
      <c r="BA262">
        <f t="shared" si="184"/>
        <v>4.4265522783538493</v>
      </c>
      <c r="BB262">
        <f t="shared" si="201"/>
        <v>12.921311953588944</v>
      </c>
      <c r="BC262">
        <f t="shared" si="202"/>
        <v>-0.72120694515773121</v>
      </c>
      <c r="BD262">
        <f t="shared" si="185"/>
        <v>-221.32211416027843</v>
      </c>
      <c r="BF262">
        <f t="shared" si="186"/>
        <v>-26.246213435603913</v>
      </c>
      <c r="BG262">
        <f t="shared" si="187"/>
        <v>-157.6049003675119</v>
      </c>
      <c r="BH262">
        <f t="shared" si="203"/>
        <v>22.395099632488098</v>
      </c>
      <c r="BI262">
        <f t="shared" si="204"/>
        <v>22.395099632488098</v>
      </c>
      <c r="BJ262">
        <f t="shared" si="188"/>
        <v>0</v>
      </c>
      <c r="BK262">
        <f t="shared" si="205"/>
        <v>0</v>
      </c>
      <c r="BM262">
        <f t="shared" si="206"/>
        <v>-39.167525389192846</v>
      </c>
      <c r="BN262">
        <f t="shared" si="189"/>
        <v>-116.28278620723347</v>
      </c>
      <c r="BQ262" s="56">
        <f t="shared" si="207"/>
        <v>29.823272753874079</v>
      </c>
      <c r="BR262" s="59"/>
      <c r="BS262" s="59"/>
      <c r="BT262" s="59">
        <v>33113.112000000001</v>
      </c>
      <c r="BU262" s="59">
        <v>-1.91717</v>
      </c>
      <c r="BV262" s="59">
        <v>-150.17400000000001</v>
      </c>
      <c r="BY262" s="59"/>
      <c r="BZ262" s="59"/>
      <c r="CA262" s="59"/>
      <c r="CC262" s="59"/>
    </row>
    <row r="263" spans="1:81" x14ac:dyDescent="0.25">
      <c r="A263">
        <f t="shared" si="211"/>
        <v>245000</v>
      </c>
      <c r="B263">
        <f t="shared" si="191"/>
        <v>245</v>
      </c>
      <c r="C263">
        <f t="shared" si="159"/>
        <v>2.2647188259174165</v>
      </c>
      <c r="D263">
        <f t="shared" si="160"/>
        <v>1.1134642641156554</v>
      </c>
      <c r="F263">
        <f t="shared" si="161"/>
        <v>3.1606963172060387E-4</v>
      </c>
      <c r="G263">
        <f t="shared" si="162"/>
        <v>6.691561751743483E-3</v>
      </c>
      <c r="H263">
        <f t="shared" si="163"/>
        <v>-3.1349010882482569</v>
      </c>
      <c r="J263">
        <f t="shared" si="164"/>
        <v>15</v>
      </c>
      <c r="M263">
        <f t="shared" si="165"/>
        <v>7.4411456284338021E-3</v>
      </c>
      <c r="N263">
        <f t="shared" si="166"/>
        <v>-1.5707963250000001</v>
      </c>
      <c r="O263">
        <f t="shared" si="167"/>
        <v>40.528830863461927</v>
      </c>
      <c r="P263">
        <f t="shared" si="168"/>
        <v>1.5461200291442108</v>
      </c>
      <c r="Q263">
        <f t="shared" si="169"/>
        <v>62.999382992269318</v>
      </c>
      <c r="R263">
        <f t="shared" si="170"/>
        <v>1.5549224888271083</v>
      </c>
      <c r="S263">
        <f t="shared" si="171"/>
        <v>0.44155591791617199</v>
      </c>
      <c r="T263">
        <f t="shared" si="172"/>
        <v>-1.1134642641156554</v>
      </c>
      <c r="U263">
        <f t="shared" si="173"/>
        <v>0.6237551945700921</v>
      </c>
      <c r="V263">
        <f t="shared" si="174"/>
        <v>-0.89725840504301213</v>
      </c>
      <c r="X263">
        <f t="shared" si="192"/>
        <v>-25.007432383959618</v>
      </c>
      <c r="Y263">
        <f t="shared" si="175"/>
        <v>-143.34907297978017</v>
      </c>
      <c r="Z263">
        <f t="shared" si="193"/>
        <v>36.650927020219825</v>
      </c>
      <c r="AC263">
        <v>1</v>
      </c>
      <c r="AD263">
        <f t="shared" si="176"/>
        <v>40.516492088519996</v>
      </c>
      <c r="AE263">
        <f t="shared" si="177"/>
        <v>-9.355544060557202E-3</v>
      </c>
      <c r="AF263">
        <f t="shared" si="178"/>
        <v>7.4659949327249998E-3</v>
      </c>
      <c r="AG263">
        <f t="shared" si="194"/>
        <v>2046.1082971936896</v>
      </c>
      <c r="AH263">
        <f t="shared" si="195"/>
        <v>-2697.8931151933521</v>
      </c>
      <c r="AJ263">
        <f t="shared" si="179"/>
        <v>18000</v>
      </c>
      <c r="AK263">
        <f t="shared" si="180"/>
        <v>36575.678268360003</v>
      </c>
      <c r="AL263">
        <v>1</v>
      </c>
      <c r="AM263">
        <f t="shared" si="181"/>
        <v>62.991445906620001</v>
      </c>
      <c r="AN263">
        <f t="shared" si="196"/>
        <v>585.03409957355609</v>
      </c>
      <c r="AO263">
        <f t="shared" si="197"/>
        <v>-276.46556845579948</v>
      </c>
      <c r="AQ263">
        <f t="shared" si="182"/>
        <v>4.164913932053594E-2</v>
      </c>
      <c r="AR263">
        <f t="shared" si="183"/>
        <v>-20.40807826706261</v>
      </c>
      <c r="AT263">
        <f t="shared" si="209"/>
        <v>-54973.595201500561</v>
      </c>
      <c r="AU263">
        <f t="shared" si="210"/>
        <v>-41869.503198241626</v>
      </c>
      <c r="AV263">
        <f t="shared" si="198"/>
        <v>-2.4906902159953432</v>
      </c>
      <c r="AW263">
        <f t="shared" si="199"/>
        <v>-2851.8984472561774</v>
      </c>
      <c r="AX263">
        <f t="shared" si="200"/>
        <v>-15565.528487990292</v>
      </c>
      <c r="AY263">
        <f t="shared" si="208"/>
        <v>-1.7520053519526269</v>
      </c>
      <c r="BA263">
        <f t="shared" si="184"/>
        <v>4.366766157671746</v>
      </c>
      <c r="BB263">
        <f t="shared" si="201"/>
        <v>12.803198717511098</v>
      </c>
      <c r="BC263">
        <f t="shared" si="202"/>
        <v>-0.73868486404271638</v>
      </c>
      <c r="BD263">
        <f t="shared" si="185"/>
        <v>-222.32352514820434</v>
      </c>
      <c r="BF263">
        <f t="shared" si="186"/>
        <v>-26.579034887990588</v>
      </c>
      <c r="BG263">
        <f t="shared" si="187"/>
        <v>-158.14332385567468</v>
      </c>
      <c r="BH263">
        <f t="shared" si="203"/>
        <v>21.85667614432532</v>
      </c>
      <c r="BI263">
        <f t="shared" si="204"/>
        <v>21.85667614432532</v>
      </c>
      <c r="BJ263">
        <f t="shared" si="188"/>
        <v>0</v>
      </c>
      <c r="BK263">
        <f t="shared" si="205"/>
        <v>0</v>
      </c>
      <c r="BM263">
        <f t="shared" si="206"/>
        <v>-39.382233605501682</v>
      </c>
      <c r="BN263">
        <f t="shared" si="189"/>
        <v>-115.81979870747033</v>
      </c>
      <c r="BQ263" s="56">
        <f t="shared" si="207"/>
        <v>29.705159517796233</v>
      </c>
      <c r="BR263" s="59"/>
      <c r="BS263" s="59"/>
      <c r="BT263" s="59">
        <v>33884.415999999997</v>
      </c>
      <c r="BU263" s="59">
        <v>-1.81593</v>
      </c>
      <c r="BV263" s="59">
        <v>-149.483</v>
      </c>
      <c r="BY263" s="59"/>
      <c r="BZ263" s="59"/>
      <c r="CA263" s="59"/>
      <c r="CC263" s="59"/>
    </row>
    <row r="264" spans="1:81" x14ac:dyDescent="0.25">
      <c r="A264">
        <f t="shared" si="211"/>
        <v>250000</v>
      </c>
      <c r="B264">
        <f t="shared" si="191"/>
        <v>250</v>
      </c>
      <c r="C264">
        <f t="shared" si="159"/>
        <v>2.3019990589245301</v>
      </c>
      <c r="D264">
        <f t="shared" si="160"/>
        <v>1.1214186920441729</v>
      </c>
      <c r="F264">
        <f t="shared" si="161"/>
        <v>3.0354972181850185E-4</v>
      </c>
      <c r="G264">
        <f t="shared" si="162"/>
        <v>6.5576518324404016E-3</v>
      </c>
      <c r="H264">
        <f t="shared" si="163"/>
        <v>-3.1350349981675598</v>
      </c>
      <c r="J264">
        <f t="shared" si="164"/>
        <v>15</v>
      </c>
      <c r="M264">
        <f t="shared" si="165"/>
        <v>7.2923227158651254E-3</v>
      </c>
      <c r="N264">
        <f t="shared" si="166"/>
        <v>-1.5707963250000001</v>
      </c>
      <c r="O264">
        <f t="shared" si="167"/>
        <v>41.355451346334519</v>
      </c>
      <c r="P264">
        <f t="shared" si="168"/>
        <v>1.5466133607432619</v>
      </c>
      <c r="Q264">
        <f t="shared" si="169"/>
        <v>64.284763982339811</v>
      </c>
      <c r="R264">
        <f t="shared" si="170"/>
        <v>1.5552399138464492</v>
      </c>
      <c r="S264">
        <f t="shared" si="171"/>
        <v>0.43440504292264559</v>
      </c>
      <c r="T264">
        <f t="shared" si="172"/>
        <v>-1.1214186920441727</v>
      </c>
      <c r="U264">
        <f t="shared" si="173"/>
        <v>0.61604426919445876</v>
      </c>
      <c r="V264">
        <f t="shared" si="174"/>
        <v>-0.90708534640893557</v>
      </c>
      <c r="X264">
        <f t="shared" si="192"/>
        <v>-25.291205626971035</v>
      </c>
      <c r="Y264">
        <f t="shared" si="175"/>
        <v>-143.87333478693398</v>
      </c>
      <c r="Z264">
        <f t="shared" si="193"/>
        <v>36.126665213066019</v>
      </c>
      <c r="AC264">
        <v>1</v>
      </c>
      <c r="AD264">
        <f t="shared" si="176"/>
        <v>41.343359274000001</v>
      </c>
      <c r="AE264">
        <f t="shared" si="177"/>
        <v>-9.741299521613081E-3</v>
      </c>
      <c r="AF264">
        <f t="shared" si="178"/>
        <v>7.618362176249999E-3</v>
      </c>
      <c r="AG264">
        <f t="shared" si="194"/>
        <v>1995.8325874798068</v>
      </c>
      <c r="AH264">
        <f t="shared" si="195"/>
        <v>-2683.2542949144804</v>
      </c>
      <c r="AJ264">
        <f t="shared" si="179"/>
        <v>18000</v>
      </c>
      <c r="AK264">
        <f t="shared" si="180"/>
        <v>37322.120682000001</v>
      </c>
      <c r="AL264">
        <v>1</v>
      </c>
      <c r="AM264">
        <f t="shared" si="181"/>
        <v>64.276985619000001</v>
      </c>
      <c r="AN264">
        <f t="shared" si="196"/>
        <v>584.86033967456535</v>
      </c>
      <c r="AO264">
        <f t="shared" si="197"/>
        <v>-270.93896038549752</v>
      </c>
      <c r="AQ264">
        <f t="shared" si="182"/>
        <v>3.9999840000639997E-2</v>
      </c>
      <c r="AR264">
        <f t="shared" si="183"/>
        <v>-19.99992000032</v>
      </c>
      <c r="AT264">
        <f t="shared" si="209"/>
        <v>-53585.038254637402</v>
      </c>
      <c r="AU264">
        <f t="shared" si="210"/>
        <v>-40023.821826105413</v>
      </c>
      <c r="AV264">
        <f t="shared" si="198"/>
        <v>-2.5000646419221271</v>
      </c>
      <c r="AW264">
        <f t="shared" si="199"/>
        <v>-2683.1962339524321</v>
      </c>
      <c r="AX264">
        <f t="shared" si="200"/>
        <v>-15292.28345898485</v>
      </c>
      <c r="AY264">
        <f t="shared" si="208"/>
        <v>-1.7444890620481661</v>
      </c>
      <c r="BA264">
        <f t="shared" si="184"/>
        <v>4.3077996846050448</v>
      </c>
      <c r="BB264">
        <f t="shared" si="201"/>
        <v>12.685110002577751</v>
      </c>
      <c r="BC264">
        <f t="shared" si="202"/>
        <v>-0.75557557987396096</v>
      </c>
      <c r="BD264">
        <f t="shared" si="185"/>
        <v>-223.29129187939532</v>
      </c>
      <c r="BF264">
        <f t="shared" si="186"/>
        <v>-26.906365197103433</v>
      </c>
      <c r="BG264">
        <f t="shared" si="187"/>
        <v>-158.66300791081954</v>
      </c>
      <c r="BH264">
        <f t="shared" si="203"/>
        <v>21.336992089180455</v>
      </c>
      <c r="BI264">
        <f t="shared" si="204"/>
        <v>21.336992089180455</v>
      </c>
      <c r="BJ264">
        <f t="shared" si="188"/>
        <v>0</v>
      </c>
      <c r="BK264">
        <f t="shared" si="205"/>
        <v>0</v>
      </c>
      <c r="BM264">
        <f t="shared" si="206"/>
        <v>-39.591475199681184</v>
      </c>
      <c r="BN264">
        <f t="shared" si="189"/>
        <v>-115.37171603142426</v>
      </c>
      <c r="BQ264" s="56">
        <f t="shared" si="207"/>
        <v>29.587070802862886</v>
      </c>
      <c r="BR264" s="59"/>
      <c r="BS264" s="59"/>
      <c r="BT264" s="59">
        <v>34673.684999999998</v>
      </c>
      <c r="BU264" s="59">
        <v>-1.6807799999999999</v>
      </c>
      <c r="BV264" s="59">
        <v>-148.328</v>
      </c>
      <c r="BY264" s="59"/>
      <c r="BZ264" s="59"/>
      <c r="CA264" s="59"/>
      <c r="CC264" s="59"/>
    </row>
    <row r="265" spans="1:81" x14ac:dyDescent="0.25">
      <c r="A265">
        <f t="shared" si="211"/>
        <v>255000</v>
      </c>
      <c r="B265">
        <f t="shared" si="191"/>
        <v>255</v>
      </c>
      <c r="C265">
        <f t="shared" ref="C265:C328" si="212">SQRT((A265/Fesr)^2+1)</f>
        <v>2.3394202986739927</v>
      </c>
      <c r="D265">
        <f t="shared" ref="D265:D328" si="213">ATAN(A265/Fesr)</f>
        <v>1.1291191171240582</v>
      </c>
      <c r="F265">
        <f t="shared" ref="F265:F328" si="214">(Ro/(Ro+Rdcr))/SQRT((A265/(Q*Fo))^2+(1-(A265^2/Fo^2))^2)</f>
        <v>2.9175930057355178E-4</v>
      </c>
      <c r="G265">
        <f t="shared" ref="G265:G328" si="215">-ATAN(A265*Fo/(Q*(Fo^2-A265^2)))</f>
        <v>6.4289977772244945E-3</v>
      </c>
      <c r="H265">
        <f t="shared" ref="H265:H328" si="216">IF(G265&gt;0,G265-Pi,G265)</f>
        <v>-3.1351636522227757</v>
      </c>
      <c r="J265">
        <f t="shared" ref="J265:J328" si="217">Vin/Vramp</f>
        <v>15</v>
      </c>
      <c r="M265">
        <f t="shared" ref="M265:M328" si="218">1/(2*Pi*_Rfb1*(Cc1ea_u+Cc2ea_u)*A265)</f>
        <v>7.149335995946202E-3</v>
      </c>
      <c r="N265">
        <f t="shared" ref="N265:N328" si="219">-Pi/2</f>
        <v>-1.5707963250000001</v>
      </c>
      <c r="O265">
        <f t="shared" ref="O265:O328" si="220">SQRT(1+(A265/Fz1_u)^2)</f>
        <v>42.182081499658452</v>
      </c>
      <c r="P265">
        <f t="shared" ref="P265:P328" si="221">ATAN2(Fz1_u,A265)</f>
        <v>1.5470873570982162</v>
      </c>
      <c r="Q265">
        <f t="shared" ref="Q265:Q328" si="222">SQRT(1+(A265/Fz2_u)^2)</f>
        <v>65.570151195706757</v>
      </c>
      <c r="R265">
        <f t="shared" ref="R265:R328" si="223">ATAN2(Fz2_u,A265)</f>
        <v>1.5555448937797618</v>
      </c>
      <c r="S265">
        <f t="shared" ref="S265:S328" si="224">1/SQRT(1+(A265/Fp1_u)^2)</f>
        <v>0.42745632350322443</v>
      </c>
      <c r="T265">
        <f t="shared" ref="T265:T328" si="225">-ATAN2(Fp1_u,A265)</f>
        <v>-1.1291191171240582</v>
      </c>
      <c r="U265">
        <f t="shared" ref="U265:U328" si="226">1/SQRT(1+(A265/Fp2_u)^2)</f>
        <v>0.6084650416758195</v>
      </c>
      <c r="V265">
        <f t="shared" ref="V265:V328" si="227">-ATAN2(Fp2_u,A265)</f>
        <v>-0.91667139183087565</v>
      </c>
      <c r="X265">
        <f t="shared" si="192"/>
        <v>-25.570970011777096</v>
      </c>
      <c r="Y265">
        <f t="shared" ref="Y265:Y328" si="228">(180/Pi)*(D265+H265+N265+P265+R265+T265+V265)</f>
        <v>-144.38531401313952</v>
      </c>
      <c r="Z265">
        <f t="shared" si="193"/>
        <v>35.614685986860479</v>
      </c>
      <c r="AC265">
        <v>1</v>
      </c>
      <c r="AD265">
        <f t="shared" ref="AD265:AD328" si="229">Rcea1_u*Cc1ea_u*A265*2*Pi</f>
        <v>42.170226459479998</v>
      </c>
      <c r="AE265">
        <f t="shared" ref="AE265:AE328" si="230">-Rcea1_u*Cc1ea_u*Cc2ea_u*(A265*2*Pi)^2</f>
        <v>-1.0134848022286248E-2</v>
      </c>
      <c r="AF265">
        <f t="shared" ref="AF265:AF328" si="231">(Cc2ea_u+Cc1ea_u)*A265*2*Pi</f>
        <v>7.7707294197750009E-3</v>
      </c>
      <c r="AG265">
        <f t="shared" si="194"/>
        <v>1947.025004463741</v>
      </c>
      <c r="AH265">
        <f t="shared" si="195"/>
        <v>-2668.0638838189698</v>
      </c>
      <c r="AJ265">
        <f t="shared" ref="AJ265:AJ328" si="232">_Rfb1</f>
        <v>18000</v>
      </c>
      <c r="AK265">
        <f t="shared" ref="AK265:AK328" si="233">_Rfb1*Rcea2_u*Cc3ea_u*A265*2*Pi</f>
        <v>38068.563095640005</v>
      </c>
      <c r="AL265">
        <v>1</v>
      </c>
      <c r="AM265">
        <f t="shared" ref="AM265:AM328" si="234">(_Rfb1+Rcea2_u)*Cc3ea_u*A265*2*Pi</f>
        <v>65.562525331379987</v>
      </c>
      <c r="AN265">
        <f t="shared" si="196"/>
        <v>584.6966972307581</v>
      </c>
      <c r="AO265">
        <f t="shared" si="197"/>
        <v>-265.62892772578743</v>
      </c>
      <c r="AQ265">
        <f t="shared" ref="AQ265:AQ328" si="235">Eadcg/(1+(Eadcg*A265/GBP)^2)</f>
        <v>3.8446603434819551E-2</v>
      </c>
      <c r="AR265">
        <f t="shared" ref="AR265:AR328" si="236">-(A265*Eadcg*Eadcg/GBP)/(1+(Eadcg*A265/GBP)^2)</f>
        <v>-19.607767751757972</v>
      </c>
      <c r="AT265">
        <f t="shared" si="209"/>
        <v>-52239.920482551424</v>
      </c>
      <c r="AU265">
        <f t="shared" si="210"/>
        <v>-38279.392088470515</v>
      </c>
      <c r="AV265">
        <f t="shared" si="198"/>
        <v>-2.5092159065215807</v>
      </c>
      <c r="AW265">
        <f t="shared" si="199"/>
        <v>-2525.874588268196</v>
      </c>
      <c r="AX265">
        <f t="shared" si="200"/>
        <v>-15028.775685538323</v>
      </c>
      <c r="AY265">
        <f t="shared" si="208"/>
        <v>-1.7373093383297142</v>
      </c>
      <c r="BA265">
        <f t="shared" ref="BA265:BA328" si="237">SQRT(AT265^2+AU265^2)/SQRT(AW265^2+AX265^2)</f>
        <v>4.2497018008558882</v>
      </c>
      <c r="BB265">
        <f t="shared" si="201"/>
        <v>12.567169138482093</v>
      </c>
      <c r="BC265">
        <f t="shared" si="202"/>
        <v>-0.77190656819186643</v>
      </c>
      <c r="BD265">
        <f t="shared" ref="BD265:BD328" si="238">BC265*180/Pi-180</f>
        <v>-224.22698858635792</v>
      </c>
      <c r="BF265">
        <f t="shared" ref="BF265:BF328" si="239">20*LOG(BA265*J265*F265*C265)</f>
        <v>-27.228346419249366</v>
      </c>
      <c r="BG265">
        <f t="shared" ref="BG265:BG328" si="240">(180/Pi)*(D265+H265+BC265)</f>
        <v>-159.16487409413344</v>
      </c>
      <c r="BH265">
        <f t="shared" si="203"/>
        <v>20.835125905866562</v>
      </c>
      <c r="BI265">
        <f t="shared" si="204"/>
        <v>20.835125905866562</v>
      </c>
      <c r="BJ265">
        <f t="shared" ref="BJ265:BJ328" si="241">SUM((BF266&lt;0)*(BF265&gt;0))*A265</f>
        <v>0</v>
      </c>
      <c r="BK265">
        <f t="shared" si="205"/>
        <v>0</v>
      </c>
      <c r="BM265">
        <f t="shared" si="206"/>
        <v>-39.795515557731463</v>
      </c>
      <c r="BN265">
        <f t="shared" ref="BN265:BN328" si="242">(H265+D265)*180/Pi</f>
        <v>-114.93788550777552</v>
      </c>
      <c r="BQ265" s="56">
        <f t="shared" si="207"/>
        <v>29.469129938767228</v>
      </c>
      <c r="BR265" s="59"/>
      <c r="BS265" s="59"/>
      <c r="BT265" s="59">
        <v>35481.339</v>
      </c>
      <c r="BU265" s="59">
        <v>-1.5620799999999999</v>
      </c>
      <c r="BV265" s="59">
        <v>-147.47</v>
      </c>
      <c r="BY265" s="59"/>
      <c r="BZ265" s="59"/>
      <c r="CA265" s="59"/>
      <c r="CC265" s="59"/>
    </row>
    <row r="266" spans="1:81" x14ac:dyDescent="0.25">
      <c r="A266">
        <f t="shared" si="211"/>
        <v>260000</v>
      </c>
      <c r="B266">
        <f t="shared" ref="B266:B329" si="243">A266/1000</f>
        <v>260</v>
      </c>
      <c r="C266">
        <f t="shared" si="212"/>
        <v>2.3769758854772247</v>
      </c>
      <c r="D266">
        <f t="shared" si="213"/>
        <v>1.1365766435204558</v>
      </c>
      <c r="F266">
        <f t="shared" si="214"/>
        <v>2.8064277184255363E-4</v>
      </c>
      <c r="G266">
        <f t="shared" si="215"/>
        <v>6.305296027206587E-3</v>
      </c>
      <c r="H266">
        <f t="shared" si="216"/>
        <v>-3.1352873539727937</v>
      </c>
      <c r="J266">
        <f t="shared" si="217"/>
        <v>15</v>
      </c>
      <c r="M266">
        <f t="shared" si="218"/>
        <v>7.0118487652549282E-3</v>
      </c>
      <c r="N266">
        <f t="shared" si="219"/>
        <v>-1.5707963250000001</v>
      </c>
      <c r="O266">
        <f t="shared" si="220"/>
        <v>43.008720765833758</v>
      </c>
      <c r="P266">
        <f t="shared" si="221"/>
        <v>1.547543132875576</v>
      </c>
      <c r="Q266">
        <f t="shared" si="222"/>
        <v>66.855544273416598</v>
      </c>
      <c r="R266">
        <f t="shared" si="223"/>
        <v>1.5558381463921294</v>
      </c>
      <c r="S266">
        <f t="shared" si="224"/>
        <v>0.42070262727938035</v>
      </c>
      <c r="T266">
        <f t="shared" si="225"/>
        <v>-1.1365766435204558</v>
      </c>
      <c r="U266">
        <f t="shared" si="226"/>
        <v>0.60101681423730202</v>
      </c>
      <c r="V266">
        <f t="shared" si="227"/>
        <v>-0.92602359347650764</v>
      </c>
      <c r="X266">
        <f t="shared" ref="X266:X329" si="244">20*LOG(C266*J266*O266*Q266*F266*M266*S266*U266)</f>
        <v>-25.846835263791903</v>
      </c>
      <c r="Y266">
        <f t="shared" si="228"/>
        <v>-144.88532711988844</v>
      </c>
      <c r="Z266">
        <f t="shared" ref="Z266:Z329" si="245">Y266+180</f>
        <v>35.114672880111556</v>
      </c>
      <c r="AC266">
        <v>1</v>
      </c>
      <c r="AD266">
        <f t="shared" si="229"/>
        <v>42.997093644960003</v>
      </c>
      <c r="AE266">
        <f t="shared" si="230"/>
        <v>-1.0536189562576707E-2</v>
      </c>
      <c r="AF266">
        <f t="shared" si="231"/>
        <v>7.923096663300001E-3</v>
      </c>
      <c r="AG266">
        <f t="shared" ref="AG266:AG329" si="246">AC266*AE266/(AE266^2+AF266^2)+AD266*AF266/(AE266^2+AF266^2)</f>
        <v>1899.6496411964592</v>
      </c>
      <c r="AH266">
        <f t="shared" ref="AH266:AH329" si="247">AD266*AE266/(AE266^2+AF266^2)-AC266*AF266/(AE266^2+AF266^2)</f>
        <v>-2652.3807060778508</v>
      </c>
      <c r="AJ266">
        <f t="shared" si="232"/>
        <v>18000</v>
      </c>
      <c r="AK266">
        <f t="shared" si="233"/>
        <v>38815.005509280003</v>
      </c>
      <c r="AL266">
        <v>1</v>
      </c>
      <c r="AM266">
        <f t="shared" si="234"/>
        <v>66.848065043760002</v>
      </c>
      <c r="AN266">
        <f t="shared" ref="AN266:AN329" si="248">AJ266*AL266/(AL266^2+AM266^2)+AK266*AM266/(AL266^2+AM266^2)</f>
        <v>584.54240180276122</v>
      </c>
      <c r="AO266">
        <f t="shared" ref="AO266:AO329" si="249">AK266*AL266/(AL266^2+AM266^2)-AJ266*AM266/(AL266^2+AM266^2)</f>
        <v>-260.52298726667334</v>
      </c>
      <c r="AQ266">
        <f t="shared" si="235"/>
        <v>3.6982111752545295E-2</v>
      </c>
      <c r="AR266">
        <f t="shared" si="236"/>
        <v>-19.230698111323552</v>
      </c>
      <c r="AT266">
        <f t="shared" si="209"/>
        <v>-50936.879579560948</v>
      </c>
      <c r="AU266">
        <f t="shared" si="210"/>
        <v>-36629.679406815674</v>
      </c>
      <c r="AV266">
        <f t="shared" ref="AV266:AV329" si="250">ATAN2(AT266,AU266)</f>
        <v>-2.5181500396382992</v>
      </c>
      <c r="AW266">
        <f t="shared" ref="AW266:AW329" si="251">AG266-AH266*AO266/_Rfb2+AG266*AN266/_Rfb2+AN266-AO266*AR266+AQ266*AN266</f>
        <v>-2378.9859053274586</v>
      </c>
      <c r="AX266">
        <f t="shared" ref="AX266:AX329" si="252">AH266+AH266*AN266/_Rfb2+AG266*AO266/_Rfb2+AO266+AO266*AQ266+AN266*AR266</f>
        <v>-14774.455524185318</v>
      </c>
      <c r="AY266">
        <f t="shared" si="208"/>
        <v>-1.7304461731927019</v>
      </c>
      <c r="BA266">
        <f t="shared" si="237"/>
        <v>4.1925111285401719</v>
      </c>
      <c r="BB266">
        <f t="shared" ref="BB266:BB329" si="253">20*LOG(BA266)</f>
        <v>12.449484481291382</v>
      </c>
      <c r="BC266">
        <f t="shared" ref="BC266:BC329" si="254">AV266-AY266</f>
        <v>-0.78770386644559731</v>
      </c>
      <c r="BD266">
        <f t="shared" si="238"/>
        <v>-225.13210710504035</v>
      </c>
      <c r="BF266">
        <f t="shared" si="239"/>
        <v>-27.545117598680406</v>
      </c>
      <c r="BG266">
        <f t="shared" si="240"/>
        <v>-159.64979541240916</v>
      </c>
      <c r="BH266">
        <f t="shared" ref="BH266:BH329" si="255">IF(BG266&gt;180,BG266-180,BG266+180)</f>
        <v>20.350204587590838</v>
      </c>
      <c r="BI266">
        <f t="shared" ref="BI266:BI329" si="256">IF(BH266&gt;180,BH266-360,BH266)</f>
        <v>20.350204587590838</v>
      </c>
      <c r="BJ266">
        <f t="shared" si="241"/>
        <v>0</v>
      </c>
      <c r="BK266">
        <f t="shared" ref="BK266:BK329" si="257">IF(BJ266&gt;0,BI266,0)</f>
        <v>0</v>
      </c>
      <c r="BM266">
        <f t="shared" ref="BM266:BM329" si="258">20*LOG(J266*F266*C266)</f>
        <v>-39.994602079971784</v>
      </c>
      <c r="BN266">
        <f t="shared" si="242"/>
        <v>-114.5176883073688</v>
      </c>
      <c r="BQ266" s="56">
        <f t="shared" ref="BQ266:BQ329" si="259">20*LOG(BA266*7)</f>
        <v>29.35144528157652</v>
      </c>
      <c r="BR266" s="59"/>
      <c r="BS266" s="59"/>
      <c r="BT266" s="59">
        <v>36307.805</v>
      </c>
      <c r="BU266" s="59">
        <v>-1.4274800000000001</v>
      </c>
      <c r="BV266" s="59">
        <v>-146.52500000000001</v>
      </c>
      <c r="BY266" s="59"/>
      <c r="BZ266" s="59"/>
      <c r="CA266" s="59"/>
      <c r="CC266" s="59"/>
    </row>
    <row r="267" spans="1:81" x14ac:dyDescent="0.25">
      <c r="A267">
        <f t="shared" si="211"/>
        <v>265000</v>
      </c>
      <c r="B267">
        <f t="shared" si="243"/>
        <v>265</v>
      </c>
      <c r="C267">
        <f t="shared" si="212"/>
        <v>2.4146595507786173</v>
      </c>
      <c r="D267">
        <f t="shared" si="213"/>
        <v>1.1438017940403873</v>
      </c>
      <c r="F267">
        <f t="shared" si="214"/>
        <v>2.7014973713375493E-4</v>
      </c>
      <c r="G267">
        <f t="shared" si="215"/>
        <v>6.1862659644181346E-3</v>
      </c>
      <c r="H267">
        <f t="shared" si="216"/>
        <v>-3.1354063840355821</v>
      </c>
      <c r="J267">
        <f t="shared" si="217"/>
        <v>15</v>
      </c>
      <c r="M267">
        <f t="shared" si="218"/>
        <v>6.8795497319482316E-3</v>
      </c>
      <c r="N267">
        <f t="shared" si="219"/>
        <v>-1.5707963250000001</v>
      </c>
      <c r="O267">
        <f t="shared" si="220"/>
        <v>43.835368629315063</v>
      </c>
      <c r="P267">
        <f t="shared" si="221"/>
        <v>1.5479817186919629</v>
      </c>
      <c r="Q267">
        <f t="shared" si="222"/>
        <v>68.14094288359901</v>
      </c>
      <c r="R267">
        <f t="shared" si="223"/>
        <v>1.5561203352979083</v>
      </c>
      <c r="S267">
        <f t="shared" si="224"/>
        <v>0.4141370569932088</v>
      </c>
      <c r="T267">
        <f t="shared" si="225"/>
        <v>-1.1438017940403873</v>
      </c>
      <c r="U267">
        <f t="shared" si="226"/>
        <v>0.59369867342235316</v>
      </c>
      <c r="V267">
        <f t="shared" si="227"/>
        <v>-0.93514882738371563</v>
      </c>
      <c r="X267">
        <f t="shared" si="244"/>
        <v>-26.118905937029528</v>
      </c>
      <c r="Y267">
        <f t="shared" si="228"/>
        <v>-145.37368708107232</v>
      </c>
      <c r="Z267">
        <f t="shared" si="245"/>
        <v>34.626312918927681</v>
      </c>
      <c r="AC267">
        <v>1</v>
      </c>
      <c r="AD267">
        <f t="shared" si="229"/>
        <v>43.823960830440001</v>
      </c>
      <c r="AE267">
        <f t="shared" si="230"/>
        <v>-1.0945324142484458E-2</v>
      </c>
      <c r="AF267">
        <f t="shared" si="231"/>
        <v>8.0754639068250002E-3</v>
      </c>
      <c r="AG267">
        <f t="shared" si="246"/>
        <v>1853.6700059994284</v>
      </c>
      <c r="AH267">
        <f t="shared" si="247"/>
        <v>-2636.2595777157003</v>
      </c>
      <c r="AJ267">
        <f t="shared" si="232"/>
        <v>18000</v>
      </c>
      <c r="AK267">
        <f t="shared" si="233"/>
        <v>39561.447922920001</v>
      </c>
      <c r="AL267">
        <v>1</v>
      </c>
      <c r="AM267">
        <f t="shared" si="234"/>
        <v>68.133604756139988</v>
      </c>
      <c r="AN267">
        <f t="shared" si="248"/>
        <v>584.39675490974059</v>
      </c>
      <c r="AO267">
        <f t="shared" si="249"/>
        <v>-255.60959687107731</v>
      </c>
      <c r="AQ267">
        <f t="shared" si="235"/>
        <v>3.559973086603465E-2</v>
      </c>
      <c r="AR267">
        <f t="shared" si="236"/>
        <v>-18.867857358998364</v>
      </c>
      <c r="AT267">
        <f t="shared" si="209"/>
        <v>-49674.579520305073</v>
      </c>
      <c r="AU267">
        <f t="shared" si="210"/>
        <v>-35068.631395310542</v>
      </c>
      <c r="AV267">
        <f t="shared" si="250"/>
        <v>-2.5268729720676957</v>
      </c>
      <c r="AW267">
        <f t="shared" si="251"/>
        <v>-2241.6752852814629</v>
      </c>
      <c r="AX267">
        <f t="shared" si="252"/>
        <v>-14528.816806023584</v>
      </c>
      <c r="AY267">
        <f t="shared" ref="AY267:AY330" si="260">ATAN2(AW267,AX267)</f>
        <v>-1.7238808329680106</v>
      </c>
      <c r="BA267">
        <f t="shared" si="237"/>
        <v>4.1362573625473349</v>
      </c>
      <c r="BB267">
        <f t="shared" si="253"/>
        <v>12.332151064274885</v>
      </c>
      <c r="BC267">
        <f t="shared" si="254"/>
        <v>-0.80299213909968503</v>
      </c>
      <c r="BD267">
        <f t="shared" si="238"/>
        <v>-226.00806060516575</v>
      </c>
      <c r="BF267">
        <f t="shared" si="239"/>
        <v>-27.856814627236012</v>
      </c>
      <c r="BG267">
        <f t="shared" si="240"/>
        <v>-160.11859820116345</v>
      </c>
      <c r="BH267">
        <f t="shared" si="255"/>
        <v>19.881401798836549</v>
      </c>
      <c r="BI267">
        <f t="shared" si="256"/>
        <v>19.881401798836549</v>
      </c>
      <c r="BJ267">
        <f t="shared" si="241"/>
        <v>0</v>
      </c>
      <c r="BK267">
        <f t="shared" si="257"/>
        <v>0</v>
      </c>
      <c r="BM267">
        <f t="shared" si="258"/>
        <v>-40.188965691510894</v>
      </c>
      <c r="BN267">
        <f t="shared" si="242"/>
        <v>-114.1105375959977</v>
      </c>
      <c r="BQ267" s="56">
        <f t="shared" si="259"/>
        <v>29.234111864560024</v>
      </c>
      <c r="BR267" s="59"/>
      <c r="BS267" s="59"/>
      <c r="BT267" s="59">
        <v>37153.523000000001</v>
      </c>
      <c r="BU267" s="59">
        <v>-1.30297</v>
      </c>
      <c r="BV267" s="59">
        <v>-145.744</v>
      </c>
      <c r="BY267" s="59"/>
      <c r="BZ267" s="59"/>
      <c r="CA267" s="59"/>
      <c r="CC267" s="59"/>
    </row>
    <row r="268" spans="1:81" x14ac:dyDescent="0.25">
      <c r="A268">
        <f t="shared" si="211"/>
        <v>270000</v>
      </c>
      <c r="B268">
        <f t="shared" si="243"/>
        <v>270</v>
      </c>
      <c r="C268">
        <f t="shared" si="212"/>
        <v>2.4524653905664766</v>
      </c>
      <c r="D268">
        <f t="shared" si="213"/>
        <v>1.1508045430143572</v>
      </c>
      <c r="F268">
        <f t="shared" si="214"/>
        <v>2.6023442316972184E-4</v>
      </c>
      <c r="G268">
        <f t="shared" si="215"/>
        <v>6.0716477843209219E-3</v>
      </c>
      <c r="H268">
        <f t="shared" si="216"/>
        <v>-3.1355210022156794</v>
      </c>
      <c r="J268">
        <f t="shared" si="217"/>
        <v>15</v>
      </c>
      <c r="M268">
        <f t="shared" si="218"/>
        <v>6.7521506628380797E-3</v>
      </c>
      <c r="N268">
        <f t="shared" si="219"/>
        <v>-1.5707963250000001</v>
      </c>
      <c r="O268">
        <f t="shared" si="220"/>
        <v>44.662024612720671</v>
      </c>
      <c r="P268">
        <f t="shared" si="221"/>
        <v>1.5484040688883201</v>
      </c>
      <c r="Q268">
        <f t="shared" si="222"/>
        <v>69.426346718960005</v>
      </c>
      <c r="R268">
        <f t="shared" si="223"/>
        <v>1.5563920749725011</v>
      </c>
      <c r="S268">
        <f t="shared" si="224"/>
        <v>0.40775295090668645</v>
      </c>
      <c r="T268">
        <f t="shared" si="225"/>
        <v>-1.1508045430143572</v>
      </c>
      <c r="U268">
        <f t="shared" si="226"/>
        <v>0.58650951602903867</v>
      </c>
      <c r="V268">
        <f t="shared" si="227"/>
        <v>-0.94405379119363475</v>
      </c>
      <c r="X268">
        <f t="shared" si="244"/>
        <v>-26.387281818864487</v>
      </c>
      <c r="Y268">
        <f t="shared" si="228"/>
        <v>-145.85070264240932</v>
      </c>
      <c r="Z268">
        <f t="shared" si="245"/>
        <v>34.149297357590683</v>
      </c>
      <c r="AC268">
        <v>1</v>
      </c>
      <c r="AD268">
        <f t="shared" si="229"/>
        <v>44.650828015919998</v>
      </c>
      <c r="AE268">
        <f t="shared" si="230"/>
        <v>-1.1362251762009497E-2</v>
      </c>
      <c r="AF268">
        <f t="shared" si="231"/>
        <v>8.2278311503499995E-3</v>
      </c>
      <c r="AG268">
        <f t="shared" si="246"/>
        <v>1809.0492543996736</v>
      </c>
      <c r="AH268">
        <f t="shared" si="247"/>
        <v>-2619.7515097824712</v>
      </c>
      <c r="AJ268">
        <f t="shared" si="232"/>
        <v>18000</v>
      </c>
      <c r="AK268">
        <f t="shared" si="233"/>
        <v>40307.890336559998</v>
      </c>
      <c r="AL268">
        <v>1</v>
      </c>
      <c r="AM268">
        <f t="shared" si="234"/>
        <v>69.419144468520003</v>
      </c>
      <c r="AN268">
        <f t="shared" si="248"/>
        <v>584.25912211299249</v>
      </c>
      <c r="AO268">
        <f t="shared" si="249"/>
        <v>-250.87806845249509</v>
      </c>
      <c r="AQ268">
        <f t="shared" si="235"/>
        <v>3.4293435207698189E-2</v>
      </c>
      <c r="AR268">
        <f t="shared" si="236"/>
        <v>-18.518455012157023</v>
      </c>
      <c r="AT268">
        <f t="shared" si="209"/>
        <v>-48451.711963543843</v>
      </c>
      <c r="AU268">
        <f t="shared" si="210"/>
        <v>-33590.637511037559</v>
      </c>
      <c r="AV268">
        <f t="shared" si="250"/>
        <v>-2.5353905261601377</v>
      </c>
      <c r="AW268">
        <f t="shared" si="251"/>
        <v>-2113.1701563039687</v>
      </c>
      <c r="AX268">
        <f t="shared" si="252"/>
        <v>-14291.392466599596</v>
      </c>
      <c r="AY268">
        <f t="shared" si="260"/>
        <v>-1.7175957828983976</v>
      </c>
      <c r="BA268">
        <f t="shared" si="237"/>
        <v>4.0809624930904347</v>
      </c>
      <c r="BB268">
        <f t="shared" si="253"/>
        <v>12.21525206641023</v>
      </c>
      <c r="BC268">
        <f t="shared" si="254"/>
        <v>-0.81779474326174006</v>
      </c>
      <c r="BD268">
        <f t="shared" si="238"/>
        <v>-226.85618735042343</v>
      </c>
      <c r="BF268">
        <f t="shared" si="239"/>
        <v>-28.163570138067442</v>
      </c>
      <c r="BG268">
        <f t="shared" si="240"/>
        <v>-160.57206412274715</v>
      </c>
      <c r="BH268">
        <f t="shared" si="255"/>
        <v>19.42793587725285</v>
      </c>
      <c r="BI268">
        <f t="shared" si="256"/>
        <v>19.42793587725285</v>
      </c>
      <c r="BJ268">
        <f t="shared" si="241"/>
        <v>0</v>
      </c>
      <c r="BK268">
        <f t="shared" si="257"/>
        <v>0</v>
      </c>
      <c r="BM268">
        <f t="shared" si="258"/>
        <v>-40.378822204477672</v>
      </c>
      <c r="BN268">
        <f t="shared" si="242"/>
        <v>-113.71587677232374</v>
      </c>
      <c r="BQ268" s="56">
        <f t="shared" si="259"/>
        <v>29.117212866695365</v>
      </c>
      <c r="BR268" s="59"/>
      <c r="BS268" s="59"/>
      <c r="BT268" s="59">
        <v>38018.94</v>
      </c>
      <c r="BU268" s="59">
        <v>-1.18652</v>
      </c>
      <c r="BV268" s="59">
        <v>-144.86799999999999</v>
      </c>
      <c r="BY268" s="59"/>
      <c r="BZ268" s="59"/>
      <c r="CA268" s="59"/>
      <c r="CC268" s="59"/>
    </row>
    <row r="269" spans="1:81" x14ac:dyDescent="0.25">
      <c r="A269">
        <f t="shared" si="211"/>
        <v>275000</v>
      </c>
      <c r="B269">
        <f t="shared" si="243"/>
        <v>275</v>
      </c>
      <c r="C269">
        <f t="shared" si="212"/>
        <v>2.4903878407630002</v>
      </c>
      <c r="D269">
        <f t="shared" si="213"/>
        <v>1.1575943474527211</v>
      </c>
      <c r="F269">
        <f t="shared" si="214"/>
        <v>2.5085518168014968E-4</v>
      </c>
      <c r="G269">
        <f t="shared" si="215"/>
        <v>5.9612006008193134E-3</v>
      </c>
      <c r="H269">
        <f t="shared" si="216"/>
        <v>-3.135631449399181</v>
      </c>
      <c r="J269">
        <f t="shared" si="217"/>
        <v>15</v>
      </c>
      <c r="M269">
        <f t="shared" si="218"/>
        <v>6.6293842871501148E-3</v>
      </c>
      <c r="N269">
        <f t="shared" si="219"/>
        <v>-1.5707963250000001</v>
      </c>
      <c r="O269">
        <f t="shared" si="220"/>
        <v>45.488688273365725</v>
      </c>
      <c r="P269">
        <f t="shared" si="221"/>
        <v>1.5488110684570355</v>
      </c>
      <c r="Q269">
        <f t="shared" si="222"/>
        <v>70.711755494548498</v>
      </c>
      <c r="R269">
        <f t="shared" si="223"/>
        <v>1.5566539352176592</v>
      </c>
      <c r="S269">
        <f t="shared" si="224"/>
        <v>0.40154388149181697</v>
      </c>
      <c r="T269">
        <f t="shared" si="225"/>
        <v>-1.1575943474527208</v>
      </c>
      <c r="U269">
        <f t="shared" si="226"/>
        <v>0.57944807281526134</v>
      </c>
      <c r="V269">
        <f t="shared" si="227"/>
        <v>-0.9527450029387472</v>
      </c>
      <c r="X269">
        <f t="shared" si="244"/>
        <v>-26.652058290683094</v>
      </c>
      <c r="Y269">
        <f t="shared" si="228"/>
        <v>-146.31667770784412</v>
      </c>
      <c r="Z269">
        <f t="shared" si="245"/>
        <v>33.683322292155879</v>
      </c>
      <c r="AC269">
        <v>1</v>
      </c>
      <c r="AD269">
        <f t="shared" si="229"/>
        <v>45.477695201400003</v>
      </c>
      <c r="AE269">
        <f t="shared" si="230"/>
        <v>-1.1786972421151827E-2</v>
      </c>
      <c r="AF269">
        <f t="shared" si="231"/>
        <v>8.3801983938750005E-3</v>
      </c>
      <c r="AG269">
        <f t="shared" si="246"/>
        <v>1765.7503916091105</v>
      </c>
      <c r="AH269">
        <f t="shared" si="247"/>
        <v>-2602.9039103032942</v>
      </c>
      <c r="AJ269">
        <f t="shared" si="232"/>
        <v>18000</v>
      </c>
      <c r="AK269">
        <f t="shared" si="233"/>
        <v>41054.332750200003</v>
      </c>
      <c r="AL269">
        <v>1</v>
      </c>
      <c r="AM269">
        <f t="shared" si="234"/>
        <v>70.704684180899989</v>
      </c>
      <c r="AN269">
        <f t="shared" si="248"/>
        <v>584.12892609721541</v>
      </c>
      <c r="AO269">
        <f t="shared" si="249"/>
        <v>-246.31849043188953</v>
      </c>
      <c r="AQ269">
        <f t="shared" si="235"/>
        <v>3.3057741957877827E-2</v>
      </c>
      <c r="AR269">
        <f t="shared" si="236"/>
        <v>-18.181758076832804</v>
      </c>
      <c r="AT269">
        <f t="shared" si="209"/>
        <v>-47266.997473568772</v>
      </c>
      <c r="AU269">
        <f t="shared" si="210"/>
        <v>-32190.492570117585</v>
      </c>
      <c r="AV269">
        <f t="shared" si="250"/>
        <v>-2.5437084082568249</v>
      </c>
      <c r="AW269">
        <f t="shared" si="251"/>
        <v>-1992.7712054964222</v>
      </c>
      <c r="AX269">
        <f t="shared" si="252"/>
        <v>-14061.750695355611</v>
      </c>
      <c r="AY269">
        <f t="shared" si="260"/>
        <v>-1.7115746143506541</v>
      </c>
      <c r="BA269">
        <f t="shared" si="237"/>
        <v>4.0266418774617998</v>
      </c>
      <c r="BB269">
        <f t="shared" si="253"/>
        <v>12.09886011855393</v>
      </c>
      <c r="BC269">
        <f t="shared" si="254"/>
        <v>-0.83213379390617082</v>
      </c>
      <c r="BD269">
        <f t="shared" si="238"/>
        <v>-227.67775443551244</v>
      </c>
      <c r="BF269">
        <f t="shared" si="239"/>
        <v>-28.465513429909095</v>
      </c>
      <c r="BG269">
        <f t="shared" si="240"/>
        <v>-161.01093222683514</v>
      </c>
      <c r="BH269">
        <f t="shared" si="255"/>
        <v>18.989067773164862</v>
      </c>
      <c r="BI269">
        <f t="shared" si="256"/>
        <v>18.989067773164862</v>
      </c>
      <c r="BJ269">
        <f t="shared" si="241"/>
        <v>0</v>
      </c>
      <c r="BK269">
        <f t="shared" si="257"/>
        <v>0</v>
      </c>
      <c r="BM269">
        <f t="shared" si="258"/>
        <v>-40.564373548463024</v>
      </c>
      <c r="BN269">
        <f t="shared" si="242"/>
        <v>-113.33317779132275</v>
      </c>
      <c r="BQ269" s="56">
        <f t="shared" si="259"/>
        <v>29.000820918839064</v>
      </c>
      <c r="BR269" s="59"/>
      <c r="BS269" s="59"/>
      <c r="BT269" s="59">
        <v>38904.514000000003</v>
      </c>
      <c r="BU269" s="59">
        <v>-1.0515600000000001</v>
      </c>
      <c r="BV269" s="59">
        <v>-144.06</v>
      </c>
      <c r="BY269" s="59"/>
      <c r="BZ269" s="59"/>
      <c r="CA269" s="59"/>
      <c r="CC269" s="59"/>
    </row>
    <row r="270" spans="1:81" x14ac:dyDescent="0.25">
      <c r="A270">
        <f t="shared" si="211"/>
        <v>280000</v>
      </c>
      <c r="B270">
        <f t="shared" si="243"/>
        <v>280</v>
      </c>
      <c r="C270">
        <f t="shared" si="212"/>
        <v>2.5284216544413338</v>
      </c>
      <c r="D270">
        <f t="shared" si="213"/>
        <v>1.1641801765183353</v>
      </c>
      <c r="F270">
        <f t="shared" si="214"/>
        <v>2.4197405119261037E-4</v>
      </c>
      <c r="G270">
        <f t="shared" si="215"/>
        <v>5.8547007546547302E-3</v>
      </c>
      <c r="H270">
        <f t="shared" si="216"/>
        <v>-3.1357379492453457</v>
      </c>
      <c r="J270">
        <f t="shared" si="217"/>
        <v>15</v>
      </c>
      <c r="M270">
        <f t="shared" si="218"/>
        <v>6.5110024248795769E-3</v>
      </c>
      <c r="N270">
        <f t="shared" si="219"/>
        <v>-1.5707963250000001</v>
      </c>
      <c r="O270">
        <f t="shared" si="220"/>
        <v>46.315359200166661</v>
      </c>
      <c r="P270">
        <f t="shared" si="221"/>
        <v>1.5492035392277272</v>
      </c>
      <c r="Q270">
        <f t="shared" si="222"/>
        <v>71.997168945761899</v>
      </c>
      <c r="R270">
        <f t="shared" si="223"/>
        <v>1.5569064451485897</v>
      </c>
      <c r="S270">
        <f t="shared" si="224"/>
        <v>0.39550365274060861</v>
      </c>
      <c r="T270">
        <f t="shared" si="225"/>
        <v>-1.1641801765183353</v>
      </c>
      <c r="U270">
        <f t="shared" si="226"/>
        <v>0.57251293011892646</v>
      </c>
      <c r="V270">
        <f t="shared" si="227"/>
        <v>-0.96122880074971784</v>
      </c>
      <c r="X270">
        <f t="shared" si="244"/>
        <v>-26.91332665007781</v>
      </c>
      <c r="Y270">
        <f t="shared" si="228"/>
        <v>-146.77191083680896</v>
      </c>
      <c r="Z270">
        <f t="shared" si="245"/>
        <v>33.228089163191044</v>
      </c>
      <c r="AC270">
        <v>1</v>
      </c>
      <c r="AD270">
        <f t="shared" si="229"/>
        <v>46.304562386880001</v>
      </c>
      <c r="AE270">
        <f t="shared" si="230"/>
        <v>-1.2219486119911447E-2</v>
      </c>
      <c r="AF270">
        <f t="shared" si="231"/>
        <v>8.5325656373999997E-3</v>
      </c>
      <c r="AG270">
        <f t="shared" si="246"/>
        <v>1723.7364483660792</v>
      </c>
      <c r="AH270">
        <f t="shared" si="247"/>
        <v>-2585.7607831913192</v>
      </c>
      <c r="AJ270">
        <f t="shared" si="232"/>
        <v>18000</v>
      </c>
      <c r="AK270">
        <f t="shared" si="233"/>
        <v>41800.77516384</v>
      </c>
      <c r="AL270">
        <v>1</v>
      </c>
      <c r="AM270">
        <f t="shared" si="234"/>
        <v>71.990223893279989</v>
      </c>
      <c r="AN270">
        <f t="shared" si="248"/>
        <v>584.00564060831312</v>
      </c>
      <c r="AO270">
        <f t="shared" si="249"/>
        <v>-241.92165849087465</v>
      </c>
      <c r="AQ270">
        <f t="shared" si="235"/>
        <v>3.1887653419472514E-2</v>
      </c>
      <c r="AR270">
        <f t="shared" si="236"/>
        <v>-17.857085914904609</v>
      </c>
      <c r="AT270">
        <f t="shared" si="209"/>
        <v>-46119.186550386403</v>
      </c>
      <c r="AU270">
        <f t="shared" si="210"/>
        <v>-30863.363696805678</v>
      </c>
      <c r="AV270">
        <f t="shared" si="250"/>
        <v>-2.5518322027241465</v>
      </c>
      <c r="AW270">
        <f t="shared" si="251"/>
        <v>-1879.8444341299544</v>
      </c>
      <c r="AX270">
        <f t="shared" si="252"/>
        <v>-13839.491534749142</v>
      </c>
      <c r="AY270">
        <f t="shared" si="260"/>
        <v>-1.7058019747340905</v>
      </c>
      <c r="BA270">
        <f t="shared" si="237"/>
        <v>3.9733051782703441</v>
      </c>
      <c r="BB270">
        <f t="shared" si="253"/>
        <v>11.983038465208807</v>
      </c>
      <c r="BC270">
        <f t="shared" si="254"/>
        <v>-0.84603022799005601</v>
      </c>
      <c r="BD270">
        <f t="shared" si="238"/>
        <v>-228.47396145971061</v>
      </c>
      <c r="BF270">
        <f t="shared" si="239"/>
        <v>-28.762770418390772</v>
      </c>
      <c r="BG270">
        <f t="shared" si="240"/>
        <v>-161.43590103225887</v>
      </c>
      <c r="BH270">
        <f t="shared" si="255"/>
        <v>18.564098967741131</v>
      </c>
      <c r="BI270">
        <f t="shared" si="256"/>
        <v>18.564098967741131</v>
      </c>
      <c r="BJ270">
        <f t="shared" si="241"/>
        <v>0</v>
      </c>
      <c r="BK270">
        <f t="shared" si="257"/>
        <v>0</v>
      </c>
      <c r="BM270">
        <f t="shared" si="258"/>
        <v>-40.745808883599572</v>
      </c>
      <c r="BN270">
        <f t="shared" si="242"/>
        <v>-112.96193957254829</v>
      </c>
      <c r="BQ270" s="56">
        <f t="shared" si="259"/>
        <v>28.884999265493946</v>
      </c>
      <c r="BR270" s="59"/>
      <c r="BS270" s="59"/>
      <c r="BT270" s="59">
        <v>39810.716999999997</v>
      </c>
      <c r="BU270" s="59">
        <v>-0.92721699999999996</v>
      </c>
      <c r="BV270" s="59">
        <v>-143.22999999999999</v>
      </c>
      <c r="BY270" s="59"/>
      <c r="BZ270" s="59"/>
      <c r="CA270" s="59"/>
      <c r="CC270" s="59"/>
    </row>
    <row r="271" spans="1:81" x14ac:dyDescent="0.25">
      <c r="A271">
        <f t="shared" si="211"/>
        <v>285000</v>
      </c>
      <c r="B271">
        <f t="shared" si="243"/>
        <v>285</v>
      </c>
      <c r="C271">
        <f t="shared" si="212"/>
        <v>2.5665618807286399</v>
      </c>
      <c r="D271">
        <f t="shared" si="213"/>
        <v>1.1705705393676007</v>
      </c>
      <c r="F271">
        <f t="shared" si="214"/>
        <v>2.3355637219156945E-4</v>
      </c>
      <c r="G271">
        <f t="shared" si="215"/>
        <v>5.7519403001580994E-3</v>
      </c>
      <c r="H271">
        <f t="shared" si="216"/>
        <v>-3.135840709699842</v>
      </c>
      <c r="J271">
        <f t="shared" si="217"/>
        <v>15</v>
      </c>
      <c r="M271">
        <f t="shared" si="218"/>
        <v>6.3967743121623915E-3</v>
      </c>
      <c r="N271">
        <f t="shared" si="219"/>
        <v>-1.5707963250000001</v>
      </c>
      <c r="O271">
        <f t="shared" si="220"/>
        <v>47.142037010871</v>
      </c>
      <c r="P271">
        <f t="shared" si="221"/>
        <v>1.5495822454026151</v>
      </c>
      <c r="Q271">
        <f t="shared" si="222"/>
        <v>73.282586826561769</v>
      </c>
      <c r="R271">
        <f t="shared" si="223"/>
        <v>1.5571500967615586</v>
      </c>
      <c r="S271">
        <f t="shared" si="224"/>
        <v>0.38962629637283591</v>
      </c>
      <c r="T271">
        <f t="shared" si="225"/>
        <v>-1.1705705393676007</v>
      </c>
      <c r="U271">
        <f t="shared" si="226"/>
        <v>0.56570254953448618</v>
      </c>
      <c r="V271">
        <f t="shared" si="227"/>
        <v>-0.96951134335791311</v>
      </c>
      <c r="X271">
        <f t="shared" si="244"/>
        <v>-27.171174399449786</v>
      </c>
      <c r="Y271">
        <f t="shared" si="228"/>
        <v>-147.21669483815623</v>
      </c>
      <c r="Z271">
        <f t="shared" si="245"/>
        <v>32.783305161843771</v>
      </c>
      <c r="AC271">
        <v>1</v>
      </c>
      <c r="AD271">
        <f t="shared" si="229"/>
        <v>47.131429572360005</v>
      </c>
      <c r="AE271">
        <f t="shared" si="230"/>
        <v>-1.265979285828836E-2</v>
      </c>
      <c r="AF271">
        <f t="shared" si="231"/>
        <v>8.684932880924999E-3</v>
      </c>
      <c r="AG271">
        <f t="shared" si="246"/>
        <v>1682.9706327690799</v>
      </c>
      <c r="AH271">
        <f t="shared" si="247"/>
        <v>-2568.3629226923063</v>
      </c>
      <c r="AJ271">
        <f t="shared" si="232"/>
        <v>18000</v>
      </c>
      <c r="AK271">
        <f t="shared" si="233"/>
        <v>42547.217577480005</v>
      </c>
      <c r="AL271">
        <v>1</v>
      </c>
      <c r="AM271">
        <f t="shared" si="234"/>
        <v>73.275763605659989</v>
      </c>
      <c r="AN271">
        <f t="shared" si="248"/>
        <v>583.88878512866381</v>
      </c>
      <c r="AO271">
        <f t="shared" si="249"/>
        <v>-237.67901360397525</v>
      </c>
      <c r="AQ271">
        <f t="shared" si="235"/>
        <v>3.0778606406259137E-2</v>
      </c>
      <c r="AR271">
        <f t="shared" si="236"/>
        <v>-17.543805651567709</v>
      </c>
      <c r="AT271">
        <f t="shared" si="209"/>
        <v>-45007.06046770695</v>
      </c>
      <c r="AU271">
        <f t="shared" si="210"/>
        <v>-29604.760330102643</v>
      </c>
      <c r="AV271">
        <f t="shared" si="250"/>
        <v>-2.5597673673800996</v>
      </c>
      <c r="AW271">
        <f t="shared" si="251"/>
        <v>-1773.8141820847277</v>
      </c>
      <c r="AX271">
        <f t="shared" si="252"/>
        <v>-13624.243869539261</v>
      </c>
      <c r="AY271">
        <f t="shared" si="260"/>
        <v>-1.7002635004434796</v>
      </c>
      <c r="BA271">
        <f t="shared" si="237"/>
        <v>3.920957183745855</v>
      </c>
      <c r="BB271">
        <f t="shared" si="253"/>
        <v>11.867841997932535</v>
      </c>
      <c r="BC271">
        <f t="shared" si="254"/>
        <v>-0.85950386693661995</v>
      </c>
      <c r="BD271">
        <f t="shared" si="238"/>
        <v>-229.24594410691392</v>
      </c>
      <c r="BF271">
        <f t="shared" si="239"/>
        <v>-29.055463611021931</v>
      </c>
      <c r="BG271">
        <f t="shared" si="240"/>
        <v>-161.84763059857394</v>
      </c>
      <c r="BH271">
        <f t="shared" si="255"/>
        <v>18.152369401426057</v>
      </c>
      <c r="BI271">
        <f t="shared" si="256"/>
        <v>18.152369401426057</v>
      </c>
      <c r="BJ271">
        <f t="shared" si="241"/>
        <v>0</v>
      </c>
      <c r="BK271">
        <f t="shared" si="257"/>
        <v>0</v>
      </c>
      <c r="BM271">
        <f t="shared" si="258"/>
        <v>-40.923305608954472</v>
      </c>
      <c r="BN271">
        <f t="shared" si="242"/>
        <v>-112.60168649166002</v>
      </c>
      <c r="BQ271" s="56">
        <f t="shared" si="259"/>
        <v>28.769802798217672</v>
      </c>
      <c r="BR271" s="59"/>
      <c r="BS271" s="59"/>
      <c r="BT271" s="59">
        <v>40738.027999999998</v>
      </c>
      <c r="BU271" s="59">
        <v>-0.80365399999999998</v>
      </c>
      <c r="BV271" s="59">
        <v>-142.31399999999999</v>
      </c>
      <c r="BY271" s="59"/>
      <c r="BZ271" s="59"/>
      <c r="CA271" s="59"/>
      <c r="CC271" s="59"/>
    </row>
    <row r="272" spans="1:81" x14ac:dyDescent="0.25">
      <c r="A272">
        <f t="shared" si="211"/>
        <v>290000</v>
      </c>
      <c r="B272">
        <f t="shared" si="243"/>
        <v>290</v>
      </c>
      <c r="C272">
        <f t="shared" si="212"/>
        <v>2.6048038452644846</v>
      </c>
      <c r="D272">
        <f t="shared" si="213"/>
        <v>1.1767735114194959</v>
      </c>
      <c r="F272">
        <f t="shared" si="214"/>
        <v>2.2557044834429308E-4</v>
      </c>
      <c r="G272">
        <f t="shared" si="215"/>
        <v>5.6527256487946959E-3</v>
      </c>
      <c r="H272">
        <f t="shared" si="216"/>
        <v>-3.1359399243512054</v>
      </c>
      <c r="J272">
        <f t="shared" si="217"/>
        <v>15</v>
      </c>
      <c r="M272">
        <f t="shared" si="218"/>
        <v>6.2864850998837294E-3</v>
      </c>
      <c r="N272">
        <f t="shared" si="219"/>
        <v>-1.5707963250000001</v>
      </c>
      <c r="O272">
        <f t="shared" si="220"/>
        <v>47.968721349573691</v>
      </c>
      <c r="P272">
        <f t="shared" si="221"/>
        <v>1.5499478985198838</v>
      </c>
      <c r="Q272">
        <f t="shared" si="222"/>
        <v>74.568008907873903</v>
      </c>
      <c r="R272">
        <f t="shared" si="223"/>
        <v>1.5573853481325957</v>
      </c>
      <c r="S272">
        <f t="shared" si="224"/>
        <v>0.38390606717584252</v>
      </c>
      <c r="T272">
        <f t="shared" si="225"/>
        <v>-1.1767735114194959</v>
      </c>
      <c r="U272">
        <f t="shared" si="226"/>
        <v>0.55901528578332849</v>
      </c>
      <c r="V272">
        <f t="shared" si="227"/>
        <v>-0.97759861128286196</v>
      </c>
      <c r="X272">
        <f t="shared" si="244"/>
        <v>-27.425685505214101</v>
      </c>
      <c r="Y272">
        <f t="shared" si="228"/>
        <v>-147.65131644826258</v>
      </c>
      <c r="Z272">
        <f t="shared" si="245"/>
        <v>32.348683551737423</v>
      </c>
      <c r="AC272">
        <v>1</v>
      </c>
      <c r="AD272">
        <f t="shared" si="229"/>
        <v>47.958296757840003</v>
      </c>
      <c r="AE272">
        <f t="shared" si="230"/>
        <v>-1.3107892636282561E-2</v>
      </c>
      <c r="AF272">
        <f t="shared" si="231"/>
        <v>8.83730012445E-3</v>
      </c>
      <c r="AG272">
        <f t="shared" si="246"/>
        <v>1643.4164605430874</v>
      </c>
      <c r="AH272">
        <f t="shared" si="247"/>
        <v>-2550.7481022549514</v>
      </c>
      <c r="AJ272">
        <f t="shared" si="232"/>
        <v>18000</v>
      </c>
      <c r="AK272">
        <f t="shared" si="233"/>
        <v>43293.659991120003</v>
      </c>
      <c r="AL272">
        <v>1</v>
      </c>
      <c r="AM272">
        <f t="shared" si="234"/>
        <v>74.56130331803999</v>
      </c>
      <c r="AN272">
        <f t="shared" si="248"/>
        <v>583.7779201890836</v>
      </c>
      <c r="AO272">
        <f t="shared" si="249"/>
        <v>-233.58258647280235</v>
      </c>
      <c r="AQ272">
        <f t="shared" si="235"/>
        <v>2.9726427686005689E-2</v>
      </c>
      <c r="AR272">
        <f t="shared" si="236"/>
        <v>-17.241328057883301</v>
      </c>
      <c r="AT272">
        <f t="shared" si="209"/>
        <v>-43929.43192342855</v>
      </c>
      <c r="AU272">
        <f t="shared" si="210"/>
        <v>-28410.506960955696</v>
      </c>
      <c r="AV272">
        <f t="shared" si="250"/>
        <v>-2.5675192301301539</v>
      </c>
      <c r="AW272">
        <f t="shared" si="251"/>
        <v>-1674.1569899617393</v>
      </c>
      <c r="AX272">
        <f t="shared" si="252"/>
        <v>-13415.662755434205</v>
      </c>
      <c r="AY272">
        <f t="shared" si="260"/>
        <v>-1.6949457530239491</v>
      </c>
      <c r="BA272">
        <f t="shared" si="237"/>
        <v>3.8695985240899926</v>
      </c>
      <c r="BB272">
        <f t="shared" si="253"/>
        <v>11.753318174708998</v>
      </c>
      <c r="BC272">
        <f t="shared" si="254"/>
        <v>-0.87257347710620481</v>
      </c>
      <c r="BD272">
        <f t="shared" si="238"/>
        <v>-229.99477761036806</v>
      </c>
      <c r="BF272">
        <f t="shared" si="239"/>
        <v>-29.343712102683281</v>
      </c>
      <c r="BG272">
        <f t="shared" si="240"/>
        <v>-162.24674456340625</v>
      </c>
      <c r="BH272">
        <f t="shared" si="255"/>
        <v>17.753255436593747</v>
      </c>
      <c r="BI272">
        <f t="shared" si="256"/>
        <v>17.753255436593747</v>
      </c>
      <c r="BJ272">
        <f t="shared" si="241"/>
        <v>0</v>
      </c>
      <c r="BK272">
        <f t="shared" si="257"/>
        <v>0</v>
      </c>
      <c r="BM272">
        <f t="shared" si="258"/>
        <v>-41.097030277392285</v>
      </c>
      <c r="BN272">
        <f t="shared" si="242"/>
        <v>-112.25196695303819</v>
      </c>
      <c r="BQ272" s="56">
        <f t="shared" si="259"/>
        <v>28.655278974994136</v>
      </c>
      <c r="BR272" s="59"/>
      <c r="BS272" s="59"/>
      <c r="BT272" s="59">
        <v>41686.938000000002</v>
      </c>
      <c r="BU272" s="59">
        <v>-0.666377</v>
      </c>
      <c r="BV272" s="59">
        <v>-141.465</v>
      </c>
      <c r="BY272" s="59"/>
      <c r="BZ272" s="59"/>
      <c r="CA272" s="59"/>
      <c r="CC272" s="59"/>
    </row>
    <row r="273" spans="1:81" x14ac:dyDescent="0.25">
      <c r="A273">
        <f t="shared" si="211"/>
        <v>295000</v>
      </c>
      <c r="B273">
        <f t="shared" si="243"/>
        <v>295</v>
      </c>
      <c r="C273">
        <f t="shared" si="212"/>
        <v>2.6431431320936425</v>
      </c>
      <c r="D273">
        <f t="shared" si="213"/>
        <v>1.1827967591172401</v>
      </c>
      <c r="F273">
        <f t="shared" si="214"/>
        <v>2.179872475971889E-4</v>
      </c>
      <c r="G273">
        <f t="shared" si="215"/>
        <v>5.5568763508659419E-3</v>
      </c>
      <c r="H273">
        <f t="shared" si="216"/>
        <v>-3.1360357736491342</v>
      </c>
      <c r="J273">
        <f t="shared" si="217"/>
        <v>15</v>
      </c>
      <c r="M273">
        <f t="shared" si="218"/>
        <v>6.1799345049704454E-3</v>
      </c>
      <c r="N273">
        <f t="shared" si="219"/>
        <v>-1.5707963250000001</v>
      </c>
      <c r="O273">
        <f t="shared" si="220"/>
        <v>48.795411884485716</v>
      </c>
      <c r="P273">
        <f t="shared" si="221"/>
        <v>1.5503011619128158</v>
      </c>
      <c r="Q273">
        <f t="shared" si="222"/>
        <v>75.853434976151007</v>
      </c>
      <c r="R273">
        <f t="shared" si="223"/>
        <v>1.5576126262910455</v>
      </c>
      <c r="S273">
        <f t="shared" si="224"/>
        <v>0.37833743767326627</v>
      </c>
      <c r="T273">
        <f t="shared" si="225"/>
        <v>-1.1827967591172401</v>
      </c>
      <c r="U273">
        <f t="shared" si="226"/>
        <v>0.55244940291046951</v>
      </c>
      <c r="V273">
        <f t="shared" si="227"/>
        <v>-0.98549640860533883</v>
      </c>
      <c r="X273">
        <f t="shared" si="244"/>
        <v>-27.676940631229389</v>
      </c>
      <c r="Y273">
        <f t="shared" si="228"/>
        <v>-148.07605608228999</v>
      </c>
      <c r="Z273">
        <f t="shared" si="245"/>
        <v>31.923943917710005</v>
      </c>
      <c r="AC273">
        <v>1</v>
      </c>
      <c r="AD273">
        <f t="shared" si="229"/>
        <v>48.785163943320001</v>
      </c>
      <c r="AE273">
        <f t="shared" si="230"/>
        <v>-1.3563785453894051E-2</v>
      </c>
      <c r="AF273">
        <f t="shared" si="231"/>
        <v>8.989667367975001E-3</v>
      </c>
      <c r="AG273">
        <f t="shared" si="246"/>
        <v>1605.0378659912399</v>
      </c>
      <c r="AH273">
        <f t="shared" si="247"/>
        <v>-2532.951256995213</v>
      </c>
      <c r="AJ273">
        <f t="shared" si="232"/>
        <v>18000</v>
      </c>
      <c r="AK273">
        <f t="shared" si="233"/>
        <v>44040.10240476</v>
      </c>
      <c r="AL273">
        <v>1</v>
      </c>
      <c r="AM273">
        <f t="shared" si="234"/>
        <v>75.846843030420004</v>
      </c>
      <c r="AN273">
        <f t="shared" si="248"/>
        <v>583.6726432319457</v>
      </c>
      <c r="AO273">
        <f t="shared" si="249"/>
        <v>-229.62494760372377</v>
      </c>
      <c r="AQ273">
        <f t="shared" si="235"/>
        <v>2.8727294664479562E-2</v>
      </c>
      <c r="AR273">
        <f t="shared" si="236"/>
        <v>-16.949103852042942</v>
      </c>
      <c r="AT273">
        <f t="shared" si="209"/>
        <v>-42885.145511250601</v>
      </c>
      <c r="AU273">
        <f t="shared" si="210"/>
        <v>-27276.718314277372</v>
      </c>
      <c r="AV273">
        <f t="shared" si="250"/>
        <v>-2.5750929866510917</v>
      </c>
      <c r="AW273">
        <f t="shared" si="251"/>
        <v>-1580.3961870240091</v>
      </c>
      <c r="AX273">
        <f t="shared" si="252"/>
        <v>-13213.427043607508</v>
      </c>
      <c r="AY273">
        <f t="shared" si="260"/>
        <v>-1.6898361586608273</v>
      </c>
      <c r="BA273">
        <f t="shared" si="237"/>
        <v>3.8192262963545454</v>
      </c>
      <c r="BB273">
        <f t="shared" si="253"/>
        <v>11.639507838041798</v>
      </c>
      <c r="BC273">
        <f t="shared" si="254"/>
        <v>-0.88525682799026439</v>
      </c>
      <c r="BD273">
        <f t="shared" si="238"/>
        <v>-230.72148008693858</v>
      </c>
      <c r="BF273">
        <f t="shared" si="239"/>
        <v>-29.627631588704233</v>
      </c>
      <c r="BG273">
        <f t="shared" si="240"/>
        <v>-162.63383212778669</v>
      </c>
      <c r="BH273">
        <f t="shared" si="255"/>
        <v>17.36616787221331</v>
      </c>
      <c r="BI273">
        <f t="shared" si="256"/>
        <v>17.36616787221331</v>
      </c>
      <c r="BJ273">
        <f t="shared" si="241"/>
        <v>0</v>
      </c>
      <c r="BK273">
        <f t="shared" si="257"/>
        <v>0</v>
      </c>
      <c r="BM273">
        <f t="shared" si="258"/>
        <v>-41.267139426746041</v>
      </c>
      <c r="BN273">
        <f t="shared" si="242"/>
        <v>-111.91235204084812</v>
      </c>
      <c r="BQ273" s="56">
        <f t="shared" si="259"/>
        <v>28.541468638326933</v>
      </c>
      <c r="BR273" s="59"/>
      <c r="BS273" s="59"/>
      <c r="BT273" s="59">
        <v>42657.951999999997</v>
      </c>
      <c r="BU273" s="59">
        <v>-0.55182299999999995</v>
      </c>
      <c r="BV273" s="59">
        <v>-140.39099999999999</v>
      </c>
      <c r="BY273" s="59"/>
      <c r="BZ273" s="59"/>
      <c r="CA273" s="59"/>
      <c r="CC273" s="59"/>
    </row>
    <row r="274" spans="1:81" x14ac:dyDescent="0.25">
      <c r="A274">
        <f t="shared" si="211"/>
        <v>300000</v>
      </c>
      <c r="B274">
        <f t="shared" si="243"/>
        <v>300</v>
      </c>
      <c r="C274">
        <f t="shared" si="212"/>
        <v>2.6815755668816732</v>
      </c>
      <c r="D274">
        <f t="shared" si="213"/>
        <v>1.1886475632502842</v>
      </c>
      <c r="F274">
        <f t="shared" si="214"/>
        <v>2.1078013786833305E-4</v>
      </c>
      <c r="G274">
        <f t="shared" si="215"/>
        <v>5.4642239992221831E-3</v>
      </c>
      <c r="H274">
        <f t="shared" si="216"/>
        <v>-3.136128426000778</v>
      </c>
      <c r="J274">
        <f t="shared" si="217"/>
        <v>15</v>
      </c>
      <c r="M274">
        <f t="shared" si="218"/>
        <v>6.0769355965542716E-3</v>
      </c>
      <c r="N274">
        <f t="shared" si="219"/>
        <v>-1.5707963250000001</v>
      </c>
      <c r="O274">
        <f t="shared" si="220"/>
        <v>49.622108305925707</v>
      </c>
      <c r="P274">
        <f t="shared" si="221"/>
        <v>1.5506426547234593</v>
      </c>
      <c r="Q274">
        <f t="shared" si="222"/>
        <v>77.138864832079221</v>
      </c>
      <c r="R274">
        <f t="shared" si="223"/>
        <v>1.5578323298058845</v>
      </c>
      <c r="S274">
        <f t="shared" si="224"/>
        <v>0.37291509228765513</v>
      </c>
      <c r="T274">
        <f t="shared" si="225"/>
        <v>-1.188647563250284</v>
      </c>
      <c r="U274">
        <f t="shared" si="226"/>
        <v>0.5460030889342824</v>
      </c>
      <c r="V274">
        <f t="shared" si="227"/>
        <v>-0.99321036523724926</v>
      </c>
      <c r="X274">
        <f t="shared" si="244"/>
        <v>-27.925017349583467</v>
      </c>
      <c r="Y274">
        <f t="shared" si="228"/>
        <v>-148.49118764890252</v>
      </c>
      <c r="Z274">
        <f t="shared" si="245"/>
        <v>31.508812351097475</v>
      </c>
      <c r="AC274">
        <v>1</v>
      </c>
      <c r="AD274">
        <f t="shared" si="229"/>
        <v>49.612031128800005</v>
      </c>
      <c r="AE274">
        <f t="shared" si="230"/>
        <v>-1.4027471311122836E-2</v>
      </c>
      <c r="AF274">
        <f t="shared" si="231"/>
        <v>9.1420346115000002E-3</v>
      </c>
      <c r="AG274">
        <f t="shared" si="246"/>
        <v>1567.7992957020404</v>
      </c>
      <c r="AH274">
        <f t="shared" si="247"/>
        <v>-2515.0046591528326</v>
      </c>
      <c r="AJ274">
        <f t="shared" si="232"/>
        <v>18000</v>
      </c>
      <c r="AK274">
        <f t="shared" si="233"/>
        <v>44786.544818400005</v>
      </c>
      <c r="AL274">
        <v>1</v>
      </c>
      <c r="AM274">
        <f t="shared" si="234"/>
        <v>77.13238274279999</v>
      </c>
      <c r="AN274">
        <f t="shared" si="248"/>
        <v>583.57258495263204</v>
      </c>
      <c r="AO274">
        <f t="shared" si="249"/>
        <v>-225.79916237156726</v>
      </c>
      <c r="AQ274">
        <f t="shared" si="235"/>
        <v>2.7777700617498284E-2</v>
      </c>
      <c r="AR274">
        <f t="shared" si="236"/>
        <v>-16.666620370498972</v>
      </c>
      <c r="AT274">
        <f t="shared" si="209"/>
        <v>-41873.07802467209</v>
      </c>
      <c r="AU274">
        <f t="shared" si="210"/>
        <v>-26199.776725075128</v>
      </c>
      <c r="AV274">
        <f t="shared" si="250"/>
        <v>-2.5824936989801235</v>
      </c>
      <c r="AW274">
        <f t="shared" si="251"/>
        <v>-1492.0971095839348</v>
      </c>
      <c r="AX274">
        <f t="shared" si="252"/>
        <v>-13017.237263755062</v>
      </c>
      <c r="AY274">
        <f t="shared" si="260"/>
        <v>-1.6849229510243267</v>
      </c>
      <c r="BA274">
        <f t="shared" si="237"/>
        <v>3.7698346089460486</v>
      </c>
      <c r="BB274">
        <f t="shared" si="253"/>
        <v>11.526445943120097</v>
      </c>
      <c r="BC274">
        <f t="shared" si="254"/>
        <v>-0.89757074795579683</v>
      </c>
      <c r="BD274">
        <f t="shared" si="238"/>
        <v>-231.42701573103164</v>
      </c>
      <c r="BF274">
        <f t="shared" si="239"/>
        <v>-29.90733439286555</v>
      </c>
      <c r="BG274">
        <f t="shared" si="240"/>
        <v>-163.00944997663279</v>
      </c>
      <c r="BH274">
        <f t="shared" si="255"/>
        <v>16.990550023367206</v>
      </c>
      <c r="BI274">
        <f t="shared" si="256"/>
        <v>16.990550023367206</v>
      </c>
      <c r="BJ274">
        <f t="shared" si="241"/>
        <v>0</v>
      </c>
      <c r="BK274">
        <f t="shared" si="257"/>
        <v>0</v>
      </c>
      <c r="BM274">
        <f t="shared" si="258"/>
        <v>-41.433780335985652</v>
      </c>
      <c r="BN274">
        <f t="shared" si="242"/>
        <v>-111.58243424560114</v>
      </c>
      <c r="BQ274" s="56">
        <f t="shared" si="259"/>
        <v>28.428406743405233</v>
      </c>
      <c r="BR274" s="59"/>
      <c r="BS274" s="59"/>
      <c r="BT274" s="59">
        <v>43651.582999999999</v>
      </c>
      <c r="BU274" s="59">
        <v>-0.43071199999999998</v>
      </c>
      <c r="BV274" s="59">
        <v>-139.065</v>
      </c>
      <c r="BY274" s="59"/>
      <c r="BZ274" s="59"/>
      <c r="CA274" s="59"/>
      <c r="CC274" s="59"/>
    </row>
    <row r="275" spans="1:81" x14ac:dyDescent="0.25">
      <c r="A275">
        <f t="shared" si="211"/>
        <v>305000</v>
      </c>
      <c r="B275">
        <f t="shared" si="243"/>
        <v>305</v>
      </c>
      <c r="C275">
        <f t="shared" si="212"/>
        <v>2.7200972013502707</v>
      </c>
      <c r="D275">
        <f t="shared" si="213"/>
        <v>1.1943328409058556</v>
      </c>
      <c r="F275">
        <f t="shared" si="214"/>
        <v>2.0392465283410987E-4</v>
      </c>
      <c r="G275">
        <f t="shared" si="215"/>
        <v>5.3746112409620338E-3</v>
      </c>
      <c r="H275">
        <f t="shared" si="216"/>
        <v>-3.1362180387590382</v>
      </c>
      <c r="J275">
        <f t="shared" si="217"/>
        <v>15</v>
      </c>
      <c r="M275">
        <f t="shared" si="218"/>
        <v>5.9773137015287914E-3</v>
      </c>
      <c r="N275">
        <f t="shared" si="219"/>
        <v>-1.5707963250000001</v>
      </c>
      <c r="O275">
        <f t="shared" si="220"/>
        <v>50.448810324508926</v>
      </c>
      <c r="P275">
        <f t="shared" si="221"/>
        <v>1.5509729555218903</v>
      </c>
      <c r="Q275">
        <f t="shared" si="222"/>
        <v>78.424298289411695</v>
      </c>
      <c r="R275">
        <f t="shared" si="223"/>
        <v>1.5580448311177448</v>
      </c>
      <c r="S275">
        <f t="shared" si="224"/>
        <v>0.36763392113472815</v>
      </c>
      <c r="T275">
        <f t="shared" si="225"/>
        <v>-1.1943328409058556</v>
      </c>
      <c r="U275">
        <f t="shared" si="226"/>
        <v>0.53967446906974925</v>
      </c>
      <c r="V275">
        <f t="shared" si="227"/>
        <v>-1.0007459396091387</v>
      </c>
      <c r="X275">
        <f t="shared" si="244"/>
        <v>-28.169990331447</v>
      </c>
      <c r="Y275">
        <f t="shared" si="228"/>
        <v>-148.89697841989079</v>
      </c>
      <c r="Z275">
        <f t="shared" si="245"/>
        <v>31.103021580109214</v>
      </c>
      <c r="AC275">
        <v>1</v>
      </c>
      <c r="AD275">
        <f t="shared" si="229"/>
        <v>50.438898314280003</v>
      </c>
      <c r="AE275">
        <f t="shared" si="230"/>
        <v>-1.4498950207968908E-2</v>
      </c>
      <c r="AF275">
        <f t="shared" si="231"/>
        <v>9.2944018550249995E-3</v>
      </c>
      <c r="AG275">
        <f t="shared" si="246"/>
        <v>1531.6657869065491</v>
      </c>
      <c r="AH275">
        <f t="shared" si="247"/>
        <v>-2496.93808612982</v>
      </c>
      <c r="AJ275">
        <f t="shared" si="232"/>
        <v>18000</v>
      </c>
      <c r="AK275">
        <f t="shared" si="233"/>
        <v>45532.987232040003</v>
      </c>
      <c r="AL275">
        <v>1</v>
      </c>
      <c r="AM275">
        <f t="shared" si="234"/>
        <v>78.417922455180005</v>
      </c>
      <c r="AN275">
        <f t="shared" si="248"/>
        <v>583.47740605713489</v>
      </c>
      <c r="AO275">
        <f t="shared" si="249"/>
        <v>-222.0987504979787</v>
      </c>
      <c r="AQ275">
        <f t="shared" si="235"/>
        <v>2.6874423879538083E-2</v>
      </c>
      <c r="AR275">
        <f t="shared" si="236"/>
        <v>-16.393398566518229</v>
      </c>
      <c r="AT275">
        <f t="shared" si="209"/>
        <v>-40892.138606246255</v>
      </c>
      <c r="AU275">
        <f t="shared" si="210"/>
        <v>-25176.311487986452</v>
      </c>
      <c r="AV275">
        <f t="shared" si="250"/>
        <v>-2.5897262948832958</v>
      </c>
      <c r="AW275">
        <f t="shared" si="251"/>
        <v>-1408.8628682638489</v>
      </c>
      <c r="AX275">
        <f t="shared" si="252"/>
        <v>-12826.813733577996</v>
      </c>
      <c r="AY275">
        <f t="shared" si="260"/>
        <v>-1.6801951174431677</v>
      </c>
      <c r="BA275">
        <f t="shared" si="237"/>
        <v>3.7214150555958798</v>
      </c>
      <c r="BB275">
        <f t="shared" si="253"/>
        <v>11.41416220614127</v>
      </c>
      <c r="BC275">
        <f t="shared" si="254"/>
        <v>-0.90953117744012801</v>
      </c>
      <c r="BD275">
        <f t="shared" si="238"/>
        <v>-232.11229786243069</v>
      </c>
      <c r="BF275">
        <f t="shared" si="239"/>
        <v>-30.182929507930581</v>
      </c>
      <c r="BG275">
        <f t="shared" si="240"/>
        <v>-163.37412412548005</v>
      </c>
      <c r="BH275">
        <f t="shared" si="255"/>
        <v>16.625875874519949</v>
      </c>
      <c r="BI275">
        <f t="shared" si="256"/>
        <v>16.625875874519949</v>
      </c>
      <c r="BJ275">
        <f t="shared" si="241"/>
        <v>0</v>
      </c>
      <c r="BK275">
        <f t="shared" si="257"/>
        <v>0</v>
      </c>
      <c r="BM275">
        <f t="shared" si="258"/>
        <v>-41.597091714071851</v>
      </c>
      <c r="BN275">
        <f t="shared" si="242"/>
        <v>-111.26182626304936</v>
      </c>
      <c r="BQ275" s="56">
        <f t="shared" si="259"/>
        <v>28.316123006426402</v>
      </c>
      <c r="BR275" s="59"/>
      <c r="BS275" s="59"/>
      <c r="BT275" s="59">
        <v>44668.358999999997</v>
      </c>
      <c r="BU275" s="59">
        <v>-0.21105299999999999</v>
      </c>
      <c r="BV275" s="59">
        <v>-136.58699999999999</v>
      </c>
      <c r="BY275" s="59"/>
      <c r="BZ275" s="59"/>
      <c r="CA275" s="59"/>
      <c r="CC275" s="59"/>
    </row>
    <row r="276" spans="1:81" x14ac:dyDescent="0.25">
      <c r="A276">
        <f t="shared" si="211"/>
        <v>310000</v>
      </c>
      <c r="B276">
        <f t="shared" si="243"/>
        <v>310</v>
      </c>
      <c r="C276">
        <f t="shared" si="212"/>
        <v>2.7587042988374475</v>
      </c>
      <c r="D276">
        <f t="shared" si="213"/>
        <v>1.1998591661195934</v>
      </c>
      <c r="F276">
        <f t="shared" si="214"/>
        <v>1.9739828395646595E-4</v>
      </c>
      <c r="G276">
        <f t="shared" si="215"/>
        <v>5.2878908849067E-3</v>
      </c>
      <c r="H276">
        <f t="shared" si="216"/>
        <v>-3.1363047591150934</v>
      </c>
      <c r="J276">
        <f t="shared" si="217"/>
        <v>15</v>
      </c>
      <c r="M276">
        <f t="shared" si="218"/>
        <v>5.880905416020263E-3</v>
      </c>
      <c r="N276">
        <f t="shared" si="219"/>
        <v>-1.5707963250000001</v>
      </c>
      <c r="O276">
        <f t="shared" si="220"/>
        <v>51.275517669511473</v>
      </c>
      <c r="P276">
        <f t="shared" si="221"/>
        <v>1.5512926055755474</v>
      </c>
      <c r="Q276">
        <f t="shared" si="222"/>
        <v>79.709735173915035</v>
      </c>
      <c r="R276">
        <f t="shared" si="223"/>
        <v>1.5582504786453477</v>
      </c>
      <c r="S276">
        <f t="shared" si="224"/>
        <v>0.36248901356387225</v>
      </c>
      <c r="T276">
        <f t="shared" si="225"/>
        <v>-1.1998591661195934</v>
      </c>
      <c r="U276">
        <f t="shared" si="226"/>
        <v>0.53346161763919353</v>
      </c>
      <c r="V276">
        <f t="shared" si="227"/>
        <v>-1.008108421704945</v>
      </c>
      <c r="X276">
        <f t="shared" si="244"/>
        <v>-28.411931520347025</v>
      </c>
      <c r="Y276">
        <f t="shared" si="228"/>
        <v>-149.29368894717962</v>
      </c>
      <c r="Z276">
        <f t="shared" si="245"/>
        <v>30.706311052820382</v>
      </c>
      <c r="AC276">
        <v>1</v>
      </c>
      <c r="AD276">
        <f t="shared" si="229"/>
        <v>51.265765499760008</v>
      </c>
      <c r="AE276">
        <f t="shared" si="230"/>
        <v>-1.4978222144432273E-2</v>
      </c>
      <c r="AF276">
        <f t="shared" si="231"/>
        <v>9.4467690985500005E-3</v>
      </c>
      <c r="AG276">
        <f t="shared" si="246"/>
        <v>1496.6030322128022</v>
      </c>
      <c r="AH276">
        <f t="shared" si="247"/>
        <v>-2478.7789808590228</v>
      </c>
      <c r="AJ276">
        <f t="shared" si="232"/>
        <v>18000</v>
      </c>
      <c r="AK276">
        <f t="shared" si="233"/>
        <v>46279.429645680008</v>
      </c>
      <c r="AL276">
        <v>1</v>
      </c>
      <c r="AM276">
        <f t="shared" si="234"/>
        <v>79.703462167559991</v>
      </c>
      <c r="AN276">
        <f t="shared" si="248"/>
        <v>583.38679438258771</v>
      </c>
      <c r="AO276">
        <f t="shared" si="249"/>
        <v>-218.51764944667769</v>
      </c>
      <c r="AQ276">
        <f t="shared" si="235"/>
        <v>2.6014500482568984E-2</v>
      </c>
      <c r="AR276">
        <f t="shared" si="236"/>
        <v>-16.128990299192768</v>
      </c>
      <c r="AT276">
        <f t="shared" si="209"/>
        <v>-39941.268755814403</v>
      </c>
      <c r="AU276">
        <f t="shared" si="210"/>
        <v>-24203.179985296509</v>
      </c>
      <c r="AV276">
        <f t="shared" si="250"/>
        <v>-2.5967955678920149</v>
      </c>
      <c r="AW276">
        <f t="shared" si="251"/>
        <v>-1330.3305941806991</v>
      </c>
      <c r="AX276">
        <f t="shared" si="252"/>
        <v>-12641.894866995692</v>
      </c>
      <c r="AY276">
        <f t="shared" si="260"/>
        <v>-1.6756423483394847</v>
      </c>
      <c r="BA276">
        <f t="shared" si="237"/>
        <v>3.6739571274946718</v>
      </c>
      <c r="BB276">
        <f t="shared" si="253"/>
        <v>11.302681681741319</v>
      </c>
      <c r="BC276">
        <f t="shared" si="254"/>
        <v>-0.92115321955253027</v>
      </c>
      <c r="BD276">
        <f t="shared" si="238"/>
        <v>-232.77819182555555</v>
      </c>
      <c r="BF276">
        <f t="shared" si="239"/>
        <v>-30.454522646566751</v>
      </c>
      <c r="BG276">
        <f t="shared" si="240"/>
        <v>-163.72835168768469</v>
      </c>
      <c r="BH276">
        <f t="shared" si="255"/>
        <v>16.271648312315307</v>
      </c>
      <c r="BI276">
        <f t="shared" si="256"/>
        <v>16.271648312315307</v>
      </c>
      <c r="BJ276">
        <f t="shared" si="241"/>
        <v>0</v>
      </c>
      <c r="BK276">
        <f t="shared" si="257"/>
        <v>0</v>
      </c>
      <c r="BM276">
        <f t="shared" si="258"/>
        <v>-41.757204328308077</v>
      </c>
      <c r="BN276">
        <f t="shared" si="242"/>
        <v>-110.95015986212915</v>
      </c>
      <c r="BQ276" s="56">
        <f t="shared" si="259"/>
        <v>28.204642482026458</v>
      </c>
      <c r="BR276" s="59"/>
      <c r="BS276" s="59"/>
      <c r="BT276" s="59">
        <v>45708.819000000003</v>
      </c>
      <c r="BU276" s="59">
        <v>0.52166999999999997</v>
      </c>
      <c r="BV276" s="59">
        <v>-135.751</v>
      </c>
      <c r="BY276" s="59"/>
      <c r="BZ276" s="59"/>
      <c r="CA276" s="59"/>
      <c r="CC276" s="59"/>
    </row>
    <row r="277" spans="1:81" x14ac:dyDescent="0.25">
      <c r="A277">
        <f t="shared" si="211"/>
        <v>315000</v>
      </c>
      <c r="B277">
        <f t="shared" si="243"/>
        <v>315</v>
      </c>
      <c r="C277">
        <f t="shared" si="212"/>
        <v>2.7973933208951305</v>
      </c>
      <c r="D277">
        <f t="shared" si="213"/>
        <v>1.2052327892941834</v>
      </c>
      <c r="F277">
        <f t="shared" si="214"/>
        <v>1.911802954436679E-4</v>
      </c>
      <c r="G277">
        <f t="shared" si="215"/>
        <v>5.2039250941911313E-3</v>
      </c>
      <c r="H277">
        <f t="shared" si="216"/>
        <v>-3.1363887249058089</v>
      </c>
      <c r="J277">
        <f t="shared" si="217"/>
        <v>15</v>
      </c>
      <c r="M277">
        <f t="shared" si="218"/>
        <v>5.7875577110040686E-3</v>
      </c>
      <c r="N277">
        <f t="shared" si="219"/>
        <v>-1.5707963250000001</v>
      </c>
      <c r="O277">
        <f t="shared" si="220"/>
        <v>52.102230087390076</v>
      </c>
      <c r="P277">
        <f t="shared" si="221"/>
        <v>1.5516021118074874</v>
      </c>
      <c r="Q277">
        <f t="shared" si="222"/>
        <v>80.995175322416102</v>
      </c>
      <c r="R277">
        <f t="shared" si="223"/>
        <v>1.5584495986913989</v>
      </c>
      <c r="S277">
        <f t="shared" si="224"/>
        <v>0.35747565153977451</v>
      </c>
      <c r="T277">
        <f t="shared" si="225"/>
        <v>-1.2052327892941832</v>
      </c>
      <c r="U277">
        <f t="shared" si="226"/>
        <v>0.527362568777765</v>
      </c>
      <c r="V277">
        <f t="shared" si="227"/>
        <v>-1.0153029363816306</v>
      </c>
      <c r="X277">
        <f t="shared" si="244"/>
        <v>-28.650910289903013</v>
      </c>
      <c r="Y277">
        <f t="shared" si="228"/>
        <v>-149.68157302059501</v>
      </c>
      <c r="Z277">
        <f t="shared" si="245"/>
        <v>30.31842697940499</v>
      </c>
      <c r="AC277">
        <v>1</v>
      </c>
      <c r="AD277">
        <f t="shared" si="229"/>
        <v>52.092632685239998</v>
      </c>
      <c r="AE277">
        <f t="shared" si="230"/>
        <v>-1.5465287120512925E-2</v>
      </c>
      <c r="AF277">
        <f t="shared" si="231"/>
        <v>9.5991363420749997E-3</v>
      </c>
      <c r="AG277">
        <f t="shared" si="246"/>
        <v>1462.5774322869136</v>
      </c>
      <c r="AH277">
        <f t="shared" si="247"/>
        <v>-2460.5526043808668</v>
      </c>
      <c r="AJ277">
        <f t="shared" si="232"/>
        <v>18000</v>
      </c>
      <c r="AK277">
        <f t="shared" si="233"/>
        <v>47025.872059319998</v>
      </c>
      <c r="AL277">
        <v>1</v>
      </c>
      <c r="AM277">
        <f t="shared" si="234"/>
        <v>80.989001879939991</v>
      </c>
      <c r="AN277">
        <f t="shared" si="248"/>
        <v>583.30046233502196</v>
      </c>
      <c r="AO277">
        <f t="shared" si="249"/>
        <v>-215.05018130096116</v>
      </c>
      <c r="AQ277">
        <f t="shared" si="235"/>
        <v>2.5195199810532098E-2</v>
      </c>
      <c r="AR277">
        <f t="shared" si="236"/>
        <v>-15.872975880635222</v>
      </c>
      <c r="AT277">
        <f t="shared" si="209"/>
        <v>-39019.442211726833</v>
      </c>
      <c r="AU277">
        <f t="shared" si="210"/>
        <v>-23277.450420763274</v>
      </c>
      <c r="AV277">
        <f t="shared" si="250"/>
        <v>-2.6037061779097153</v>
      </c>
      <c r="AW277">
        <f t="shared" si="251"/>
        <v>-1256.1681039186658</v>
      </c>
      <c r="AX277">
        <f t="shared" si="252"/>
        <v>-12462.235657149402</v>
      </c>
      <c r="AY277">
        <f t="shared" si="260"/>
        <v>-1.6712549898268174</v>
      </c>
      <c r="BA277">
        <f t="shared" si="237"/>
        <v>3.6274485712651967</v>
      </c>
      <c r="BB277">
        <f t="shared" si="253"/>
        <v>11.192025277472844</v>
      </c>
      <c r="BC277">
        <f t="shared" si="254"/>
        <v>-0.93245118808289784</v>
      </c>
      <c r="BD277">
        <f t="shared" si="238"/>
        <v>-233.42551774015692</v>
      </c>
      <c r="BF277">
        <f t="shared" si="239"/>
        <v>-30.722216300764028</v>
      </c>
      <c r="BG277">
        <f t="shared" si="240"/>
        <v>-164.07260255877353</v>
      </c>
      <c r="BH277">
        <f t="shared" si="255"/>
        <v>15.927397441226475</v>
      </c>
      <c r="BI277">
        <f t="shared" si="256"/>
        <v>15.927397441226475</v>
      </c>
      <c r="BJ277">
        <f t="shared" si="241"/>
        <v>0</v>
      </c>
      <c r="BK277">
        <f t="shared" si="257"/>
        <v>0</v>
      </c>
      <c r="BM277">
        <f t="shared" si="258"/>
        <v>-41.914241578236869</v>
      </c>
      <c r="BN277">
        <f t="shared" si="242"/>
        <v>-110.64708481861662</v>
      </c>
      <c r="BQ277" s="56">
        <f t="shared" si="259"/>
        <v>28.093986077757979</v>
      </c>
      <c r="BR277" s="59"/>
      <c r="BS277" s="59"/>
      <c r="BT277" s="59">
        <v>46773.514000000003</v>
      </c>
      <c r="BU277" s="59">
        <v>0.78233600000000003</v>
      </c>
      <c r="BV277" s="59">
        <v>-137.57599999999999</v>
      </c>
      <c r="BY277" s="59"/>
      <c r="BZ277" s="59"/>
      <c r="CA277" s="59"/>
      <c r="CC277" s="59"/>
    </row>
    <row r="278" spans="1:81" x14ac:dyDescent="0.25">
      <c r="A278">
        <f t="shared" si="211"/>
        <v>320000</v>
      </c>
      <c r="B278">
        <f t="shared" si="243"/>
        <v>320</v>
      </c>
      <c r="C278">
        <f t="shared" si="212"/>
        <v>2.8361609148436884</v>
      </c>
      <c r="D278">
        <f t="shared" si="213"/>
        <v>1.2104596554535796</v>
      </c>
      <c r="F278">
        <f t="shared" si="214"/>
        <v>1.8525155929909352E-4</v>
      </c>
      <c r="G278">
        <f t="shared" si="215"/>
        <v>5.1225846546483879E-3</v>
      </c>
      <c r="H278">
        <f t="shared" si="216"/>
        <v>-3.1364700653453519</v>
      </c>
      <c r="J278">
        <f t="shared" si="217"/>
        <v>15</v>
      </c>
      <c r="M278">
        <f t="shared" si="218"/>
        <v>5.6971271217696297E-3</v>
      </c>
      <c r="N278">
        <f t="shared" si="219"/>
        <v>-1.5707963250000001</v>
      </c>
      <c r="O278">
        <f t="shared" si="220"/>
        <v>52.928947340440601</v>
      </c>
      <c r="P278">
        <f t="shared" si="221"/>
        <v>1.5519019494775435</v>
      </c>
      <c r="Q278">
        <f t="shared" si="222"/>
        <v>82.280618581938185</v>
      </c>
      <c r="R278">
        <f t="shared" si="223"/>
        <v>1.5586424971698696</v>
      </c>
      <c r="S278">
        <f t="shared" si="224"/>
        <v>0.35258930294338187</v>
      </c>
      <c r="T278">
        <f t="shared" si="225"/>
        <v>-1.2104596554535794</v>
      </c>
      <c r="U278">
        <f t="shared" si="226"/>
        <v>0.52137532603424497</v>
      </c>
      <c r="V278">
        <f t="shared" si="227"/>
        <v>-1.0223344469185922</v>
      </c>
      <c r="X278">
        <f t="shared" si="244"/>
        <v>-28.886993587801911</v>
      </c>
      <c r="Y278">
        <f t="shared" si="228"/>
        <v>-150.06087766056353</v>
      </c>
      <c r="Z278">
        <f t="shared" si="245"/>
        <v>29.939122339436466</v>
      </c>
      <c r="AC278">
        <v>1</v>
      </c>
      <c r="AD278">
        <f t="shared" si="229"/>
        <v>52.919499870720003</v>
      </c>
      <c r="AE278">
        <f t="shared" si="230"/>
        <v>-1.5960145136210871E-2</v>
      </c>
      <c r="AF278">
        <f t="shared" si="231"/>
        <v>9.751503585599999E-3</v>
      </c>
      <c r="AG278">
        <f t="shared" si="246"/>
        <v>1429.5561379024459</v>
      </c>
      <c r="AH278">
        <f t="shared" si="247"/>
        <v>-2442.28218061192</v>
      </c>
      <c r="AJ278">
        <f t="shared" si="232"/>
        <v>18000</v>
      </c>
      <c r="AK278">
        <f t="shared" si="233"/>
        <v>47772.314472960003</v>
      </c>
      <c r="AL278">
        <v>1</v>
      </c>
      <c r="AM278">
        <f t="shared" si="234"/>
        <v>82.274541592319991</v>
      </c>
      <c r="AN278">
        <f t="shared" si="248"/>
        <v>583.21814460504015</v>
      </c>
      <c r="AO278">
        <f t="shared" si="249"/>
        <v>-211.69102274306377</v>
      </c>
      <c r="AQ278">
        <f t="shared" si="235"/>
        <v>2.4414002895500744E-2</v>
      </c>
      <c r="AR278">
        <f t="shared" si="236"/>
        <v>-15.624961853120476</v>
      </c>
      <c r="AT278">
        <f t="shared" ref="AT278:AT341" si="261">-AR278*AH278+AG278*AQ278</f>
        <v>-38125.66471892711</v>
      </c>
      <c r="AU278">
        <f t="shared" ref="AU278:AU341" si="262">AQ278*AH278+AG278*AR278</f>
        <v>-22396.386005849039</v>
      </c>
      <c r="AV278">
        <f t="shared" si="250"/>
        <v>-2.6104626523024059</v>
      </c>
      <c r="AW278">
        <f t="shared" si="251"/>
        <v>-1186.070931462081</v>
      </c>
      <c r="AX278">
        <f t="shared" si="252"/>
        <v>-12287.606313458529</v>
      </c>
      <c r="AY278">
        <f t="shared" si="260"/>
        <v>-1.6670239993514382</v>
      </c>
      <c r="BA278">
        <f t="shared" si="237"/>
        <v>3.5818756995312682</v>
      </c>
      <c r="BB278">
        <f t="shared" si="253"/>
        <v>11.082210212368945</v>
      </c>
      <c r="BC278">
        <f t="shared" si="254"/>
        <v>-0.94343865295096774</v>
      </c>
      <c r="BD278">
        <f t="shared" si="238"/>
        <v>-234.05505310536495</v>
      </c>
      <c r="BF278">
        <f t="shared" si="239"/>
        <v>-30.986109808086514</v>
      </c>
      <c r="BG278">
        <f t="shared" si="240"/>
        <v>-164.40732101652108</v>
      </c>
      <c r="BH278">
        <f t="shared" si="255"/>
        <v>15.592678983478919</v>
      </c>
      <c r="BI278">
        <f t="shared" si="256"/>
        <v>15.592678983478919</v>
      </c>
      <c r="BJ278">
        <f t="shared" si="241"/>
        <v>0</v>
      </c>
      <c r="BK278">
        <f t="shared" si="257"/>
        <v>0</v>
      </c>
      <c r="BM278">
        <f t="shared" si="258"/>
        <v>-42.068320020455459</v>
      </c>
      <c r="BN278">
        <f t="shared" si="242"/>
        <v>-110.35226791115615</v>
      </c>
      <c r="BQ278" s="56">
        <f t="shared" si="259"/>
        <v>27.98417101265408</v>
      </c>
      <c r="BR278" s="59"/>
      <c r="BS278" s="59"/>
      <c r="BT278" s="59">
        <v>47863.008999999998</v>
      </c>
      <c r="BU278" s="59">
        <v>0.81724300000000005</v>
      </c>
      <c r="BV278" s="59">
        <v>-138.25</v>
      </c>
      <c r="BY278" s="59"/>
      <c r="BZ278" s="59"/>
      <c r="CA278" s="59"/>
      <c r="CC278" s="59"/>
    </row>
    <row r="279" spans="1:81" x14ac:dyDescent="0.25">
      <c r="A279">
        <f t="shared" si="211"/>
        <v>325000</v>
      </c>
      <c r="B279">
        <f t="shared" si="243"/>
        <v>325</v>
      </c>
      <c r="C279">
        <f t="shared" si="212"/>
        <v>2.875003902209373</v>
      </c>
      <c r="D279">
        <f t="shared" si="213"/>
        <v>1.2155454213985397</v>
      </c>
      <c r="F279">
        <f t="shared" si="214"/>
        <v>1.7959440800371568E-4</v>
      </c>
      <c r="G279">
        <f t="shared" si="215"/>
        <v>5.0437483108129958E-3</v>
      </c>
      <c r="H279">
        <f t="shared" si="216"/>
        <v>-3.1365489016891872</v>
      </c>
      <c r="J279">
        <f t="shared" si="217"/>
        <v>15</v>
      </c>
      <c r="M279">
        <f t="shared" si="218"/>
        <v>5.6094790122039433E-3</v>
      </c>
      <c r="N279">
        <f t="shared" si="219"/>
        <v>-1.5707963250000001</v>
      </c>
      <c r="O279">
        <f t="shared" si="220"/>
        <v>53.755669205580368</v>
      </c>
      <c r="P279">
        <f t="shared" si="221"/>
        <v>1.5521925646162036</v>
      </c>
      <c r="Q279">
        <f t="shared" si="222"/>
        <v>83.566064808916735</v>
      </c>
      <c r="R279">
        <f t="shared" si="223"/>
        <v>1.5588294611738949</v>
      </c>
      <c r="S279">
        <f t="shared" si="224"/>
        <v>0.34782561485621766</v>
      </c>
      <c r="T279">
        <f t="shared" si="225"/>
        <v>-1.2155454213985397</v>
      </c>
      <c r="U279">
        <f t="shared" si="226"/>
        <v>0.51549787096112276</v>
      </c>
      <c r="V279">
        <f t="shared" si="227"/>
        <v>-1.0292077587483264</v>
      </c>
      <c r="X279">
        <f t="shared" si="244"/>
        <v>-29.120246067559915</v>
      </c>
      <c r="Y279">
        <f t="shared" si="228"/>
        <v>-150.43184314062319</v>
      </c>
      <c r="Z279">
        <f t="shared" si="245"/>
        <v>29.568156859376813</v>
      </c>
      <c r="AC279">
        <v>1</v>
      </c>
      <c r="AD279">
        <f t="shared" si="229"/>
        <v>53.746367056200008</v>
      </c>
      <c r="AE279">
        <f t="shared" si="230"/>
        <v>-1.6462796191526106E-2</v>
      </c>
      <c r="AF279">
        <f t="shared" si="231"/>
        <v>9.9038708291249999E-3</v>
      </c>
      <c r="AG279">
        <f t="shared" si="246"/>
        <v>1397.5070826419847</v>
      </c>
      <c r="AH279">
        <f t="shared" si="247"/>
        <v>-2423.9890333737535</v>
      </c>
      <c r="AJ279">
        <f t="shared" si="232"/>
        <v>18000</v>
      </c>
      <c r="AK279">
        <f t="shared" si="233"/>
        <v>48518.7568866</v>
      </c>
      <c r="AL279">
        <v>1</v>
      </c>
      <c r="AM279">
        <f t="shared" si="234"/>
        <v>83.560081304699992</v>
      </c>
      <c r="AN279">
        <f t="shared" si="248"/>
        <v>583.1395961274751</v>
      </c>
      <c r="AO279">
        <f t="shared" si="249"/>
        <v>-208.43517780173443</v>
      </c>
      <c r="AQ279">
        <f t="shared" si="235"/>
        <v>2.3668583032939568E-2</v>
      </c>
      <c r="AR279">
        <f t="shared" si="236"/>
        <v>-15.384578971410718</v>
      </c>
      <c r="AT279">
        <f t="shared" si="261"/>
        <v>-37258.973697347406</v>
      </c>
      <c r="AU279">
        <f t="shared" si="262"/>
        <v>-21557.430461718759</v>
      </c>
      <c r="AV279">
        <f t="shared" si="250"/>
        <v>-2.6170693873972288</v>
      </c>
      <c r="AW279">
        <f t="shared" si="251"/>
        <v>-1119.7596823152999</v>
      </c>
      <c r="AX279">
        <f t="shared" si="252"/>
        <v>-12117.791034725693</v>
      </c>
      <c r="AY279">
        <f t="shared" si="260"/>
        <v>-1.6629409042427905</v>
      </c>
      <c r="BA279">
        <f t="shared" si="237"/>
        <v>3.5372236600244764</v>
      </c>
      <c r="BB279">
        <f t="shared" si="253"/>
        <v>10.973250425831178</v>
      </c>
      <c r="BC279">
        <f t="shared" si="254"/>
        <v>-0.95412848315443832</v>
      </c>
      <c r="BD279">
        <f t="shared" si="238"/>
        <v>-234.66753526043516</v>
      </c>
      <c r="BF279">
        <f t="shared" si="239"/>
        <v>-31.246299423303778</v>
      </c>
      <c r="BG279">
        <f t="shared" si="240"/>
        <v>-164.73292723679992</v>
      </c>
      <c r="BH279">
        <f t="shared" si="255"/>
        <v>15.267072763200076</v>
      </c>
      <c r="BI279">
        <f t="shared" si="256"/>
        <v>15.267072763200076</v>
      </c>
      <c r="BJ279">
        <f t="shared" si="241"/>
        <v>0</v>
      </c>
      <c r="BK279">
        <f t="shared" si="257"/>
        <v>0</v>
      </c>
      <c r="BM279">
        <f t="shared" si="258"/>
        <v>-42.219549849134957</v>
      </c>
      <c r="BN279">
        <f t="shared" si="242"/>
        <v>-110.06539197636477</v>
      </c>
      <c r="BQ279" s="56">
        <f t="shared" si="259"/>
        <v>27.875211226116313</v>
      </c>
      <c r="BR279" s="59"/>
      <c r="BS279" s="59"/>
      <c r="BT279" s="59">
        <v>48977.881999999998</v>
      </c>
      <c r="BU279" s="59">
        <v>0.86195100000000002</v>
      </c>
      <c r="BV279" s="59">
        <v>-138.07900000000001</v>
      </c>
      <c r="BY279" s="59"/>
      <c r="BZ279" s="59"/>
      <c r="CA279" s="59"/>
      <c r="CC279" s="59"/>
    </row>
    <row r="280" spans="1:81" x14ac:dyDescent="0.25">
      <c r="A280">
        <f>A279+5000</f>
        <v>330000</v>
      </c>
      <c r="B280">
        <f t="shared" si="243"/>
        <v>330</v>
      </c>
      <c r="C280">
        <f t="shared" si="212"/>
        <v>2.9139192679765662</v>
      </c>
      <c r="D280">
        <f t="shared" si="213"/>
        <v>1.2204954718269625</v>
      </c>
      <c r="F280">
        <f t="shared" si="214"/>
        <v>1.7419250271022917E-4</v>
      </c>
      <c r="G280">
        <f t="shared" si="215"/>
        <v>4.9673021623614835E-3</v>
      </c>
      <c r="H280">
        <f t="shared" si="216"/>
        <v>-3.1366253478376387</v>
      </c>
      <c r="J280">
        <f t="shared" si="217"/>
        <v>15</v>
      </c>
      <c r="M280">
        <f t="shared" si="218"/>
        <v>5.5244869059584284E-3</v>
      </c>
      <c r="N280">
        <f t="shared" si="219"/>
        <v>-1.5707963250000001</v>
      </c>
      <c r="O280">
        <f t="shared" si="220"/>
        <v>54.582395473240958</v>
      </c>
      <c r="P280">
        <f t="shared" si="221"/>
        <v>1.5524743762374085</v>
      </c>
      <c r="Q280">
        <f t="shared" si="222"/>
        <v>84.851513868486549</v>
      </c>
      <c r="R280">
        <f t="shared" si="223"/>
        <v>1.5590107604011807</v>
      </c>
      <c r="S280">
        <f t="shared" si="224"/>
        <v>0.34318040688011342</v>
      </c>
      <c r="T280">
        <f t="shared" si="225"/>
        <v>-1.2204954718269623</v>
      </c>
      <c r="U280">
        <f t="shared" si="226"/>
        <v>0.50972817078142396</v>
      </c>
      <c r="V280">
        <f t="shared" si="227"/>
        <v>-1.0359275233257568</v>
      </c>
      <c r="X280">
        <f t="shared" si="244"/>
        <v>-29.350730209420597</v>
      </c>
      <c r="Y280">
        <f t="shared" si="228"/>
        <v>-150.7947030352471</v>
      </c>
      <c r="Z280">
        <f t="shared" si="245"/>
        <v>29.205296964752904</v>
      </c>
      <c r="AC280">
        <v>1</v>
      </c>
      <c r="AD280">
        <f t="shared" si="229"/>
        <v>54.573234241679998</v>
      </c>
      <c r="AE280">
        <f t="shared" si="230"/>
        <v>-1.6973240286458632E-2</v>
      </c>
      <c r="AF280">
        <f t="shared" si="231"/>
        <v>1.0056238072650001E-2</v>
      </c>
      <c r="AG280">
        <f t="shared" si="246"/>
        <v>1366.3990074073668</v>
      </c>
      <c r="AH280">
        <f t="shared" si="247"/>
        <v>-2405.6927158178064</v>
      </c>
      <c r="AJ280">
        <f t="shared" si="232"/>
        <v>18000</v>
      </c>
      <c r="AK280">
        <f t="shared" si="233"/>
        <v>49265.199300240005</v>
      </c>
      <c r="AL280">
        <v>1</v>
      </c>
      <c r="AM280">
        <f t="shared" si="234"/>
        <v>84.845621017079992</v>
      </c>
      <c r="AN280">
        <f t="shared" si="248"/>
        <v>583.06459025570746</v>
      </c>
      <c r="AO280">
        <f t="shared" si="249"/>
        <v>-205.27795307477504</v>
      </c>
      <c r="AQ280">
        <f t="shared" si="235"/>
        <v>2.29567884371248E-2</v>
      </c>
      <c r="AR280">
        <f t="shared" si="236"/>
        <v>-15.151480368502368</v>
      </c>
      <c r="AT280">
        <f t="shared" si="261"/>
        <v>-36418.437823428889</v>
      </c>
      <c r="AU280">
        <f t="shared" si="262"/>
        <v>-20758.194714995603</v>
      </c>
      <c r="AV280">
        <f t="shared" si="250"/>
        <v>-2.6235306503224245</v>
      </c>
      <c r="AW280">
        <f t="shared" si="251"/>
        <v>-1056.9776710417616</v>
      </c>
      <c r="AX280">
        <f t="shared" si="252"/>
        <v>-11952.586902628394</v>
      </c>
      <c r="AY280">
        <f t="shared" si="260"/>
        <v>-1.6589977630299144</v>
      </c>
      <c r="BA280">
        <f t="shared" si="237"/>
        <v>3.4934766684465437</v>
      </c>
      <c r="BB280">
        <f t="shared" si="253"/>
        <v>10.865156942368245</v>
      </c>
      <c r="BC280">
        <f t="shared" si="254"/>
        <v>-0.96453288729251008</v>
      </c>
      <c r="BD280">
        <f t="shared" si="238"/>
        <v>-235.26366370657627</v>
      </c>
      <c r="BF280">
        <f t="shared" si="239"/>
        <v>-31.502878394140509</v>
      </c>
      <c r="BG280">
        <f t="shared" si="240"/>
        <v>-165.0498187263627</v>
      </c>
      <c r="BH280">
        <f t="shared" si="255"/>
        <v>14.950181273637298</v>
      </c>
      <c r="BI280">
        <f t="shared" si="256"/>
        <v>14.950181273637298</v>
      </c>
      <c r="BJ280">
        <f t="shared" si="241"/>
        <v>0</v>
      </c>
      <c r="BK280">
        <f t="shared" si="257"/>
        <v>0</v>
      </c>
      <c r="BM280">
        <f t="shared" si="258"/>
        <v>-42.368035336508747</v>
      </c>
      <c r="BN280">
        <f t="shared" si="242"/>
        <v>-109.78615501978643</v>
      </c>
      <c r="BQ280" s="56">
        <f t="shared" si="259"/>
        <v>27.767117742653376</v>
      </c>
      <c r="BR280" s="59"/>
      <c r="BS280" s="59"/>
      <c r="BT280" s="59">
        <v>50118.722999999998</v>
      </c>
      <c r="BU280" s="59">
        <v>0.950021</v>
      </c>
      <c r="BV280" s="59">
        <v>-137.59100000000001</v>
      </c>
      <c r="BY280" s="59"/>
      <c r="BZ280" s="59"/>
      <c r="CA280" s="59"/>
      <c r="CC280" s="59"/>
    </row>
    <row r="281" spans="1:81" x14ac:dyDescent="0.25">
      <c r="A281">
        <f t="shared" si="211"/>
        <v>335000</v>
      </c>
      <c r="B281">
        <f t="shared" si="243"/>
        <v>335</v>
      </c>
      <c r="C281">
        <f t="shared" si="212"/>
        <v>2.9529041505922411</v>
      </c>
      <c r="D281">
        <f t="shared" si="213"/>
        <v>1.2253149344800141</v>
      </c>
      <c r="F281">
        <f t="shared" si="214"/>
        <v>1.6903071510981213E-4</v>
      </c>
      <c r="G281">
        <f t="shared" si="215"/>
        <v>4.8931391146671476E-3</v>
      </c>
      <c r="H281">
        <f t="shared" si="216"/>
        <v>-3.1366995108853333</v>
      </c>
      <c r="J281">
        <f t="shared" si="217"/>
        <v>15</v>
      </c>
      <c r="M281">
        <f t="shared" si="218"/>
        <v>5.4420318775112884E-3</v>
      </c>
      <c r="N281">
        <f t="shared" si="219"/>
        <v>-1.5707963250000001</v>
      </c>
      <c r="O281">
        <f t="shared" si="220"/>
        <v>55.409125946360277</v>
      </c>
      <c r="P281">
        <f t="shared" si="221"/>
        <v>1.5527477783533461</v>
      </c>
      <c r="Q281">
        <f t="shared" si="222"/>
        <v>86.136965633832673</v>
      </c>
      <c r="R281">
        <f t="shared" si="223"/>
        <v>1.5591866484518082</v>
      </c>
      <c r="S281">
        <f t="shared" si="224"/>
        <v>0.33864966453429851</v>
      </c>
      <c r="T281">
        <f t="shared" si="225"/>
        <v>-1.2253149344800141</v>
      </c>
      <c r="U281">
        <f t="shared" si="226"/>
        <v>0.50406418521351748</v>
      </c>
      <c r="V281">
        <f t="shared" si="227"/>
        <v>-1.0424982420989581</v>
      </c>
      <c r="X281">
        <f t="shared" si="244"/>
        <v>-29.578506431569114</v>
      </c>
      <c r="Y281">
        <f t="shared" si="228"/>
        <v>-151.14968428903239</v>
      </c>
      <c r="Z281">
        <f t="shared" si="245"/>
        <v>28.850315710967607</v>
      </c>
      <c r="AC281">
        <v>1</v>
      </c>
      <c r="AD281">
        <f t="shared" si="229"/>
        <v>55.400101427160003</v>
      </c>
      <c r="AE281">
        <f t="shared" si="230"/>
        <v>-1.7491477421008449E-2</v>
      </c>
      <c r="AF281">
        <f t="shared" si="231"/>
        <v>1.0208605316175E-2</v>
      </c>
      <c r="AG281">
        <f t="shared" si="246"/>
        <v>1336.2014777775628</v>
      </c>
      <c r="AH281">
        <f t="shared" si="247"/>
        <v>-2387.411132434318</v>
      </c>
      <c r="AJ281">
        <f t="shared" si="232"/>
        <v>18000</v>
      </c>
      <c r="AK281">
        <f t="shared" si="233"/>
        <v>50011.641713880002</v>
      </c>
      <c r="AL281">
        <v>1</v>
      </c>
      <c r="AM281">
        <f t="shared" si="234"/>
        <v>86.131160729459992</v>
      </c>
      <c r="AN281">
        <f t="shared" si="248"/>
        <v>582.99291712521051</v>
      </c>
      <c r="AO281">
        <f t="shared" si="249"/>
        <v>-202.21493516826064</v>
      </c>
      <c r="AQ281">
        <f t="shared" si="235"/>
        <v>2.2276626694972834E-2</v>
      </c>
      <c r="AR281">
        <f t="shared" si="236"/>
        <v>-14.925339885631798</v>
      </c>
      <c r="AT281">
        <f t="shared" si="261"/>
        <v>-35603.156536813585</v>
      </c>
      <c r="AU281">
        <f t="shared" si="262"/>
        <v>-19996.444678078267</v>
      </c>
      <c r="AV281">
        <f t="shared" si="250"/>
        <v>-2.6298505811302633</v>
      </c>
      <c r="AW281">
        <f t="shared" si="251"/>
        <v>-997.48880858064763</v>
      </c>
      <c r="AX281">
        <f t="shared" si="252"/>
        <v>-11791.802881943897</v>
      </c>
      <c r="AY281">
        <f t="shared" si="260"/>
        <v>-1.6551871293761817</v>
      </c>
      <c r="BA281">
        <f t="shared" si="237"/>
        <v>3.4506182096649631</v>
      </c>
      <c r="BB281">
        <f t="shared" si="253"/>
        <v>10.757938197082561</v>
      </c>
      <c r="BC281">
        <f t="shared" si="254"/>
        <v>-0.97466345175408153</v>
      </c>
      <c r="BD281">
        <f t="shared" si="238"/>
        <v>-235.8441022949728</v>
      </c>
      <c r="BF281">
        <f t="shared" si="239"/>
        <v>-31.755937040055414</v>
      </c>
      <c r="BG281">
        <f t="shared" si="240"/>
        <v>-165.3583716745365</v>
      </c>
      <c r="BH281">
        <f t="shared" si="255"/>
        <v>14.6416283254635</v>
      </c>
      <c r="BI281">
        <f t="shared" si="256"/>
        <v>14.6416283254635</v>
      </c>
      <c r="BJ281">
        <f t="shared" si="241"/>
        <v>0</v>
      </c>
      <c r="BK281">
        <f t="shared" si="257"/>
        <v>0</v>
      </c>
      <c r="BM281">
        <f t="shared" si="258"/>
        <v>-42.513875237137981</v>
      </c>
      <c r="BN281">
        <f t="shared" si="242"/>
        <v>-109.51426937956371</v>
      </c>
      <c r="BQ281" s="56">
        <f t="shared" si="259"/>
        <v>27.659898997367698</v>
      </c>
      <c r="BR281" s="59"/>
      <c r="BS281" s="59"/>
      <c r="BT281" s="59">
        <v>51286.137999999999</v>
      </c>
      <c r="BU281" s="59">
        <v>1.0492999999999999</v>
      </c>
      <c r="BV281" s="59">
        <v>-137.08699999999999</v>
      </c>
      <c r="BY281" s="59"/>
      <c r="BZ281" s="59"/>
      <c r="CA281" s="59"/>
      <c r="CC281" s="59"/>
    </row>
    <row r="282" spans="1:81" x14ac:dyDescent="0.25">
      <c r="A282">
        <f t="shared" si="211"/>
        <v>340000</v>
      </c>
      <c r="B282">
        <f t="shared" si="243"/>
        <v>340</v>
      </c>
      <c r="C282">
        <f t="shared" si="212"/>
        <v>2.9919558326650666</v>
      </c>
      <c r="D282">
        <f t="shared" si="213"/>
        <v>1.2300086943723663</v>
      </c>
      <c r="F282">
        <f t="shared" si="214"/>
        <v>1.6409502137422008E-4</v>
      </c>
      <c r="G282">
        <f t="shared" si="215"/>
        <v>4.8211583778910846E-3</v>
      </c>
      <c r="H282">
        <f t="shared" si="216"/>
        <v>-3.1367714916221092</v>
      </c>
      <c r="J282">
        <f t="shared" si="217"/>
        <v>15</v>
      </c>
      <c r="M282">
        <f t="shared" si="218"/>
        <v>5.3620019969596519E-3</v>
      </c>
      <c r="N282">
        <f t="shared" si="219"/>
        <v>-1.5707963250000001</v>
      </c>
      <c r="O282">
        <f t="shared" si="220"/>
        <v>56.235860439463401</v>
      </c>
      <c r="P282">
        <f t="shared" si="221"/>
        <v>1.5530131418116082</v>
      </c>
      <c r="Q282">
        <f t="shared" si="222"/>
        <v>87.422419985598594</v>
      </c>
      <c r="R282">
        <f t="shared" si="223"/>
        <v>1.5593573640115597</v>
      </c>
      <c r="S282">
        <f t="shared" si="224"/>
        <v>0.33422953276327483</v>
      </c>
      <c r="T282">
        <f t="shared" si="225"/>
        <v>-1.2300086943723663</v>
      </c>
      <c r="U282">
        <f t="shared" si="226"/>
        <v>0.49850387252913114</v>
      </c>
      <c r="V282">
        <f t="shared" si="227"/>
        <v>-1.0489242705488067</v>
      </c>
      <c r="X282">
        <f t="shared" si="244"/>
        <v>-29.803633192694097</v>
      </c>
      <c r="Y282">
        <f t="shared" si="228"/>
        <v>-151.49700730379368</v>
      </c>
      <c r="Z282">
        <f t="shared" si="245"/>
        <v>28.50299269620632</v>
      </c>
      <c r="AC282">
        <v>1</v>
      </c>
      <c r="AD282">
        <f t="shared" si="229"/>
        <v>56.226968612640007</v>
      </c>
      <c r="AE282">
        <f t="shared" si="230"/>
        <v>-1.8017507595175557E-2</v>
      </c>
      <c r="AF282">
        <f t="shared" si="231"/>
        <v>1.0360972559699999E-2</v>
      </c>
      <c r="AG282">
        <f t="shared" si="246"/>
        <v>1306.8848951453601</v>
      </c>
      <c r="AH282">
        <f t="shared" si="247"/>
        <v>-2369.160653873259</v>
      </c>
      <c r="AJ282">
        <f t="shared" si="232"/>
        <v>18000</v>
      </c>
      <c r="AK282">
        <f t="shared" si="233"/>
        <v>50758.08412752</v>
      </c>
      <c r="AL282">
        <v>1</v>
      </c>
      <c r="AM282">
        <f t="shared" si="234"/>
        <v>87.416700441839993</v>
      </c>
      <c r="AN282">
        <f t="shared" si="248"/>
        <v>582.92438218424172</v>
      </c>
      <c r="AO282">
        <f t="shared" si="249"/>
        <v>-199.24197012450352</v>
      </c>
      <c r="AQ282">
        <f t="shared" si="235"/>
        <v>2.1626250808281122E-2</v>
      </c>
      <c r="AR282">
        <f t="shared" si="236"/>
        <v>-14.705850549631164</v>
      </c>
      <c r="AT282">
        <f t="shared" si="261"/>
        <v>-34812.259483406626</v>
      </c>
      <c r="AU282">
        <f t="shared" si="262"/>
        <v>-19270.090016083832</v>
      </c>
      <c r="AV282">
        <f t="shared" si="250"/>
        <v>-2.6360331951518088</v>
      </c>
      <c r="AW282">
        <f t="shared" si="251"/>
        <v>-941.07571008583352</v>
      </c>
      <c r="AX282">
        <f t="shared" si="252"/>
        <v>-11635.258915582102</v>
      </c>
      <c r="AY282">
        <f t="shared" si="260"/>
        <v>-1.6515020184834193</v>
      </c>
      <c r="BA282">
        <f t="shared" si="237"/>
        <v>3.4086312112543564</v>
      </c>
      <c r="BB282">
        <f t="shared" si="253"/>
        <v>10.65160032624323</v>
      </c>
      <c r="BC282">
        <f t="shared" si="254"/>
        <v>-0.98453117666838952</v>
      </c>
      <c r="BD282">
        <f t="shared" si="238"/>
        <v>-236.40948128660477</v>
      </c>
      <c r="BF282">
        <f t="shared" si="239"/>
        <v>-32.005562833115221</v>
      </c>
      <c r="BG282">
        <f t="shared" si="240"/>
        <v>-165.65894222640983</v>
      </c>
      <c r="BH282">
        <f t="shared" si="255"/>
        <v>14.341057773590165</v>
      </c>
      <c r="BI282">
        <f t="shared" si="256"/>
        <v>14.341057773590165</v>
      </c>
      <c r="BJ282">
        <f t="shared" si="241"/>
        <v>0</v>
      </c>
      <c r="BK282">
        <f t="shared" si="257"/>
        <v>0</v>
      </c>
      <c r="BM282">
        <f t="shared" si="258"/>
        <v>-42.657163159358447</v>
      </c>
      <c r="BN282">
        <f t="shared" si="242"/>
        <v>-109.24946093980508</v>
      </c>
      <c r="BQ282" s="56">
        <f t="shared" si="259"/>
        <v>27.553561126528368</v>
      </c>
      <c r="BR282" s="59"/>
      <c r="BS282" s="59"/>
      <c r="BT282" s="59">
        <v>52480.745999999999</v>
      </c>
      <c r="BU282" s="59">
        <v>1.1752400000000001</v>
      </c>
      <c r="BV282" s="59">
        <v>-136.553</v>
      </c>
      <c r="BY282" s="59"/>
      <c r="BZ282" s="59"/>
      <c r="CA282" s="59"/>
      <c r="CC282" s="59"/>
    </row>
    <row r="283" spans="1:81" x14ac:dyDescent="0.25">
      <c r="A283">
        <f t="shared" si="211"/>
        <v>345000</v>
      </c>
      <c r="B283">
        <f t="shared" si="243"/>
        <v>345</v>
      </c>
      <c r="C283">
        <f t="shared" si="212"/>
        <v>3.0310717323062439</v>
      </c>
      <c r="D283">
        <f t="shared" si="213"/>
        <v>1.2345814071620893</v>
      </c>
      <c r="F283">
        <f t="shared" si="214"/>
        <v>1.5937240678282427E-4</v>
      </c>
      <c r="G283">
        <f t="shared" si="215"/>
        <v>4.751265009679163E-3</v>
      </c>
      <c r="H283">
        <f t="shared" si="216"/>
        <v>-3.1368413849903209</v>
      </c>
      <c r="J283">
        <f t="shared" si="217"/>
        <v>15</v>
      </c>
      <c r="M283">
        <f t="shared" si="218"/>
        <v>5.2842918230906711E-3</v>
      </c>
      <c r="N283">
        <f t="shared" si="219"/>
        <v>-1.5707963250000001</v>
      </c>
      <c r="O283">
        <f t="shared" si="220"/>
        <v>57.06259877782329</v>
      </c>
      <c r="P283">
        <f t="shared" si="221"/>
        <v>1.5532708159727131</v>
      </c>
      <c r="Q283">
        <f t="shared" si="222"/>
        <v>88.707876811345884</v>
      </c>
      <c r="R283">
        <f t="shared" si="223"/>
        <v>1.5595231319323797</v>
      </c>
      <c r="S283">
        <f t="shared" si="224"/>
        <v>0.32991630958173757</v>
      </c>
      <c r="T283">
        <f t="shared" si="225"/>
        <v>-1.2345814071620893</v>
      </c>
      <c r="U283">
        <f t="shared" si="226"/>
        <v>0.49304519491408177</v>
      </c>
      <c r="V283">
        <f t="shared" si="227"/>
        <v>-1.0552098222693658</v>
      </c>
      <c r="X283">
        <f t="shared" si="244"/>
        <v>-30.026167086801937</v>
      </c>
      <c r="Y283">
        <f t="shared" si="228"/>
        <v>-151.83688604053324</v>
      </c>
      <c r="Z283">
        <f t="shared" si="245"/>
        <v>28.163113959466756</v>
      </c>
      <c r="AC283">
        <v>1</v>
      </c>
      <c r="AD283">
        <f t="shared" si="229"/>
        <v>57.053835798119998</v>
      </c>
      <c r="AE283">
        <f t="shared" si="230"/>
        <v>-1.8551330808959945E-2</v>
      </c>
      <c r="AF283">
        <f t="shared" si="231"/>
        <v>1.0513339803225E-2</v>
      </c>
      <c r="AG283">
        <f t="shared" si="246"/>
        <v>1278.4205024654611</v>
      </c>
      <c r="AH283">
        <f t="shared" si="247"/>
        <v>-2350.9562248346365</v>
      </c>
      <c r="AJ283">
        <f t="shared" si="232"/>
        <v>18000</v>
      </c>
      <c r="AK283">
        <f t="shared" si="233"/>
        <v>51504.526541160005</v>
      </c>
      <c r="AL283">
        <v>1</v>
      </c>
      <c r="AM283">
        <f t="shared" si="234"/>
        <v>88.702240154219993</v>
      </c>
      <c r="AN283">
        <f t="shared" si="248"/>
        <v>582.85880487244469</v>
      </c>
      <c r="AO283">
        <f t="shared" si="249"/>
        <v>-196.35514463722302</v>
      </c>
      <c r="AQ283">
        <f t="shared" si="235"/>
        <v>2.1003946641573953E-2</v>
      </c>
      <c r="AR283">
        <f t="shared" si="236"/>
        <v>-14.492723182686026</v>
      </c>
      <c r="AT283">
        <f t="shared" si="261"/>
        <v>-34044.905905121675</v>
      </c>
      <c r="AU283">
        <f t="shared" si="262"/>
        <v>-18577.17381240541</v>
      </c>
      <c r="AV283">
        <f t="shared" si="250"/>
        <v>-2.6420823855388109</v>
      </c>
      <c r="AW283">
        <f t="shared" si="251"/>
        <v>-887.5379977942581</v>
      </c>
      <c r="AX283">
        <f t="shared" si="252"/>
        <v>-11482.785103989918</v>
      </c>
      <c r="AY283">
        <f t="shared" si="260"/>
        <v>-1.6479358758177958</v>
      </c>
      <c r="BA283">
        <f t="shared" si="237"/>
        <v>3.3674981928984944</v>
      </c>
      <c r="BB283">
        <f t="shared" si="253"/>
        <v>10.546147426790306</v>
      </c>
      <c r="BC283">
        <f t="shared" si="254"/>
        <v>-0.99414650972101515</v>
      </c>
      <c r="BD283">
        <f t="shared" si="238"/>
        <v>-236.96039928976239</v>
      </c>
      <c r="BF283">
        <f t="shared" si="239"/>
        <v>-32.251840480166308</v>
      </c>
      <c r="BG283">
        <f t="shared" si="240"/>
        <v>-165.95186768051053</v>
      </c>
      <c r="BH283">
        <f t="shared" si="255"/>
        <v>14.048132319489469</v>
      </c>
      <c r="BI283">
        <f t="shared" si="256"/>
        <v>14.048132319489469</v>
      </c>
      <c r="BJ283">
        <f t="shared" si="241"/>
        <v>0</v>
      </c>
      <c r="BK283">
        <f t="shared" si="257"/>
        <v>0</v>
      </c>
      <c r="BM283">
        <f t="shared" si="258"/>
        <v>-42.797987906956614</v>
      </c>
      <c r="BN283">
        <f t="shared" si="242"/>
        <v>-108.99146839074814</v>
      </c>
      <c r="BQ283" s="56">
        <f t="shared" si="259"/>
        <v>27.448108227075444</v>
      </c>
      <c r="BR283" s="59"/>
      <c r="BS283" s="59"/>
      <c r="BT283" s="59">
        <v>53703.18</v>
      </c>
      <c r="BU283" s="59">
        <v>1.3152900000000001</v>
      </c>
      <c r="BV283" s="59">
        <v>-136.001</v>
      </c>
      <c r="BY283" s="59"/>
      <c r="BZ283" s="59"/>
      <c r="CA283" s="59"/>
      <c r="CC283" s="59"/>
    </row>
    <row r="284" spans="1:81" x14ac:dyDescent="0.25">
      <c r="A284">
        <f t="shared" si="211"/>
        <v>350000</v>
      </c>
      <c r="B284">
        <f t="shared" si="243"/>
        <v>350</v>
      </c>
      <c r="C284">
        <f t="shared" si="212"/>
        <v>3.0702493950634149</v>
      </c>
      <c r="D284">
        <f t="shared" si="213"/>
        <v>1.2390375117129473</v>
      </c>
      <c r="F284">
        <f t="shared" si="214"/>
        <v>1.5485077982176315E-4</v>
      </c>
      <c r="G284">
        <f t="shared" si="215"/>
        <v>4.6833694970989451E-3</v>
      </c>
      <c r="H284">
        <f t="shared" si="216"/>
        <v>-3.1369092805029011</v>
      </c>
      <c r="J284">
        <f t="shared" si="217"/>
        <v>15</v>
      </c>
      <c r="M284">
        <f t="shared" si="218"/>
        <v>5.2088019399036617E-3</v>
      </c>
      <c r="N284">
        <f t="shared" si="219"/>
        <v>-1.5707963250000001</v>
      </c>
      <c r="O284">
        <f t="shared" si="220"/>
        <v>57.889340796693496</v>
      </c>
      <c r="P284">
        <f t="shared" si="221"/>
        <v>1.5535211302439469</v>
      </c>
      <c r="Q284">
        <f t="shared" si="222"/>
        <v>89.993336005060172</v>
      </c>
      <c r="R284">
        <f t="shared" si="223"/>
        <v>1.5596841642202541</v>
      </c>
      <c r="S284">
        <f t="shared" si="224"/>
        <v>0.32570643987679881</v>
      </c>
      <c r="T284">
        <f t="shared" si="225"/>
        <v>-1.2390375117129473</v>
      </c>
      <c r="U284">
        <f t="shared" si="226"/>
        <v>0.48768612319581356</v>
      </c>
      <c r="V284">
        <f t="shared" si="227"/>
        <v>-1.061358973064642</v>
      </c>
      <c r="X284">
        <f t="shared" si="244"/>
        <v>-30.246162931077048</v>
      </c>
      <c r="Y284">
        <f t="shared" si="228"/>
        <v>-152.16952813363679</v>
      </c>
      <c r="Z284">
        <f t="shared" si="245"/>
        <v>27.830471866363212</v>
      </c>
      <c r="AC284">
        <v>1</v>
      </c>
      <c r="AD284">
        <f t="shared" si="229"/>
        <v>57.880702983600003</v>
      </c>
      <c r="AE284">
        <f t="shared" si="230"/>
        <v>-1.9092947062361636E-2</v>
      </c>
      <c r="AF284">
        <f t="shared" si="231"/>
        <v>1.066570704675E-2</v>
      </c>
      <c r="AG284">
        <f t="shared" si="246"/>
        <v>1250.7803853567536</v>
      </c>
      <c r="AH284">
        <f t="shared" si="247"/>
        <v>-2332.8114653063176</v>
      </c>
      <c r="AJ284">
        <f t="shared" si="232"/>
        <v>18000</v>
      </c>
      <c r="AK284">
        <f t="shared" si="233"/>
        <v>52250.968954800002</v>
      </c>
      <c r="AL284">
        <v>1</v>
      </c>
      <c r="AM284">
        <f t="shared" si="234"/>
        <v>89.987779866599993</v>
      </c>
      <c r="AN284">
        <f t="shared" si="248"/>
        <v>582.79601743059322</v>
      </c>
      <c r="AO284">
        <f t="shared" si="249"/>
        <v>-193.55076887538598</v>
      </c>
      <c r="AQ284">
        <f t="shared" si="235"/>
        <v>2.0408121616078335E-2</v>
      </c>
      <c r="AR284">
        <f t="shared" si="236"/>
        <v>-14.285685131254834</v>
      </c>
      <c r="AT284">
        <f t="shared" si="261"/>
        <v>-33300.283985727896</v>
      </c>
      <c r="AU284">
        <f t="shared" si="262"/>
        <v>-17915.863053647521</v>
      </c>
      <c r="AV284">
        <f t="shared" si="250"/>
        <v>-2.6480019259537326</v>
      </c>
      <c r="AW284">
        <f t="shared" si="251"/>
        <v>-836.69077666552835</v>
      </c>
      <c r="AX284">
        <f t="shared" si="252"/>
        <v>-11334.220959776716</v>
      </c>
      <c r="AY284">
        <f t="shared" si="260"/>
        <v>-1.6444825480130232</v>
      </c>
      <c r="BA284">
        <f t="shared" si="237"/>
        <v>3.3272013947302397</v>
      </c>
      <c r="BB284">
        <f t="shared" si="253"/>
        <v>10.441581788178178</v>
      </c>
      <c r="BC284">
        <f t="shared" si="254"/>
        <v>-1.0035193779407094</v>
      </c>
      <c r="BD284">
        <f t="shared" si="238"/>
        <v>-237.4974250812968</v>
      </c>
      <c r="BF284">
        <f t="shared" si="239"/>
        <v>-32.494852005628211</v>
      </c>
      <c r="BG284">
        <f t="shared" si="240"/>
        <v>-166.23746761424317</v>
      </c>
      <c r="BH284">
        <f t="shared" si="255"/>
        <v>13.762532385756828</v>
      </c>
      <c r="BI284">
        <f t="shared" si="256"/>
        <v>13.762532385756828</v>
      </c>
      <c r="BJ284">
        <f t="shared" si="241"/>
        <v>0</v>
      </c>
      <c r="BK284">
        <f t="shared" si="257"/>
        <v>0</v>
      </c>
      <c r="BM284">
        <f t="shared" si="258"/>
        <v>-42.936433793806394</v>
      </c>
      <c r="BN284">
        <f t="shared" si="242"/>
        <v>-108.74004253294635</v>
      </c>
      <c r="BQ284" s="56">
        <f t="shared" si="259"/>
        <v>27.343542588463315</v>
      </c>
      <c r="BR284" s="59"/>
      <c r="BS284" s="59"/>
      <c r="BT284" s="59">
        <v>54954.087</v>
      </c>
      <c r="BU284" s="59">
        <v>1.4637500000000001</v>
      </c>
      <c r="BV284" s="59">
        <v>-135.524</v>
      </c>
      <c r="BY284" s="59"/>
      <c r="BZ284" s="59"/>
      <c r="CA284" s="59"/>
      <c r="CC284" s="59"/>
    </row>
    <row r="285" spans="1:81" x14ac:dyDescent="0.25">
      <c r="A285">
        <f t="shared" si="211"/>
        <v>355000</v>
      </c>
      <c r="B285">
        <f t="shared" si="243"/>
        <v>355</v>
      </c>
      <c r="C285">
        <f t="shared" si="212"/>
        <v>3.1094864864029224</v>
      </c>
      <c r="D285">
        <f t="shared" si="213"/>
        <v>1.243381241899034</v>
      </c>
      <c r="F285">
        <f t="shared" si="214"/>
        <v>1.5051889469508637E-4</v>
      </c>
      <c r="G285">
        <f t="shared" si="215"/>
        <v>4.617387373943088E-3</v>
      </c>
      <c r="H285">
        <f t="shared" si="216"/>
        <v>-3.136975262626057</v>
      </c>
      <c r="J285">
        <f t="shared" si="217"/>
        <v>15</v>
      </c>
      <c r="M285">
        <f t="shared" si="218"/>
        <v>5.1354385322993842E-3</v>
      </c>
      <c r="N285">
        <f t="shared" si="219"/>
        <v>-1.5707963250000001</v>
      </c>
      <c r="O285">
        <f t="shared" si="220"/>
        <v>58.716086340605614</v>
      </c>
      <c r="P285">
        <f t="shared" si="221"/>
        <v>1.5537643954836742</v>
      </c>
      <c r="Q285">
        <f t="shared" si="222"/>
        <v>91.278797466698762</v>
      </c>
      <c r="R285">
        <f t="shared" si="223"/>
        <v>1.5598406609396285</v>
      </c>
      <c r="S285">
        <f t="shared" si="224"/>
        <v>0.32159650938274631</v>
      </c>
      <c r="T285">
        <f t="shared" si="225"/>
        <v>-1.243381241899034</v>
      </c>
      <c r="U285">
        <f t="shared" si="226"/>
        <v>0.48242464099672533</v>
      </c>
      <c r="V285">
        <f t="shared" si="227"/>
        <v>-1.0673756650407624</v>
      </c>
      <c r="X285">
        <f t="shared" si="244"/>
        <v>-30.463673847486092</v>
      </c>
      <c r="Y285">
        <f t="shared" si="228"/>
        <v>-152.49513501498447</v>
      </c>
      <c r="Z285">
        <f t="shared" si="245"/>
        <v>27.50486498501553</v>
      </c>
      <c r="AC285">
        <v>1</v>
      </c>
      <c r="AD285">
        <f t="shared" si="229"/>
        <v>58.707570169080007</v>
      </c>
      <c r="AE285">
        <f t="shared" si="230"/>
        <v>-1.9642356355380614E-2</v>
      </c>
      <c r="AF285">
        <f t="shared" si="231"/>
        <v>1.0818074290274999E-2</v>
      </c>
      <c r="AG285">
        <f t="shared" si="246"/>
        <v>1223.9374692199522</v>
      </c>
      <c r="AH285">
        <f t="shared" si="247"/>
        <v>-2314.7387654410759</v>
      </c>
      <c r="AJ285">
        <f t="shared" si="232"/>
        <v>18000</v>
      </c>
      <c r="AK285">
        <f t="shared" si="233"/>
        <v>52997.41136844</v>
      </c>
      <c r="AL285">
        <v>1</v>
      </c>
      <c r="AM285">
        <f t="shared" si="234"/>
        <v>91.273319578979994</v>
      </c>
      <c r="AN285">
        <f t="shared" si="248"/>
        <v>582.73586382680867</v>
      </c>
      <c r="AO285">
        <f t="shared" si="249"/>
        <v>-190.8253607572781</v>
      </c>
      <c r="AQ285">
        <f t="shared" si="235"/>
        <v>1.9837294510425488E-2</v>
      </c>
      <c r="AR285">
        <f t="shared" si="236"/>
        <v>-14.084479102402097</v>
      </c>
      <c r="AT285">
        <f t="shared" si="261"/>
        <v>-32577.6101613356</v>
      </c>
      <c r="AU285">
        <f t="shared" si="262"/>
        <v>-17284.439862480082</v>
      </c>
      <c r="AV285">
        <f t="shared" si="250"/>
        <v>-2.653795473373985</v>
      </c>
      <c r="AW285">
        <f t="shared" si="251"/>
        <v>-788.3632633217868</v>
      </c>
      <c r="AX285">
        <f t="shared" si="252"/>
        <v>-11189.41472952285</v>
      </c>
      <c r="AY285">
        <f t="shared" si="260"/>
        <v>-1.6411362558109408</v>
      </c>
      <c r="BA285">
        <f t="shared" si="237"/>
        <v>3.2877228873024551</v>
      </c>
      <c r="BB285">
        <f t="shared" si="253"/>
        <v>10.337904099579347</v>
      </c>
      <c r="BC285">
        <f t="shared" si="254"/>
        <v>-1.0126592175630442</v>
      </c>
      <c r="BD285">
        <f t="shared" si="238"/>
        <v>-238.0210993176814</v>
      </c>
      <c r="BF285">
        <f t="shared" si="239"/>
        <v>-32.734676834339353</v>
      </c>
      <c r="BG285">
        <f t="shared" si="240"/>
        <v>-166.51604494052151</v>
      </c>
      <c r="BH285">
        <f t="shared" si="255"/>
        <v>13.48395505947849</v>
      </c>
      <c r="BI285">
        <f t="shared" si="256"/>
        <v>13.48395505947849</v>
      </c>
      <c r="BJ285">
        <f t="shared" si="241"/>
        <v>0</v>
      </c>
      <c r="BK285">
        <f t="shared" si="257"/>
        <v>0</v>
      </c>
      <c r="BM285">
        <f t="shared" si="258"/>
        <v>-43.072580933918701</v>
      </c>
      <c r="BN285">
        <f t="shared" si="242"/>
        <v>-108.49494562284009</v>
      </c>
      <c r="BQ285" s="56">
        <f t="shared" si="259"/>
        <v>27.239864899864482</v>
      </c>
      <c r="BR285" s="59"/>
      <c r="BS285" s="59"/>
      <c r="BT285" s="59">
        <v>56234.133000000002</v>
      </c>
      <c r="BU285" s="59">
        <v>1.62296</v>
      </c>
      <c r="BV285" s="59">
        <v>-134.983</v>
      </c>
      <c r="BY285" s="59"/>
      <c r="BZ285" s="59"/>
      <c r="CA285" s="59"/>
      <c r="CC285" s="59"/>
    </row>
    <row r="286" spans="1:81" x14ac:dyDescent="0.25">
      <c r="A286">
        <f t="shared" si="211"/>
        <v>360000</v>
      </c>
      <c r="B286">
        <f t="shared" si="243"/>
        <v>360</v>
      </c>
      <c r="C286">
        <f t="shared" si="212"/>
        <v>3.148780784699269</v>
      </c>
      <c r="D286">
        <f t="shared" si="213"/>
        <v>1.2476166376989333</v>
      </c>
      <c r="F286">
        <f t="shared" si="214"/>
        <v>1.4636628131941412E-4</v>
      </c>
      <c r="G286">
        <f t="shared" si="215"/>
        <v>4.5532388699568056E-3</v>
      </c>
      <c r="H286">
        <f t="shared" si="216"/>
        <v>-3.1370394111300435</v>
      </c>
      <c r="J286">
        <f t="shared" si="217"/>
        <v>15</v>
      </c>
      <c r="M286">
        <f t="shared" si="218"/>
        <v>5.0641129971285602E-3</v>
      </c>
      <c r="N286">
        <f t="shared" si="219"/>
        <v>-1.5707963250000001</v>
      </c>
      <c r="O286">
        <f t="shared" si="220"/>
        <v>59.542835262725184</v>
      </c>
      <c r="P286">
        <f t="shared" si="221"/>
        <v>1.5540009052887047</v>
      </c>
      <c r="Q286">
        <f t="shared" si="222"/>
        <v>92.564261101776097</v>
      </c>
      <c r="R286">
        <f t="shared" si="223"/>
        <v>1.5599928110424821</v>
      </c>
      <c r="S286">
        <f t="shared" si="224"/>
        <v>0.31758323883938061</v>
      </c>
      <c r="T286">
        <f t="shared" si="225"/>
        <v>-1.2476166376989333</v>
      </c>
      <c r="U286">
        <f t="shared" si="226"/>
        <v>0.47725874836747312</v>
      </c>
      <c r="V286">
        <f t="shared" si="227"/>
        <v>-1.0732637106756504</v>
      </c>
      <c r="X286">
        <f t="shared" si="244"/>
        <v>-30.678751338740831</v>
      </c>
      <c r="Y286">
        <f t="shared" si="228"/>
        <v>-152.81390204596104</v>
      </c>
      <c r="Z286">
        <f t="shared" si="245"/>
        <v>27.186097954038956</v>
      </c>
      <c r="AC286">
        <v>1</v>
      </c>
      <c r="AD286">
        <f t="shared" si="229"/>
        <v>59.534437354559998</v>
      </c>
      <c r="AE286">
        <f t="shared" si="230"/>
        <v>-2.0199558688016882E-2</v>
      </c>
      <c r="AF286">
        <f t="shared" si="231"/>
        <v>1.09704415338E-2</v>
      </c>
      <c r="AG286">
        <f t="shared" si="246"/>
        <v>1197.8655129578565</v>
      </c>
      <c r="AH286">
        <f t="shared" si="247"/>
        <v>-2296.7493743723571</v>
      </c>
      <c r="AJ286">
        <f t="shared" si="232"/>
        <v>18000</v>
      </c>
      <c r="AK286">
        <f t="shared" si="233"/>
        <v>53743.853782080005</v>
      </c>
      <c r="AL286">
        <v>1</v>
      </c>
      <c r="AM286">
        <f t="shared" si="234"/>
        <v>92.558859291359994</v>
      </c>
      <c r="AN286">
        <f t="shared" si="248"/>
        <v>582.67819878640501</v>
      </c>
      <c r="AO286">
        <f t="shared" si="249"/>
        <v>-188.17563153394903</v>
      </c>
      <c r="AQ286">
        <f t="shared" si="235"/>
        <v>1.9290086245975606E-2</v>
      </c>
      <c r="AR286">
        <f t="shared" si="236"/>
        <v>-13.888862097102436</v>
      </c>
      <c r="AT286">
        <f t="shared" si="261"/>
        <v>-31876.128403207927</v>
      </c>
      <c r="AU286">
        <f t="shared" si="262"/>
        <v>-16681.293413863572</v>
      </c>
      <c r="AV286">
        <f t="shared" si="250"/>
        <v>-2.6594665709809102</v>
      </c>
      <c r="AW286">
        <f t="shared" si="251"/>
        <v>-742.39755122379302</v>
      </c>
      <c r="AX286">
        <f t="shared" si="252"/>
        <v>-11048.222775697745</v>
      </c>
      <c r="AY286">
        <f t="shared" si="260"/>
        <v>-1.6378915689050533</v>
      </c>
      <c r="BA286">
        <f t="shared" si="237"/>
        <v>3.2490446655459126</v>
      </c>
      <c r="BB286">
        <f t="shared" si="253"/>
        <v>10.235113635128561</v>
      </c>
      <c r="BC286">
        <f t="shared" si="254"/>
        <v>-1.0215750020758569</v>
      </c>
      <c r="BD286">
        <f t="shared" si="238"/>
        <v>-238.5319361418974</v>
      </c>
      <c r="BF286">
        <f t="shared" si="239"/>
        <v>-32.971391873978916</v>
      </c>
      <c r="BG286">
        <f t="shared" si="240"/>
        <v>-166.78788689910323</v>
      </c>
      <c r="BH286">
        <f t="shared" si="255"/>
        <v>13.212113100896772</v>
      </c>
      <c r="BI286">
        <f t="shared" si="256"/>
        <v>13.212113100896772</v>
      </c>
      <c r="BJ286">
        <f t="shared" si="241"/>
        <v>0</v>
      </c>
      <c r="BK286">
        <f t="shared" si="257"/>
        <v>0</v>
      </c>
      <c r="BM286">
        <f t="shared" si="258"/>
        <v>-43.20650550910748</v>
      </c>
      <c r="BN286">
        <f t="shared" si="242"/>
        <v>-108.25595075720584</v>
      </c>
      <c r="BQ286" s="56">
        <f t="shared" si="259"/>
        <v>27.137074435413698</v>
      </c>
      <c r="BR286" s="59"/>
      <c r="BS286" s="59"/>
      <c r="BT286" s="59">
        <v>57543.993999999999</v>
      </c>
      <c r="BU286" s="59">
        <v>1.78169</v>
      </c>
      <c r="BV286" s="59">
        <v>-134.52199999999999</v>
      </c>
      <c r="BY286" s="59"/>
      <c r="BZ286" s="59"/>
      <c r="CA286" s="59"/>
      <c r="CC286" s="59"/>
    </row>
    <row r="287" spans="1:81" x14ac:dyDescent="0.25">
      <c r="A287">
        <f t="shared" si="211"/>
        <v>365000</v>
      </c>
      <c r="B287">
        <f t="shared" si="243"/>
        <v>365</v>
      </c>
      <c r="C287">
        <f t="shared" si="212"/>
        <v>3.1881301746939585</v>
      </c>
      <c r="D287">
        <f t="shared" si="213"/>
        <v>1.2517475556238868</v>
      </c>
      <c r="F287">
        <f t="shared" si="214"/>
        <v>1.4238318198735986E-4</v>
      </c>
      <c r="G287">
        <f t="shared" si="215"/>
        <v>4.4908485889246447E-3</v>
      </c>
      <c r="H287">
        <f t="shared" si="216"/>
        <v>-3.1371018014110756</v>
      </c>
      <c r="J287">
        <f t="shared" si="217"/>
        <v>15</v>
      </c>
      <c r="M287">
        <f t="shared" si="218"/>
        <v>4.9947415862089907E-3</v>
      </c>
      <c r="N287">
        <f t="shared" si="219"/>
        <v>-1.5707963250000001</v>
      </c>
      <c r="O287">
        <f t="shared" si="220"/>
        <v>60.369587424260686</v>
      </c>
      <c r="P287">
        <f t="shared" si="221"/>
        <v>1.5542309371759193</v>
      </c>
      <c r="Q287">
        <f t="shared" si="222"/>
        <v>93.849726820983108</v>
      </c>
      <c r="R287">
        <f t="shared" si="223"/>
        <v>1.5601407931292759</v>
      </c>
      <c r="S287">
        <f t="shared" si="224"/>
        <v>0.31366347834149971</v>
      </c>
      <c r="T287">
        <f t="shared" si="225"/>
        <v>-1.2517475556238868</v>
      </c>
      <c r="U287">
        <f t="shared" si="226"/>
        <v>0.47218646494994859</v>
      </c>
      <c r="V287">
        <f t="shared" si="227"/>
        <v>-1.0790267968509715</v>
      </c>
      <c r="X287">
        <f t="shared" si="244"/>
        <v>-30.891445359161736</v>
      </c>
      <c r="Y287">
        <f t="shared" si="228"/>
        <v>-153.12601865561192</v>
      </c>
      <c r="Z287">
        <f t="shared" si="245"/>
        <v>26.873981344388085</v>
      </c>
      <c r="AC287">
        <v>1</v>
      </c>
      <c r="AD287">
        <f t="shared" si="229"/>
        <v>60.361304540040003</v>
      </c>
      <c r="AE287">
        <f t="shared" si="230"/>
        <v>-2.0764554060270442E-2</v>
      </c>
      <c r="AF287">
        <f t="shared" si="231"/>
        <v>1.1122808777325001E-2</v>
      </c>
      <c r="AG287">
        <f t="shared" si="246"/>
        <v>1172.5390998186992</v>
      </c>
      <c r="AH287">
        <f t="shared" si="247"/>
        <v>-2278.8534832711694</v>
      </c>
      <c r="AJ287">
        <f t="shared" si="232"/>
        <v>18000</v>
      </c>
      <c r="AK287">
        <f t="shared" si="233"/>
        <v>54490.296195720002</v>
      </c>
      <c r="AL287">
        <v>1</v>
      </c>
      <c r="AM287">
        <f t="shared" si="234"/>
        <v>93.844399003739994</v>
      </c>
      <c r="AN287">
        <f t="shared" si="248"/>
        <v>582.62288691408833</v>
      </c>
      <c r="AO287">
        <f t="shared" si="249"/>
        <v>-185.59847255659631</v>
      </c>
      <c r="AQ287">
        <f t="shared" si="235"/>
        <v>1.8765211549612405E-2</v>
      </c>
      <c r="AR287">
        <f t="shared" si="236"/>
        <v>-13.698604431217055</v>
      </c>
      <c r="AT287">
        <f t="shared" si="261"/>
        <v>-31195.109479774572</v>
      </c>
      <c r="AU287">
        <f t="shared" si="262"/>
        <v>-16104.912476255846</v>
      </c>
      <c r="AV287">
        <f t="shared" si="250"/>
        <v>-2.6650186511080061</v>
      </c>
      <c r="AW287">
        <f t="shared" si="251"/>
        <v>-698.64749710190426</v>
      </c>
      <c r="AX287">
        <f t="shared" si="252"/>
        <v>-10910.509012451761</v>
      </c>
      <c r="AY287">
        <f t="shared" si="260"/>
        <v>-1.6347433825586983</v>
      </c>
      <c r="BA287">
        <f t="shared" si="237"/>
        <v>3.21114872877473</v>
      </c>
      <c r="BB287">
        <f t="shared" si="253"/>
        <v>10.13320841958484</v>
      </c>
      <c r="BC287">
        <f t="shared" si="254"/>
        <v>-1.0302752685493077</v>
      </c>
      <c r="BD287">
        <f t="shared" si="238"/>
        <v>-239.0304246920349</v>
      </c>
      <c r="BF287">
        <f t="shared" si="239"/>
        <v>-33.205071596669846</v>
      </c>
      <c r="BG287">
        <f t="shared" si="240"/>
        <v>-167.05326598614536</v>
      </c>
      <c r="BH287">
        <f t="shared" si="255"/>
        <v>12.946734013854638</v>
      </c>
      <c r="BI287">
        <f t="shared" si="256"/>
        <v>12.946734013854638</v>
      </c>
      <c r="BJ287">
        <f t="shared" si="241"/>
        <v>0</v>
      </c>
      <c r="BK287">
        <f t="shared" si="257"/>
        <v>0</v>
      </c>
      <c r="BM287">
        <f t="shared" si="258"/>
        <v>-43.338280016254693</v>
      </c>
      <c r="BN287">
        <f t="shared" si="242"/>
        <v>-108.02284129411046</v>
      </c>
      <c r="BQ287" s="56">
        <f t="shared" si="259"/>
        <v>27.035169219869978</v>
      </c>
      <c r="BR287" s="59"/>
      <c r="BS287" s="59"/>
      <c r="BT287" s="59">
        <v>58884.366000000002</v>
      </c>
      <c r="BU287" s="59">
        <v>1.9421999999999999</v>
      </c>
      <c r="BV287" s="59">
        <v>-134.059</v>
      </c>
      <c r="BY287" s="59"/>
      <c r="BZ287" s="59"/>
      <c r="CA287" s="59"/>
      <c r="CC287" s="59"/>
    </row>
    <row r="288" spans="1:81" x14ac:dyDescent="0.25">
      <c r="A288">
        <f t="shared" si="211"/>
        <v>370000</v>
      </c>
      <c r="B288">
        <f t="shared" si="243"/>
        <v>370</v>
      </c>
      <c r="C288">
        <f t="shared" si="212"/>
        <v>3.2275326413888905</v>
      </c>
      <c r="D288">
        <f t="shared" si="213"/>
        <v>1.2557776785218453</v>
      </c>
      <c r="F288">
        <f t="shared" si="214"/>
        <v>1.3856049398341922E-4</v>
      </c>
      <c r="G288">
        <f t="shared" si="215"/>
        <v>4.4301452128836152E-3</v>
      </c>
      <c r="H288">
        <f t="shared" si="216"/>
        <v>-3.1371625047871166</v>
      </c>
      <c r="J288">
        <f t="shared" si="217"/>
        <v>15</v>
      </c>
      <c r="M288">
        <f t="shared" si="218"/>
        <v>4.9272450782872476E-3</v>
      </c>
      <c r="N288">
        <f t="shared" si="219"/>
        <v>-1.5707963250000001</v>
      </c>
      <c r="O288">
        <f t="shared" si="220"/>
        <v>61.196342693920251</v>
      </c>
      <c r="P288">
        <f t="shared" si="221"/>
        <v>1.554454753668151</v>
      </c>
      <c r="Q288">
        <f t="shared" si="222"/>
        <v>95.135194539837599</v>
      </c>
      <c r="R288">
        <f t="shared" si="223"/>
        <v>1.5602847761482204</v>
      </c>
      <c r="S288">
        <f t="shared" si="224"/>
        <v>0.30983420188422151</v>
      </c>
      <c r="T288">
        <f t="shared" si="225"/>
        <v>-1.2557776785218453</v>
      </c>
      <c r="U288">
        <f t="shared" si="226"/>
        <v>0.46720583271545263</v>
      </c>
      <c r="V288">
        <f t="shared" si="227"/>
        <v>-1.0846684888335012</v>
      </c>
      <c r="X288">
        <f t="shared" si="244"/>
        <v>-31.101804380921454</v>
      </c>
      <c r="Y288">
        <f t="shared" si="228"/>
        <v>-153.43166848342489</v>
      </c>
      <c r="Z288">
        <f t="shared" si="245"/>
        <v>26.568331516575114</v>
      </c>
      <c r="AC288">
        <v>1</v>
      </c>
      <c r="AD288">
        <f t="shared" si="229"/>
        <v>61.188171725520007</v>
      </c>
      <c r="AE288">
        <f t="shared" si="230"/>
        <v>-2.133734247214129E-2</v>
      </c>
      <c r="AF288">
        <f t="shared" si="231"/>
        <v>1.127517602085E-2</v>
      </c>
      <c r="AG288">
        <f t="shared" si="246"/>
        <v>1147.9336258228336</v>
      </c>
      <c r="AH288">
        <f t="shared" si="247"/>
        <v>-2261.0603029456561</v>
      </c>
      <c r="AJ288">
        <f t="shared" si="232"/>
        <v>18000</v>
      </c>
      <c r="AK288">
        <f t="shared" si="233"/>
        <v>55236.738609360007</v>
      </c>
      <c r="AL288">
        <v>1</v>
      </c>
      <c r="AM288">
        <f t="shared" si="234"/>
        <v>95.129938716119995</v>
      </c>
      <c r="AN288">
        <f t="shared" si="248"/>
        <v>582.56980189860019</v>
      </c>
      <c r="AO288">
        <f t="shared" si="249"/>
        <v>-183.09094311599694</v>
      </c>
      <c r="AQ288">
        <f t="shared" si="235"/>
        <v>1.8261471399796569E-2</v>
      </c>
      <c r="AR288">
        <f t="shared" si="236"/>
        <v>-13.51348883584946</v>
      </c>
      <c r="AT288">
        <f t="shared" si="261"/>
        <v>-30533.850203961691</v>
      </c>
      <c r="AU288">
        <f t="shared" si="262"/>
        <v>-15553.87852490851</v>
      </c>
      <c r="AV288">
        <f t="shared" si="250"/>
        <v>-2.6704550382263812</v>
      </c>
      <c r="AW288">
        <f t="shared" si="251"/>
        <v>-656.97771546657191</v>
      </c>
      <c r="AX288">
        <f t="shared" si="252"/>
        <v>-10776.144389774883</v>
      </c>
      <c r="AY288">
        <f t="shared" si="260"/>
        <v>-1.6316868958760244</v>
      </c>
      <c r="BA288">
        <f t="shared" si="237"/>
        <v>3.1740171485412159</v>
      </c>
      <c r="BB288">
        <f t="shared" si="253"/>
        <v>10.032185376522172</v>
      </c>
      <c r="BC288">
        <f t="shared" si="254"/>
        <v>-1.0387681423503567</v>
      </c>
      <c r="BD288">
        <f t="shared" si="238"/>
        <v>-239.51703051732827</v>
      </c>
      <c r="BF288">
        <f t="shared" si="239"/>
        <v>-33.435788119438698</v>
      </c>
      <c r="BG288">
        <f t="shared" si="240"/>
        <v>-167.31244082545615</v>
      </c>
      <c r="BH288">
        <f t="shared" si="255"/>
        <v>12.68755917454385</v>
      </c>
      <c r="BI288">
        <f t="shared" si="256"/>
        <v>12.68755917454385</v>
      </c>
      <c r="BJ288">
        <f t="shared" si="241"/>
        <v>0</v>
      </c>
      <c r="BK288">
        <f t="shared" si="257"/>
        <v>0</v>
      </c>
      <c r="BM288">
        <f t="shared" si="258"/>
        <v>-43.467973495960869</v>
      </c>
      <c r="BN288">
        <f t="shared" si="242"/>
        <v>-107.7954103081279</v>
      </c>
      <c r="BQ288" s="56">
        <f t="shared" si="259"/>
        <v>26.934146176807307</v>
      </c>
      <c r="BR288" s="59"/>
      <c r="BS288" s="59"/>
      <c r="BT288" s="59">
        <v>60255.959000000003</v>
      </c>
      <c r="BU288" s="59">
        <v>2.1075200000000001</v>
      </c>
      <c r="BV288" s="59">
        <v>-133.65100000000001</v>
      </c>
      <c r="BY288" s="59"/>
      <c r="BZ288" s="59"/>
      <c r="CA288" s="59"/>
      <c r="CC288" s="59"/>
    </row>
    <row r="289" spans="1:81" x14ac:dyDescent="0.25">
      <c r="A289">
        <f t="shared" si="211"/>
        <v>375000</v>
      </c>
      <c r="B289">
        <f t="shared" si="243"/>
        <v>375</v>
      </c>
      <c r="C289">
        <f t="shared" si="212"/>
        <v>3.2669862643422913</v>
      </c>
      <c r="D289">
        <f t="shared" si="213"/>
        <v>1.2597105247967653</v>
      </c>
      <c r="F289">
        <f t="shared" si="214"/>
        <v>1.3488971752143963E-4</v>
      </c>
      <c r="G289">
        <f t="shared" si="215"/>
        <v>4.3710612300215624E-3</v>
      </c>
      <c r="H289">
        <f t="shared" si="216"/>
        <v>-3.1372215887699788</v>
      </c>
      <c r="J289">
        <f t="shared" si="217"/>
        <v>15</v>
      </c>
      <c r="M289">
        <f t="shared" si="218"/>
        <v>4.8615484772434178E-3</v>
      </c>
      <c r="N289">
        <f t="shared" si="219"/>
        <v>-1.5707963250000001</v>
      </c>
      <c r="O289">
        <f t="shared" si="220"/>
        <v>62.023100947411884</v>
      </c>
      <c r="P289">
        <f t="shared" si="221"/>
        <v>1.5546726032932496</v>
      </c>
      <c r="Q289">
        <f t="shared" si="222"/>
        <v>96.420664178362458</v>
      </c>
      <c r="R289">
        <f t="shared" si="223"/>
        <v>1.5604249200386147</v>
      </c>
      <c r="S289">
        <f t="shared" si="224"/>
        <v>0.30609250210646971</v>
      </c>
      <c r="T289">
        <f t="shared" si="225"/>
        <v>-1.259710524796765</v>
      </c>
      <c r="U289">
        <f t="shared" si="226"/>
        <v>0.46231491831969479</v>
      </c>
      <c r="V289">
        <f t="shared" si="227"/>
        <v>-1.090192234195172</v>
      </c>
      <c r="X289">
        <f t="shared" si="244"/>
        <v>-31.309875456092303</v>
      </c>
      <c r="Y289">
        <f t="shared" si="228"/>
        <v>-153.73102952541967</v>
      </c>
      <c r="Z289">
        <f t="shared" si="245"/>
        <v>26.268970474580328</v>
      </c>
      <c r="AC289">
        <v>1</v>
      </c>
      <c r="AD289">
        <f t="shared" si="229"/>
        <v>62.015038910999998</v>
      </c>
      <c r="AE289">
        <f t="shared" si="230"/>
        <v>-2.1917923923629432E-2</v>
      </c>
      <c r="AF289">
        <f t="shared" si="231"/>
        <v>1.1427543264374999E-2</v>
      </c>
      <c r="AG289">
        <f t="shared" si="246"/>
        <v>1124.0252861788433</v>
      </c>
      <c r="AH289">
        <f t="shared" si="247"/>
        <v>-2243.378136280965</v>
      </c>
      <c r="AJ289">
        <f t="shared" si="232"/>
        <v>18000</v>
      </c>
      <c r="AK289">
        <f t="shared" si="233"/>
        <v>55983.181023000005</v>
      </c>
      <c r="AL289">
        <v>1</v>
      </c>
      <c r="AM289">
        <f t="shared" si="234"/>
        <v>96.415478428499995</v>
      </c>
      <c r="AN289">
        <f t="shared" si="248"/>
        <v>582.51882579106973</v>
      </c>
      <c r="AO289">
        <f t="shared" si="249"/>
        <v>-180.65025925402034</v>
      </c>
      <c r="AQ289">
        <f t="shared" si="235"/>
        <v>1.7777746172895691E-2</v>
      </c>
      <c r="AR289">
        <f t="shared" si="236"/>
        <v>-13.333309629671769</v>
      </c>
      <c r="AT289">
        <f t="shared" si="261"/>
        <v>-29891.672671240492</v>
      </c>
      <c r="AU289">
        <f t="shared" si="262"/>
        <v>-15026.859379279565</v>
      </c>
      <c r="AV289">
        <f t="shared" si="250"/>
        <v>-2.6757789519485047</v>
      </c>
      <c r="AW289">
        <f t="shared" si="251"/>
        <v>-617.2626695919198</v>
      </c>
      <c r="AX289">
        <f t="shared" si="252"/>
        <v>-10645.006421150547</v>
      </c>
      <c r="AY289">
        <f t="shared" si="260"/>
        <v>-1.6287175916106464</v>
      </c>
      <c r="BA289">
        <f t="shared" si="237"/>
        <v>3.1376321259154856</v>
      </c>
      <c r="BB289">
        <f t="shared" si="253"/>
        <v>9.9320404609233996</v>
      </c>
      <c r="BC289">
        <f t="shared" si="254"/>
        <v>-1.0470613603378582</v>
      </c>
      <c r="BD289">
        <f t="shared" si="238"/>
        <v>-239.99219690713704</v>
      </c>
      <c r="BF289">
        <f t="shared" si="239"/>
        <v>-33.663611283268878</v>
      </c>
      <c r="BG289">
        <f t="shared" si="240"/>
        <v>-167.56565698483948</v>
      </c>
      <c r="BH289">
        <f t="shared" si="255"/>
        <v>12.434343015160522</v>
      </c>
      <c r="BI289">
        <f t="shared" si="256"/>
        <v>12.434343015160522</v>
      </c>
      <c r="BJ289">
        <f t="shared" si="241"/>
        <v>0</v>
      </c>
      <c r="BK289">
        <f t="shared" si="257"/>
        <v>0</v>
      </c>
      <c r="BM289">
        <f t="shared" si="258"/>
        <v>-43.595651744192274</v>
      </c>
      <c r="BN289">
        <f t="shared" si="242"/>
        <v>-107.57346007770245</v>
      </c>
      <c r="BQ289" s="56">
        <f t="shared" si="259"/>
        <v>26.834001261208535</v>
      </c>
      <c r="BR289" s="59"/>
      <c r="BS289" s="59"/>
      <c r="BT289" s="59">
        <v>61659.5</v>
      </c>
      <c r="BU289" s="59">
        <v>2.2781099999999999</v>
      </c>
      <c r="BV289" s="59">
        <v>-133.24799999999999</v>
      </c>
      <c r="BY289" s="59"/>
      <c r="BZ289" s="59"/>
      <c r="CA289" s="59"/>
      <c r="CC289" s="59"/>
    </row>
    <row r="290" spans="1:81" x14ac:dyDescent="0.25">
      <c r="A290">
        <f t="shared" si="211"/>
        <v>380000</v>
      </c>
      <c r="B290">
        <f t="shared" si="243"/>
        <v>380</v>
      </c>
      <c r="C290">
        <f t="shared" si="212"/>
        <v>3.3064892123376839</v>
      </c>
      <c r="D290">
        <f t="shared" si="213"/>
        <v>1.263549457080106</v>
      </c>
      <c r="F290">
        <f t="shared" si="214"/>
        <v>1.3136290844702683E-4</v>
      </c>
      <c r="G290">
        <f t="shared" si="215"/>
        <v>4.3135326840769506E-3</v>
      </c>
      <c r="H290">
        <f t="shared" si="216"/>
        <v>-3.1372791173159231</v>
      </c>
      <c r="J290">
        <f t="shared" si="217"/>
        <v>15</v>
      </c>
      <c r="M290">
        <f t="shared" si="218"/>
        <v>4.7975807341217938E-3</v>
      </c>
      <c r="N290">
        <f t="shared" si="219"/>
        <v>-1.5707963250000001</v>
      </c>
      <c r="O290">
        <f t="shared" si="220"/>
        <v>62.849862066983171</v>
      </c>
      <c r="P290">
        <f t="shared" si="221"/>
        <v>1.5548847215043218</v>
      </c>
      <c r="Q290">
        <f t="shared" si="222"/>
        <v>97.7061356607893</v>
      </c>
      <c r="R290">
        <f t="shared" si="223"/>
        <v>1.5605613763234096</v>
      </c>
      <c r="S290">
        <f t="shared" si="224"/>
        <v>0.30243558523301556</v>
      </c>
      <c r="T290">
        <f t="shared" si="225"/>
        <v>-1.263549457080106</v>
      </c>
      <c r="U290">
        <f t="shared" si="226"/>
        <v>0.45751181511264821</v>
      </c>
      <c r="V290">
        <f t="shared" si="227"/>
        <v>-1.0956013666629092</v>
      </c>
      <c r="X290">
        <f t="shared" si="244"/>
        <v>-31.515704274873958</v>
      </c>
      <c r="Y290">
        <f t="shared" si="228"/>
        <v>-154.02427428240833</v>
      </c>
      <c r="Z290">
        <f t="shared" si="245"/>
        <v>25.975725717591672</v>
      </c>
      <c r="AC290">
        <v>1</v>
      </c>
      <c r="AD290">
        <f t="shared" si="229"/>
        <v>62.841906096480002</v>
      </c>
      <c r="AE290">
        <f t="shared" si="230"/>
        <v>-2.2506298414734862E-2</v>
      </c>
      <c r="AF290">
        <f t="shared" si="231"/>
        <v>1.15799105079E-2</v>
      </c>
      <c r="AG290">
        <f t="shared" si="246"/>
        <v>1100.7910600465366</v>
      </c>
      <c r="AH290">
        <f t="shared" si="247"/>
        <v>-2225.8144458107627</v>
      </c>
      <c r="AJ290">
        <f t="shared" si="232"/>
        <v>18000</v>
      </c>
      <c r="AK290">
        <f t="shared" si="233"/>
        <v>56729.623436640002</v>
      </c>
      <c r="AL290">
        <v>1</v>
      </c>
      <c r="AM290">
        <f t="shared" si="234"/>
        <v>97.701018140879995</v>
      </c>
      <c r="AN290">
        <f t="shared" si="248"/>
        <v>582.46984834937359</v>
      </c>
      <c r="AO290">
        <f t="shared" si="249"/>
        <v>-178.27378345776719</v>
      </c>
      <c r="AQ290">
        <f t="shared" si="235"/>
        <v>1.7312989416569571E-2</v>
      </c>
      <c r="AR290">
        <f t="shared" si="236"/>
        <v>-13.157871956592873</v>
      </c>
      <c r="AT290">
        <f t="shared" si="261"/>
        <v>-29267.923493140297</v>
      </c>
      <c r="AU290">
        <f t="shared" si="262"/>
        <v>-14522.603320998034</v>
      </c>
      <c r="AV290">
        <f t="shared" si="250"/>
        <v>-2.6809935100340381</v>
      </c>
      <c r="AW290">
        <f t="shared" si="251"/>
        <v>-579.3858487315847</v>
      </c>
      <c r="AX290">
        <f t="shared" si="252"/>
        <v>-10516.978750387867</v>
      </c>
      <c r="AY290">
        <f t="shared" si="260"/>
        <v>-1.625831217403563</v>
      </c>
      <c r="BA290">
        <f t="shared" si="237"/>
        <v>3.1019760395670208</v>
      </c>
      <c r="BB290">
        <f t="shared" si="253"/>
        <v>9.8327687778430466</v>
      </c>
      <c r="BC290">
        <f t="shared" si="254"/>
        <v>-1.0551622926304751</v>
      </c>
      <c r="BD290">
        <f t="shared" si="238"/>
        <v>-240.4563461381556</v>
      </c>
      <c r="BF290">
        <f t="shared" si="239"/>
        <v>-33.888608730536752</v>
      </c>
      <c r="BG290">
        <f t="shared" si="240"/>
        <v>-167.81314774082264</v>
      </c>
      <c r="BH290">
        <f t="shared" si="255"/>
        <v>12.186852259177357</v>
      </c>
      <c r="BI290">
        <f t="shared" si="256"/>
        <v>12.186852259177357</v>
      </c>
      <c r="BJ290">
        <f t="shared" si="241"/>
        <v>0</v>
      </c>
      <c r="BK290">
        <f t="shared" si="257"/>
        <v>0</v>
      </c>
      <c r="BM290">
        <f t="shared" si="258"/>
        <v>-43.721377508379803</v>
      </c>
      <c r="BN290">
        <f t="shared" si="242"/>
        <v>-107.35680160266708</v>
      </c>
      <c r="BQ290" s="56">
        <f t="shared" si="259"/>
        <v>26.734729578128182</v>
      </c>
      <c r="BR290" s="59"/>
      <c r="BS290" s="59"/>
      <c r="BT290" s="59">
        <v>63095.733999999997</v>
      </c>
      <c r="BU290" s="59">
        <v>2.4499300000000002</v>
      </c>
      <c r="BV290" s="59">
        <v>-132.86600000000001</v>
      </c>
      <c r="BY290" s="59"/>
      <c r="BZ290" s="59"/>
      <c r="CA290" s="59"/>
      <c r="CC290" s="59"/>
    </row>
    <row r="291" spans="1:81" x14ac:dyDescent="0.25">
      <c r="A291">
        <f t="shared" si="211"/>
        <v>385000</v>
      </c>
      <c r="B291">
        <f t="shared" si="243"/>
        <v>385</v>
      </c>
      <c r="C291">
        <f t="shared" si="212"/>
        <v>3.3460397383987521</v>
      </c>
      <c r="D291">
        <f t="shared" si="213"/>
        <v>1.2672976903891899</v>
      </c>
      <c r="F291">
        <f t="shared" si="214"/>
        <v>1.2797263521290462E-4</v>
      </c>
      <c r="G291">
        <f t="shared" si="215"/>
        <v>4.2574989432833665E-3</v>
      </c>
      <c r="H291">
        <f t="shared" si="216"/>
        <v>-3.1373351510567167</v>
      </c>
      <c r="J291">
        <f t="shared" si="217"/>
        <v>15</v>
      </c>
      <c r="M291">
        <f t="shared" si="218"/>
        <v>4.7352744908215104E-3</v>
      </c>
      <c r="N291">
        <f t="shared" si="219"/>
        <v>-1.5707963250000001</v>
      </c>
      <c r="O291">
        <f t="shared" si="220"/>
        <v>63.676625940996786</v>
      </c>
      <c r="P291">
        <f t="shared" si="221"/>
        <v>1.5550913315283086</v>
      </c>
      <c r="Q291">
        <f t="shared" si="222"/>
        <v>98.991608915285283</v>
      </c>
      <c r="R291">
        <f t="shared" si="223"/>
        <v>1.5606942886556097</v>
      </c>
      <c r="S291">
        <f t="shared" si="224"/>
        <v>0.29886076621389746</v>
      </c>
      <c r="T291">
        <f t="shared" si="225"/>
        <v>-1.2672976903891897</v>
      </c>
      <c r="U291">
        <f t="shared" si="226"/>
        <v>0.45279464483795523</v>
      </c>
      <c r="V291">
        <f t="shared" si="227"/>
        <v>-1.1008991098909979</v>
      </c>
      <c r="X291">
        <f t="shared" si="244"/>
        <v>-31.719335220335466</v>
      </c>
      <c r="Y291">
        <f t="shared" si="228"/>
        <v>-154.31156990944808</v>
      </c>
      <c r="Z291">
        <f t="shared" si="245"/>
        <v>25.688430090551918</v>
      </c>
      <c r="AC291">
        <v>1</v>
      </c>
      <c r="AD291">
        <f t="shared" si="229"/>
        <v>63.668773281959993</v>
      </c>
      <c r="AE291">
        <f t="shared" si="230"/>
        <v>-2.3102465945457576E-2</v>
      </c>
      <c r="AF291">
        <f t="shared" si="231"/>
        <v>1.1732277751425E-2</v>
      </c>
      <c r="AG291">
        <f t="shared" si="246"/>
        <v>1078.208693960707</v>
      </c>
      <c r="AH291">
        <f t="shared" si="247"/>
        <v>-2208.3759167035228</v>
      </c>
      <c r="AJ291">
        <f t="shared" si="232"/>
        <v>18000</v>
      </c>
      <c r="AK291">
        <f t="shared" si="233"/>
        <v>57476.065850280007</v>
      </c>
      <c r="AL291">
        <v>1</v>
      </c>
      <c r="AM291">
        <f t="shared" si="234"/>
        <v>98.986557853259995</v>
      </c>
      <c r="AN291">
        <f t="shared" si="248"/>
        <v>582.4227664416909</v>
      </c>
      <c r="AO291">
        <f t="shared" si="249"/>
        <v>-175.9590151561643</v>
      </c>
      <c r="AQ291">
        <f t="shared" si="235"/>
        <v>1.6866222185491338E-2</v>
      </c>
      <c r="AR291">
        <f t="shared" si="236"/>
        <v>-12.986991082828331</v>
      </c>
      <c r="AT291">
        <f t="shared" si="261"/>
        <v>-28661.973030366822</v>
      </c>
      <c r="AU291">
        <f t="shared" si="262"/>
        <v>-14039.933652775893</v>
      </c>
      <c r="AV291">
        <f t="shared" si="250"/>
        <v>-2.6861017313839208</v>
      </c>
      <c r="AW291">
        <f t="shared" si="251"/>
        <v>-543.23902251680829</v>
      </c>
      <c r="AX291">
        <f t="shared" si="252"/>
        <v>-10391.950753800464</v>
      </c>
      <c r="AY291">
        <f t="shared" si="260"/>
        <v>-1.6230237683485751</v>
      </c>
      <c r="BA291">
        <f t="shared" si="237"/>
        <v>3.067031485851992</v>
      </c>
      <c r="BB291">
        <f t="shared" si="253"/>
        <v>9.7343646886199693</v>
      </c>
      <c r="BC291">
        <f t="shared" si="254"/>
        <v>-1.0630779630353457</v>
      </c>
      <c r="BD291">
        <f t="shared" si="238"/>
        <v>-240.90988064488954</v>
      </c>
      <c r="BF291">
        <f t="shared" si="239"/>
        <v>-34.110845980665047</v>
      </c>
      <c r="BG291">
        <f t="shared" si="240"/>
        <v>-168.0551347949318</v>
      </c>
      <c r="BH291">
        <f t="shared" si="255"/>
        <v>11.944865205068197</v>
      </c>
      <c r="BI291">
        <f t="shared" si="256"/>
        <v>11.944865205068197</v>
      </c>
      <c r="BJ291">
        <f t="shared" si="241"/>
        <v>0</v>
      </c>
      <c r="BK291">
        <f t="shared" si="257"/>
        <v>0</v>
      </c>
      <c r="BM291">
        <f t="shared" si="258"/>
        <v>-43.845210669285024</v>
      </c>
      <c r="BN291">
        <f t="shared" si="242"/>
        <v>-107.14525415004228</v>
      </c>
      <c r="BQ291" s="56">
        <f t="shared" si="259"/>
        <v>26.636325488905108</v>
      </c>
      <c r="BR291" s="59"/>
      <c r="BS291" s="59"/>
      <c r="BT291" s="59">
        <v>64565.423000000003</v>
      </c>
      <c r="BU291" s="59">
        <v>2.6258699999999999</v>
      </c>
      <c r="BV291" s="59">
        <v>-132.49799999999999</v>
      </c>
      <c r="BY291" s="59"/>
      <c r="BZ291" s="59"/>
      <c r="CA291" s="59"/>
      <c r="CC291" s="59"/>
    </row>
    <row r="292" spans="1:81" x14ac:dyDescent="0.25">
      <c r="A292">
        <f t="shared" si="211"/>
        <v>390000</v>
      </c>
      <c r="B292">
        <f t="shared" si="243"/>
        <v>390</v>
      </c>
      <c r="C292">
        <f t="shared" si="212"/>
        <v>3.3856361751250734</v>
      </c>
      <c r="D292">
        <f t="shared" si="213"/>
        <v>1.2709582998049056</v>
      </c>
      <c r="F292">
        <f t="shared" si="214"/>
        <v>1.2471193969166569E-4</v>
      </c>
      <c r="G292">
        <f t="shared" si="215"/>
        <v>4.2029024871029991E-3</v>
      </c>
      <c r="H292">
        <f t="shared" si="216"/>
        <v>-3.1373897475128971</v>
      </c>
      <c r="J292">
        <f t="shared" si="217"/>
        <v>15</v>
      </c>
      <c r="M292">
        <f t="shared" si="218"/>
        <v>4.6745658435032858E-3</v>
      </c>
      <c r="N292">
        <f t="shared" si="219"/>
        <v>-1.5707963250000001</v>
      </c>
      <c r="O292">
        <f t="shared" si="220"/>
        <v>64.503392463538574</v>
      </c>
      <c r="P292">
        <f t="shared" si="221"/>
        <v>1.555292645149323</v>
      </c>
      <c r="Q292">
        <f t="shared" si="222"/>
        <v>100.2770838737008</v>
      </c>
      <c r="R292">
        <f t="shared" si="223"/>
        <v>1.5608237933226514</v>
      </c>
      <c r="S292">
        <f t="shared" si="224"/>
        <v>0.29536546405877706</v>
      </c>
      <c r="T292">
        <f t="shared" si="225"/>
        <v>-1.2709582998049056</v>
      </c>
      <c r="U292">
        <f t="shared" si="226"/>
        <v>0.44816155905350374</v>
      </c>
      <c r="V292">
        <f t="shared" si="227"/>
        <v>-1.1060885811501511</v>
      </c>
      <c r="X292">
        <f t="shared" si="244"/>
        <v>-31.920811419969244</v>
      </c>
      <c r="Y292">
        <f t="shared" si="228"/>
        <v>-154.59307836564784</v>
      </c>
      <c r="Z292">
        <f t="shared" si="245"/>
        <v>25.406921634352159</v>
      </c>
      <c r="AC292">
        <v>1</v>
      </c>
      <c r="AD292">
        <f t="shared" si="229"/>
        <v>64.495640467439998</v>
      </c>
      <c r="AE292">
        <f t="shared" si="230"/>
        <v>-2.3706426515797591E-2</v>
      </c>
      <c r="AF292">
        <f t="shared" si="231"/>
        <v>1.1884644994949999E-2</v>
      </c>
      <c r="AG292">
        <f t="shared" si="246"/>
        <v>1056.2566841905921</v>
      </c>
      <c r="AH292">
        <f t="shared" si="247"/>
        <v>-2191.0685154372886</v>
      </c>
      <c r="AJ292">
        <f t="shared" si="232"/>
        <v>18000</v>
      </c>
      <c r="AK292">
        <f t="shared" si="233"/>
        <v>58222.508263920005</v>
      </c>
      <c r="AL292">
        <v>1</v>
      </c>
      <c r="AM292">
        <f t="shared" si="234"/>
        <v>100.27209756564</v>
      </c>
      <c r="AN292">
        <f t="shared" si="248"/>
        <v>582.37748350322295</v>
      </c>
      <c r="AO292">
        <f t="shared" si="249"/>
        <v>-173.70358194706034</v>
      </c>
      <c r="AQ292">
        <f t="shared" si="235"/>
        <v>1.6436527882104073E-2</v>
      </c>
      <c r="AR292">
        <f t="shared" si="236"/>
        <v>-12.820491748041176</v>
      </c>
      <c r="AT292">
        <f t="shared" si="261"/>
        <v>-28073.214629116232</v>
      </c>
      <c r="AU292">
        <f t="shared" si="262"/>
        <v>-13577.743662224406</v>
      </c>
      <c r="AV292">
        <f t="shared" si="250"/>
        <v>-2.6911065390109861</v>
      </c>
      <c r="AW292">
        <f t="shared" si="251"/>
        <v>-508.72156452698869</v>
      </c>
      <c r="AX292">
        <f t="shared" si="252"/>
        <v>-10269.817174325482</v>
      </c>
      <c r="AY292">
        <f t="shared" si="260"/>
        <v>-1.6202914707899392</v>
      </c>
      <c r="BA292">
        <f t="shared" si="237"/>
        <v>3.0327813119585385</v>
      </c>
      <c r="BB292">
        <f t="shared" si="253"/>
        <v>9.6368219059573157</v>
      </c>
      <c r="BC292">
        <f t="shared" si="254"/>
        <v>-1.0708150682210469</v>
      </c>
      <c r="BD292">
        <f t="shared" si="238"/>
        <v>-241.35318411818554</v>
      </c>
      <c r="BF292">
        <f t="shared" si="239"/>
        <v>-34.330386503866769</v>
      </c>
      <c r="BG292">
        <f t="shared" si="240"/>
        <v>-168.29182894454087</v>
      </c>
      <c r="BH292">
        <f t="shared" si="255"/>
        <v>11.708171055459133</v>
      </c>
      <c r="BI292">
        <f t="shared" si="256"/>
        <v>11.708171055459133</v>
      </c>
      <c r="BJ292">
        <f t="shared" si="241"/>
        <v>0</v>
      </c>
      <c r="BK292">
        <f t="shared" si="257"/>
        <v>0</v>
      </c>
      <c r="BM292">
        <f t="shared" si="258"/>
        <v>-43.967208409824082</v>
      </c>
      <c r="BN292">
        <f t="shared" si="242"/>
        <v>-106.93864482635533</v>
      </c>
      <c r="BQ292" s="56">
        <f t="shared" si="259"/>
        <v>26.538782706242454</v>
      </c>
      <c r="BR292" s="59"/>
      <c r="BS292" s="59"/>
      <c r="BT292" s="59">
        <v>66069.345000000001</v>
      </c>
      <c r="BU292" s="59">
        <v>2.7940900000000002</v>
      </c>
      <c r="BV292" s="59">
        <v>-132.279</v>
      </c>
      <c r="BY292" s="59"/>
      <c r="BZ292" s="59"/>
      <c r="CA292" s="59"/>
      <c r="CC292" s="59"/>
    </row>
    <row r="293" spans="1:81" x14ac:dyDescent="0.25">
      <c r="A293">
        <f t="shared" si="211"/>
        <v>395000</v>
      </c>
      <c r="B293">
        <f t="shared" si="243"/>
        <v>395</v>
      </c>
      <c r="C293">
        <f t="shared" si="212"/>
        <v>3.4252769303256798</v>
      </c>
      <c r="D293">
        <f t="shared" si="213"/>
        <v>1.2745342276991762</v>
      </c>
      <c r="F293">
        <f t="shared" si="214"/>
        <v>1.2157430143967141E-4</v>
      </c>
      <c r="G293">
        <f t="shared" si="215"/>
        <v>4.1496887091712776E-3</v>
      </c>
      <c r="H293">
        <f t="shared" si="216"/>
        <v>-3.1374429612908288</v>
      </c>
      <c r="J293">
        <f t="shared" si="217"/>
        <v>15</v>
      </c>
      <c r="M293">
        <f t="shared" si="218"/>
        <v>4.6153941239652696E-3</v>
      </c>
      <c r="N293">
        <f t="shared" si="219"/>
        <v>-1.5707963250000001</v>
      </c>
      <c r="O293">
        <f t="shared" si="220"/>
        <v>65.330161534055563</v>
      </c>
      <c r="P293">
        <f t="shared" si="221"/>
        <v>1.5554888634325299</v>
      </c>
      <c r="Q293">
        <f t="shared" si="222"/>
        <v>101.56256047133647</v>
      </c>
      <c r="R293">
        <f t="shared" si="223"/>
        <v>1.5609500197124866</v>
      </c>
      <c r="S293">
        <f t="shared" si="224"/>
        <v>0.29194719736278929</v>
      </c>
      <c r="T293">
        <f t="shared" si="225"/>
        <v>-1.2745342276991762</v>
      </c>
      <c r="U293">
        <f t="shared" si="226"/>
        <v>0.44361074030195879</v>
      </c>
      <c r="V293">
        <f t="shared" si="227"/>
        <v>-1.1111727949287011</v>
      </c>
      <c r="X293">
        <f t="shared" si="244"/>
        <v>-32.120174794322239</v>
      </c>
      <c r="Y293">
        <f t="shared" si="228"/>
        <v>-154.86895656361187</v>
      </c>
      <c r="Z293">
        <f t="shared" si="245"/>
        <v>25.131043436388126</v>
      </c>
      <c r="AC293">
        <v>1</v>
      </c>
      <c r="AD293">
        <f t="shared" si="229"/>
        <v>65.322507652920009</v>
      </c>
      <c r="AE293">
        <f t="shared" si="230"/>
        <v>-2.4318180125754891E-2</v>
      </c>
      <c r="AF293">
        <f t="shared" si="231"/>
        <v>1.2037012238475E-2</v>
      </c>
      <c r="AG293">
        <f t="shared" si="246"/>
        <v>1034.9142582751633</v>
      </c>
      <c r="AH293">
        <f t="shared" si="247"/>
        <v>-2173.8975444260773</v>
      </c>
      <c r="AJ293">
        <f t="shared" si="232"/>
        <v>18000</v>
      </c>
      <c r="AK293">
        <f t="shared" si="233"/>
        <v>58968.950677560009</v>
      </c>
      <c r="AL293">
        <v>1</v>
      </c>
      <c r="AM293">
        <f t="shared" si="234"/>
        <v>101.55763727802</v>
      </c>
      <c r="AN293">
        <f t="shared" si="248"/>
        <v>582.33390904073201</v>
      </c>
      <c r="AO293">
        <f t="shared" si="249"/>
        <v>-171.50523149014765</v>
      </c>
      <c r="AQ293">
        <f t="shared" si="235"/>
        <v>1.6023047551598221E-2</v>
      </c>
      <c r="AR293">
        <f t="shared" si="236"/>
        <v>-12.658207565762593</v>
      </c>
      <c r="AT293">
        <f t="shared" si="261"/>
        <v>-27501.063863674724</v>
      </c>
      <c r="AU293">
        <f t="shared" si="262"/>
        <v>-13134.991957740896</v>
      </c>
      <c r="AV293">
        <f t="shared" si="250"/>
        <v>-2.6960107629772323</v>
      </c>
      <c r="AW293">
        <f t="shared" si="251"/>
        <v>-475.73983793314119</v>
      </c>
      <c r="AX293">
        <f t="shared" si="252"/>
        <v>-10150.47778454939</v>
      </c>
      <c r="AY293">
        <f t="shared" si="260"/>
        <v>-1.6176307672632566</v>
      </c>
      <c r="BA293">
        <f t="shared" si="237"/>
        <v>2.999208643029613</v>
      </c>
      <c r="BB293">
        <f t="shared" si="253"/>
        <v>9.5401335790424859</v>
      </c>
      <c r="BC293">
        <f t="shared" si="254"/>
        <v>-1.0783799957139757</v>
      </c>
      <c r="BD293">
        <f t="shared" si="238"/>
        <v>-241.78662253634812</v>
      </c>
      <c r="BF293">
        <f t="shared" si="239"/>
        <v>-34.547291792885893</v>
      </c>
      <c r="BG293">
        <f t="shared" si="240"/>
        <v>-168.52343071117545</v>
      </c>
      <c r="BH293">
        <f t="shared" si="255"/>
        <v>11.47656928882455</v>
      </c>
      <c r="BI293">
        <f t="shared" si="256"/>
        <v>11.47656928882455</v>
      </c>
      <c r="BJ293">
        <f t="shared" si="241"/>
        <v>0</v>
      </c>
      <c r="BK293">
        <f t="shared" si="257"/>
        <v>0</v>
      </c>
      <c r="BM293">
        <f t="shared" si="258"/>
        <v>-44.087425371928376</v>
      </c>
      <c r="BN293">
        <f t="shared" si="242"/>
        <v>-106.73680817482733</v>
      </c>
      <c r="BQ293" s="56">
        <f t="shared" si="259"/>
        <v>26.442094379327624</v>
      </c>
      <c r="BR293" s="59"/>
      <c r="BS293" s="59"/>
      <c r="BT293" s="59">
        <v>67608.297999999995</v>
      </c>
      <c r="BU293" s="59">
        <v>2.9581400000000002</v>
      </c>
      <c r="BV293" s="59">
        <v>-132.03399999999999</v>
      </c>
      <c r="BY293" s="59"/>
      <c r="BZ293" s="59"/>
      <c r="CA293" s="59"/>
      <c r="CC293" s="59"/>
    </row>
    <row r="294" spans="1:81" x14ac:dyDescent="0.25">
      <c r="A294">
        <f t="shared" si="211"/>
        <v>400000</v>
      </c>
      <c r="B294">
        <f t="shared" si="243"/>
        <v>400</v>
      </c>
      <c r="C294">
        <f t="shared" si="212"/>
        <v>3.4649604829291945</v>
      </c>
      <c r="D294">
        <f t="shared" si="213"/>
        <v>1.278028290540659</v>
      </c>
      <c r="F294">
        <f t="shared" si="214"/>
        <v>1.1855360506905308E-4</v>
      </c>
      <c r="G294">
        <f t="shared" si="215"/>
        <v>4.0978057350328969E-3</v>
      </c>
      <c r="H294">
        <f t="shared" si="216"/>
        <v>-3.1374948442649675</v>
      </c>
      <c r="J294">
        <f t="shared" si="217"/>
        <v>15</v>
      </c>
      <c r="M294">
        <f t="shared" si="218"/>
        <v>4.5577016974157041E-3</v>
      </c>
      <c r="N294">
        <f t="shared" si="219"/>
        <v>-1.5707963250000001</v>
      </c>
      <c r="O294">
        <f t="shared" si="220"/>
        <v>66.156933057020922</v>
      </c>
      <c r="P294">
        <f t="shared" si="221"/>
        <v>1.5556801773937634</v>
      </c>
      <c r="Q294">
        <f t="shared" si="222"/>
        <v>102.84803864672743</v>
      </c>
      <c r="R294">
        <f t="shared" si="223"/>
        <v>1.5610730907447148</v>
      </c>
      <c r="S294">
        <f t="shared" si="224"/>
        <v>0.28860358001965558</v>
      </c>
      <c r="T294">
        <f t="shared" si="225"/>
        <v>-1.278028290540659</v>
      </c>
      <c r="U294">
        <f t="shared" si="226"/>
        <v>0.43914040305742985</v>
      </c>
      <c r="V294">
        <f t="shared" si="227"/>
        <v>-1.1161546664424262</v>
      </c>
      <c r="X294">
        <f t="shared" si="244"/>
        <v>-32.31746610294158</v>
      </c>
      <c r="Y294">
        <f t="shared" si="228"/>
        <v>-155.13935651791286</v>
      </c>
      <c r="Z294">
        <f t="shared" si="245"/>
        <v>24.860643482087141</v>
      </c>
      <c r="AC294">
        <v>1</v>
      </c>
      <c r="AD294">
        <f t="shared" si="229"/>
        <v>66.149374838399993</v>
      </c>
      <c r="AE294">
        <f t="shared" si="230"/>
        <v>-2.4937726775329485E-2</v>
      </c>
      <c r="AF294">
        <f t="shared" si="231"/>
        <v>1.2189379482000001E-2</v>
      </c>
      <c r="AG294">
        <f t="shared" si="246"/>
        <v>1014.1613559433719</v>
      </c>
      <c r="AH294">
        <f t="shared" si="247"/>
        <v>-2156.867692849919</v>
      </c>
      <c r="AJ294">
        <f t="shared" si="232"/>
        <v>18000</v>
      </c>
      <c r="AK294">
        <f t="shared" si="233"/>
        <v>59715.393091200007</v>
      </c>
      <c r="AL294">
        <v>1</v>
      </c>
      <c r="AM294">
        <f t="shared" si="234"/>
        <v>102.8431769904</v>
      </c>
      <c r="AN294">
        <f t="shared" si="248"/>
        <v>582.2919581801475</v>
      </c>
      <c r="AO294">
        <f t="shared" si="249"/>
        <v>-169.36182400749567</v>
      </c>
      <c r="AQ294">
        <f t="shared" si="235"/>
        <v>1.5624975585975647E-2</v>
      </c>
      <c r="AR294">
        <f t="shared" si="236"/>
        <v>-12.499980468780517</v>
      </c>
      <c r="AT294">
        <f t="shared" si="261"/>
        <v>-26944.957787940828</v>
      </c>
      <c r="AU294">
        <f t="shared" si="262"/>
        <v>-12710.698146527075</v>
      </c>
      <c r="AV294">
        <f t="shared" si="250"/>
        <v>-2.700817143289497</v>
      </c>
      <c r="AW294">
        <f t="shared" si="251"/>
        <v>-444.20663691246108</v>
      </c>
      <c r="AX294">
        <f t="shared" si="252"/>
        <v>-10033.837075935027</v>
      </c>
      <c r="AY294">
        <f t="shared" si="260"/>
        <v>-1.6150383024966302</v>
      </c>
      <c r="BA294">
        <f t="shared" si="237"/>
        <v>2.9662969040670042</v>
      </c>
      <c r="BB294">
        <f t="shared" si="253"/>
        <v>9.4442923697514161</v>
      </c>
      <c r="BC294">
        <f t="shared" si="254"/>
        <v>-1.0857788407928668</v>
      </c>
      <c r="BD294">
        <f t="shared" si="238"/>
        <v>-242.21054513312413</v>
      </c>
      <c r="BF294">
        <f t="shared" si="239"/>
        <v>-34.761621432669095</v>
      </c>
      <c r="BG294">
        <f t="shared" si="240"/>
        <v>-168.75013092900235</v>
      </c>
      <c r="BH294">
        <f t="shared" si="255"/>
        <v>11.249869070997647</v>
      </c>
      <c r="BI294">
        <f t="shared" si="256"/>
        <v>11.249869070997647</v>
      </c>
      <c r="BJ294">
        <f t="shared" si="241"/>
        <v>0</v>
      </c>
      <c r="BK294">
        <f t="shared" si="257"/>
        <v>0</v>
      </c>
      <c r="BM294">
        <f t="shared" si="258"/>
        <v>-44.205913802420511</v>
      </c>
      <c r="BN294">
        <f t="shared" si="242"/>
        <v>-106.53958579587825</v>
      </c>
      <c r="BQ294" s="56">
        <f t="shared" si="259"/>
        <v>26.346253170036555</v>
      </c>
      <c r="BR294" s="59"/>
      <c r="BS294" s="59"/>
      <c r="BT294" s="59">
        <v>69183.096999999994</v>
      </c>
      <c r="BU294" s="59">
        <v>3.15646</v>
      </c>
      <c r="BV294" s="59">
        <v>-131.40799999999999</v>
      </c>
      <c r="BY294" s="59"/>
      <c r="BZ294" s="59"/>
      <c r="CA294" s="59"/>
      <c r="CC294" s="59"/>
    </row>
    <row r="295" spans="1:81" x14ac:dyDescent="0.25">
      <c r="A295">
        <f t="shared" si="211"/>
        <v>405000</v>
      </c>
      <c r="B295">
        <f t="shared" si="243"/>
        <v>405</v>
      </c>
      <c r="C295">
        <f t="shared" si="212"/>
        <v>3.5046853791509385</v>
      </c>
      <c r="D295">
        <f t="shared" si="213"/>
        <v>1.2814431853053085</v>
      </c>
      <c r="F295">
        <f t="shared" si="214"/>
        <v>1.1564411042265803E-4</v>
      </c>
      <c r="G295">
        <f t="shared" si="215"/>
        <v>4.0472042533897315E-3</v>
      </c>
      <c r="H295">
        <f t="shared" si="216"/>
        <v>-3.1375454457466105</v>
      </c>
      <c r="J295">
        <f t="shared" si="217"/>
        <v>15</v>
      </c>
      <c r="M295">
        <f t="shared" si="218"/>
        <v>4.5014337752253865E-3</v>
      </c>
      <c r="N295">
        <f t="shared" si="219"/>
        <v>-1.5707963250000001</v>
      </c>
      <c r="O295">
        <f t="shared" si="220"/>
        <v>66.983706941623879</v>
      </c>
      <c r="P295">
        <f t="shared" si="221"/>
        <v>1.5558667686195713</v>
      </c>
      <c r="Q295">
        <f t="shared" si="222"/>
        <v>104.1335183414438</v>
      </c>
      <c r="R295">
        <f t="shared" si="223"/>
        <v>1.5611931232697895</v>
      </c>
      <c r="S295">
        <f t="shared" si="224"/>
        <v>0.28533231711722579</v>
      </c>
      <c r="T295">
        <f t="shared" si="225"/>
        <v>-1.2814431853053085</v>
      </c>
      <c r="U295">
        <f t="shared" si="226"/>
        <v>0.43474879447205728</v>
      </c>
      <c r="V295">
        <f t="shared" si="227"/>
        <v>-1.121037015050476</v>
      </c>
      <c r="X295">
        <f t="shared" si="244"/>
        <v>-32.512724987847015</v>
      </c>
      <c r="Y295">
        <f t="shared" si="228"/>
        <v>-155.40442549207981</v>
      </c>
      <c r="Z295">
        <f t="shared" si="245"/>
        <v>24.59557450792019</v>
      </c>
      <c r="AC295">
        <v>1</v>
      </c>
      <c r="AD295">
        <f t="shared" si="229"/>
        <v>66.976242023880005</v>
      </c>
      <c r="AE295">
        <f t="shared" si="230"/>
        <v>-2.5565066464521367E-2</v>
      </c>
      <c r="AF295">
        <f t="shared" si="231"/>
        <v>1.2341746725525E-2</v>
      </c>
      <c r="AG295">
        <f t="shared" si="246"/>
        <v>993.97860960090145</v>
      </c>
      <c r="AH295">
        <f t="shared" si="247"/>
        <v>-2139.9830839289966</v>
      </c>
      <c r="AJ295">
        <f t="shared" si="232"/>
        <v>18000</v>
      </c>
      <c r="AK295">
        <f t="shared" si="233"/>
        <v>60461.835504839997</v>
      </c>
      <c r="AL295">
        <v>1</v>
      </c>
      <c r="AM295">
        <f t="shared" si="234"/>
        <v>104.12871670278</v>
      </c>
      <c r="AN295">
        <f t="shared" si="248"/>
        <v>582.25155125301342</v>
      </c>
      <c r="AO295">
        <f t="shared" si="249"/>
        <v>-167.2713253392277</v>
      </c>
      <c r="AQ295">
        <f t="shared" si="235"/>
        <v>1.524155579704954E-2</v>
      </c>
      <c r="AR295">
        <f t="shared" si="236"/>
        <v>-12.345660195610128</v>
      </c>
      <c r="AT295">
        <f t="shared" si="261"/>
        <v>-26404.354198101912</v>
      </c>
      <c r="AU295">
        <f t="shared" si="262"/>
        <v>-12303.938827416194</v>
      </c>
      <c r="AV295">
        <f t="shared" si="250"/>
        <v>-2.7055283327466881</v>
      </c>
      <c r="AW295">
        <f t="shared" si="251"/>
        <v>-414.0406782325835</v>
      </c>
      <c r="AX295">
        <f t="shared" si="252"/>
        <v>-9919.8039718332402</v>
      </c>
      <c r="AY295">
        <f t="shared" si="260"/>
        <v>-1.6125109103948474</v>
      </c>
      <c r="BA295">
        <f t="shared" si="237"/>
        <v>2.9340298373188398</v>
      </c>
      <c r="BB295">
        <f t="shared" si="253"/>
        <v>9.3492905208681005</v>
      </c>
      <c r="BC295">
        <f t="shared" si="254"/>
        <v>-1.0930174223518407</v>
      </c>
      <c r="BD295">
        <f t="shared" si="238"/>
        <v>-242.62528530658847</v>
      </c>
      <c r="BF295">
        <f t="shared" si="239"/>
        <v>-34.973433167926324</v>
      </c>
      <c r="BG295">
        <f t="shared" si="240"/>
        <v>-168.97211129608596</v>
      </c>
      <c r="BH295">
        <f t="shared" si="255"/>
        <v>11.027888703914044</v>
      </c>
      <c r="BI295">
        <f t="shared" si="256"/>
        <v>11.027888703914044</v>
      </c>
      <c r="BJ295">
        <f t="shared" si="241"/>
        <v>0</v>
      </c>
      <c r="BK295">
        <f t="shared" si="257"/>
        <v>0</v>
      </c>
      <c r="BM295">
        <f t="shared" si="258"/>
        <v>-44.322723688794426</v>
      </c>
      <c r="BN295">
        <f t="shared" si="242"/>
        <v>-106.3468259894975</v>
      </c>
      <c r="BQ295" s="56">
        <f t="shared" si="259"/>
        <v>26.251251321153237</v>
      </c>
      <c r="BR295" s="59"/>
      <c r="BS295" s="59"/>
      <c r="BT295" s="59">
        <v>70794.577999999994</v>
      </c>
      <c r="BU295" s="59">
        <v>3.32565</v>
      </c>
      <c r="BV295" s="59">
        <v>-131.172</v>
      </c>
      <c r="BY295" s="59"/>
      <c r="BZ295" s="59"/>
      <c r="CA295" s="59"/>
      <c r="CC295" s="59"/>
    </row>
    <row r="296" spans="1:81" x14ac:dyDescent="0.25">
      <c r="A296">
        <f t="shared" si="211"/>
        <v>410000</v>
      </c>
      <c r="B296">
        <f t="shared" si="243"/>
        <v>410</v>
      </c>
      <c r="C296">
        <f t="shared" si="212"/>
        <v>3.5444502288989232</v>
      </c>
      <c r="D296">
        <f t="shared" si="213"/>
        <v>1.2847814955167076</v>
      </c>
      <c r="F296">
        <f t="shared" si="214"/>
        <v>1.1284042528008247E-4</v>
      </c>
      <c r="G296">
        <f t="shared" si="215"/>
        <v>3.9978373597061752E-3</v>
      </c>
      <c r="H296">
        <f t="shared" si="216"/>
        <v>-3.1375948126402942</v>
      </c>
      <c r="J296">
        <f t="shared" si="217"/>
        <v>15</v>
      </c>
      <c r="M296">
        <f t="shared" si="218"/>
        <v>4.4465382413811745E-3</v>
      </c>
      <c r="N296">
        <f t="shared" si="219"/>
        <v>-1.5707963250000001</v>
      </c>
      <c r="O296">
        <f t="shared" si="220"/>
        <v>67.810483101482177</v>
      </c>
      <c r="P296">
        <f t="shared" si="221"/>
        <v>1.5560488098419125</v>
      </c>
      <c r="Q296">
        <f t="shared" si="222"/>
        <v>105.41899949990561</v>
      </c>
      <c r="R296">
        <f t="shared" si="223"/>
        <v>1.5613102284390177</v>
      </c>
      <c r="S296">
        <f t="shared" si="224"/>
        <v>0.28213120101016298</v>
      </c>
      <c r="T296">
        <f t="shared" si="225"/>
        <v>-1.2847814955167076</v>
      </c>
      <c r="U296">
        <f t="shared" si="226"/>
        <v>0.430434194944111</v>
      </c>
      <c r="V296">
        <f t="shared" si="227"/>
        <v>-1.1258225675756746</v>
      </c>
      <c r="X296">
        <f t="shared" si="244"/>
        <v>-32.705990014720598</v>
      </c>
      <c r="Y296">
        <f t="shared" si="228"/>
        <v>-155.66430614367107</v>
      </c>
      <c r="Z296">
        <f t="shared" si="245"/>
        <v>24.33569385632893</v>
      </c>
      <c r="AC296">
        <v>1</v>
      </c>
      <c r="AD296">
        <f t="shared" si="229"/>
        <v>67.803109209360002</v>
      </c>
      <c r="AE296">
        <f t="shared" si="230"/>
        <v>-2.6200199193330543E-2</v>
      </c>
      <c r="AF296">
        <f t="shared" si="231"/>
        <v>1.2494113969049999E-2</v>
      </c>
      <c r="AG296">
        <f t="shared" si="246"/>
        <v>974.34732454043967</v>
      </c>
      <c r="AH296">
        <f t="shared" si="247"/>
        <v>-2123.2473188705262</v>
      </c>
      <c r="AJ296">
        <f t="shared" si="232"/>
        <v>18000</v>
      </c>
      <c r="AK296">
        <f t="shared" si="233"/>
        <v>61208.277918480009</v>
      </c>
      <c r="AL296">
        <v>1</v>
      </c>
      <c r="AM296">
        <f t="shared" si="234"/>
        <v>105.41425641515998</v>
      </c>
      <c r="AN296">
        <f t="shared" si="248"/>
        <v>582.2126134180146</v>
      </c>
      <c r="AO296">
        <f t="shared" si="249"/>
        <v>-165.23180050698605</v>
      </c>
      <c r="AQ296">
        <f t="shared" si="235"/>
        <v>1.4872077822608831E-2</v>
      </c>
      <c r="AR296">
        <f t="shared" si="236"/>
        <v>-12.195103814539241</v>
      </c>
      <c r="AT296">
        <f t="shared" si="261"/>
        <v>-25878.730908331356</v>
      </c>
      <c r="AU296">
        <f t="shared" si="262"/>
        <v>-11913.843873552109</v>
      </c>
      <c r="AV296">
        <f t="shared" si="250"/>
        <v>-2.7101468997329894</v>
      </c>
      <c r="AW296">
        <f t="shared" si="251"/>
        <v>-385.16613801993435</v>
      </c>
      <c r="AX296">
        <f t="shared" si="252"/>
        <v>-9808.2915621169195</v>
      </c>
      <c r="AY296">
        <f t="shared" si="260"/>
        <v>-1.6100456019347866</v>
      </c>
      <c r="BA296">
        <f t="shared" si="237"/>
        <v>2.9023915157640938</v>
      </c>
      <c r="BB296">
        <f t="shared" si="253"/>
        <v>9.2551199171492069</v>
      </c>
      <c r="BC296">
        <f t="shared" si="254"/>
        <v>-1.1001012977982028</v>
      </c>
      <c r="BD296">
        <f t="shared" si="238"/>
        <v>-243.03116147272513</v>
      </c>
      <c r="BF296">
        <f t="shared" si="239"/>
        <v>-35.182782968558257</v>
      </c>
      <c r="BG296">
        <f t="shared" si="240"/>
        <v>-169.18954489084447</v>
      </c>
      <c r="BH296">
        <f t="shared" si="255"/>
        <v>10.810455109155527</v>
      </c>
      <c r="BI296">
        <f t="shared" si="256"/>
        <v>10.810455109155527</v>
      </c>
      <c r="BJ296">
        <f t="shared" si="241"/>
        <v>0</v>
      </c>
      <c r="BK296">
        <f t="shared" si="257"/>
        <v>0</v>
      </c>
      <c r="BM296">
        <f t="shared" si="258"/>
        <v>-44.437902885707459</v>
      </c>
      <c r="BN296">
        <f t="shared" si="242"/>
        <v>-106.15838341811933</v>
      </c>
      <c r="BQ296" s="56">
        <f t="shared" si="259"/>
        <v>26.157080717434344</v>
      </c>
      <c r="BR296" s="59"/>
      <c r="BS296" s="59"/>
      <c r="BT296" s="59">
        <v>72443.596000000005</v>
      </c>
      <c r="BU296" s="59">
        <v>3.4992100000000002</v>
      </c>
      <c r="BV296" s="59">
        <v>-130.929</v>
      </c>
      <c r="BY296" s="59"/>
      <c r="BZ296" s="59"/>
      <c r="CA296" s="59"/>
      <c r="CC296" s="59"/>
    </row>
    <row r="297" spans="1:81" x14ac:dyDescent="0.25">
      <c r="A297">
        <f t="shared" si="211"/>
        <v>415000</v>
      </c>
      <c r="B297">
        <f t="shared" si="243"/>
        <v>415</v>
      </c>
      <c r="C297">
        <f t="shared" si="212"/>
        <v>3.5842537024020396</v>
      </c>
      <c r="D297">
        <f t="shared" si="213"/>
        <v>1.2880456969394469</v>
      </c>
      <c r="F297">
        <f t="shared" si="214"/>
        <v>1.1013748035224033E-4</v>
      </c>
      <c r="G297">
        <f t="shared" si="215"/>
        <v>3.9496604111287749E-3</v>
      </c>
      <c r="H297">
        <f t="shared" si="216"/>
        <v>-3.1376429895888713</v>
      </c>
      <c r="J297">
        <f t="shared" si="217"/>
        <v>15</v>
      </c>
      <c r="M297">
        <f t="shared" si="218"/>
        <v>4.3929654914850154E-3</v>
      </c>
      <c r="N297">
        <f t="shared" si="219"/>
        <v>-1.5707963250000001</v>
      </c>
      <c r="O297">
        <f t="shared" si="220"/>
        <v>68.637261454375462</v>
      </c>
      <c r="P297">
        <f t="shared" si="221"/>
        <v>1.5562264654713331</v>
      </c>
      <c r="Q297">
        <f t="shared" si="222"/>
        <v>106.70448206921112</v>
      </c>
      <c r="R297">
        <f t="shared" si="223"/>
        <v>1.5614245120478212</v>
      </c>
      <c r="S297">
        <f t="shared" si="224"/>
        <v>0.27899810756415927</v>
      </c>
      <c r="T297">
        <f t="shared" si="225"/>
        <v>-1.2880456969394467</v>
      </c>
      <c r="U297">
        <f t="shared" si="226"/>
        <v>0.4261949185271795</v>
      </c>
      <c r="V297">
        <f t="shared" si="227"/>
        <v>-1.1305139615281969</v>
      </c>
      <c r="X297">
        <f t="shared" si="244"/>
        <v>-32.897298711985165</v>
      </c>
      <c r="Y297">
        <f t="shared" si="228"/>
        <v>-155.91913666707379</v>
      </c>
      <c r="Z297">
        <f t="shared" si="245"/>
        <v>24.080863332926214</v>
      </c>
      <c r="AC297">
        <v>1</v>
      </c>
      <c r="AD297">
        <f t="shared" si="229"/>
        <v>68.62997639484</v>
      </c>
      <c r="AE297">
        <f t="shared" si="230"/>
        <v>-2.6843124961757007E-2</v>
      </c>
      <c r="AF297">
        <f t="shared" si="231"/>
        <v>1.2646481212574999E-2</v>
      </c>
      <c r="AG297">
        <f t="shared" si="246"/>
        <v>955.24945901077945</v>
      </c>
      <c r="AH297">
        <f t="shared" si="247"/>
        <v>-2106.6635177052917</v>
      </c>
      <c r="AJ297">
        <f t="shared" si="232"/>
        <v>18000</v>
      </c>
      <c r="AK297">
        <f t="shared" si="233"/>
        <v>61954.72033212</v>
      </c>
      <c r="AL297">
        <v>1</v>
      </c>
      <c r="AM297">
        <f t="shared" si="234"/>
        <v>106.69979612753998</v>
      </c>
      <c r="AN297">
        <f t="shared" si="248"/>
        <v>582.175074314217</v>
      </c>
      <c r="AO297">
        <f t="shared" si="249"/>
        <v>-163.24140774239135</v>
      </c>
      <c r="AQ297">
        <f t="shared" si="235"/>
        <v>1.4515873833830985E-2</v>
      </c>
      <c r="AR297">
        <f t="shared" si="236"/>
        <v>-12.048175282079718</v>
      </c>
      <c r="AT297">
        <f t="shared" si="261"/>
        <v>-25367.585041049169</v>
      </c>
      <c r="AU297">
        <f t="shared" si="262"/>
        <v>-11539.59298210704</v>
      </c>
      <c r="AV297">
        <f t="shared" si="250"/>
        <v>-2.7146753309525158</v>
      </c>
      <c r="AW297">
        <f t="shared" si="251"/>
        <v>-357.51222926879126</v>
      </c>
      <c r="AX297">
        <f t="shared" si="252"/>
        <v>-9699.2168575001506</v>
      </c>
      <c r="AY297">
        <f t="shared" si="260"/>
        <v>-1.6076395539053721</v>
      </c>
      <c r="BA297">
        <f t="shared" si="237"/>
        <v>2.8713663532302287</v>
      </c>
      <c r="BB297">
        <f t="shared" si="253"/>
        <v>9.161772139974639</v>
      </c>
      <c r="BC297">
        <f t="shared" si="254"/>
        <v>-1.1070357770471437</v>
      </c>
      <c r="BD297">
        <f t="shared" si="238"/>
        <v>-243.42847786726452</v>
      </c>
      <c r="BF297">
        <f t="shared" si="239"/>
        <v>-35.389725092944907</v>
      </c>
      <c r="BG297">
        <f t="shared" si="240"/>
        <v>-169.40259665599299</v>
      </c>
      <c r="BH297">
        <f t="shared" si="255"/>
        <v>10.597403344007006</v>
      </c>
      <c r="BI297">
        <f t="shared" si="256"/>
        <v>10.597403344007006</v>
      </c>
      <c r="BJ297">
        <f t="shared" si="241"/>
        <v>0</v>
      </c>
      <c r="BK297">
        <f t="shared" si="257"/>
        <v>0</v>
      </c>
      <c r="BM297">
        <f t="shared" si="258"/>
        <v>-44.551497232919544</v>
      </c>
      <c r="BN297">
        <f t="shared" si="242"/>
        <v>-105.9741187887285</v>
      </c>
      <c r="BQ297" s="56">
        <f t="shared" si="259"/>
        <v>26.063732940259776</v>
      </c>
      <c r="BR297" s="59"/>
      <c r="BS297" s="59"/>
      <c r="BT297" s="59">
        <v>74131.024000000005</v>
      </c>
      <c r="BU297" s="59">
        <v>3.6540400000000002</v>
      </c>
      <c r="BV297" s="59">
        <v>-130.88900000000001</v>
      </c>
      <c r="BY297" s="59"/>
      <c r="BZ297" s="59"/>
      <c r="CA297" s="59"/>
      <c r="CC297" s="59"/>
    </row>
    <row r="298" spans="1:81" x14ac:dyDescent="0.25">
      <c r="A298">
        <f t="shared" si="211"/>
        <v>420000</v>
      </c>
      <c r="B298">
        <f t="shared" si="243"/>
        <v>420</v>
      </c>
      <c r="C298">
        <f t="shared" si="212"/>
        <v>3.6240945270450191</v>
      </c>
      <c r="D298">
        <f t="shared" si="213"/>
        <v>1.2912381629473078</v>
      </c>
      <c r="F298">
        <f t="shared" si="214"/>
        <v>1.0753050634775968E-4</v>
      </c>
      <c r="G298">
        <f t="shared" si="215"/>
        <v>3.9026308917764997E-3</v>
      </c>
      <c r="H298">
        <f t="shared" si="216"/>
        <v>-3.1376900191082235</v>
      </c>
      <c r="J298">
        <f t="shared" si="217"/>
        <v>15</v>
      </c>
      <c r="M298">
        <f t="shared" si="218"/>
        <v>4.340668283253051E-3</v>
      </c>
      <c r="N298">
        <f t="shared" si="219"/>
        <v>-1.5707963250000001</v>
      </c>
      <c r="O298">
        <f t="shared" si="220"/>
        <v>69.464041921997605</v>
      </c>
      <c r="P298">
        <f t="shared" si="221"/>
        <v>1.556399892092077</v>
      </c>
      <c r="Q298">
        <f t="shared" si="222"/>
        <v>107.98996599897747</v>
      </c>
      <c r="R298">
        <f t="shared" si="223"/>
        <v>1.5615360748544822</v>
      </c>
      <c r="S298">
        <f t="shared" si="224"/>
        <v>0.27593099256585096</v>
      </c>
      <c r="T298">
        <f t="shared" si="225"/>
        <v>-1.2912381629473075</v>
      </c>
      <c r="U298">
        <f t="shared" si="226"/>
        <v>0.42202931319819226</v>
      </c>
      <c r="V298">
        <f t="shared" si="227"/>
        <v>-1.1351137482322231</v>
      </c>
      <c r="X298">
        <f t="shared" si="244"/>
        <v>-33.086687607925789</v>
      </c>
      <c r="Y298">
        <f t="shared" si="228"/>
        <v>-156.16905093373569</v>
      </c>
      <c r="Z298">
        <f t="shared" si="245"/>
        <v>23.83094906626431</v>
      </c>
      <c r="AC298">
        <v>1</v>
      </c>
      <c r="AD298">
        <f t="shared" si="229"/>
        <v>69.456843580319997</v>
      </c>
      <c r="AE298">
        <f t="shared" si="230"/>
        <v>-2.7493843769800762E-2</v>
      </c>
      <c r="AF298">
        <f t="shared" si="231"/>
        <v>1.27988484561E-2</v>
      </c>
      <c r="AG298">
        <f t="shared" si="246"/>
        <v>936.66760426076871</v>
      </c>
      <c r="AH298">
        <f t="shared" si="247"/>
        <v>-2090.2343572189666</v>
      </c>
      <c r="AJ298">
        <f t="shared" si="232"/>
        <v>18000</v>
      </c>
      <c r="AK298">
        <f t="shared" si="233"/>
        <v>62701.162745760012</v>
      </c>
      <c r="AL298">
        <v>1</v>
      </c>
      <c r="AM298">
        <f t="shared" si="234"/>
        <v>107.98533583992</v>
      </c>
      <c r="AN298">
        <f t="shared" si="248"/>
        <v>582.13886774302944</v>
      </c>
      <c r="AO298">
        <f t="shared" si="249"/>
        <v>-161.29839294177515</v>
      </c>
      <c r="AQ298">
        <f t="shared" si="235"/>
        <v>1.4172315515425856E-2</v>
      </c>
      <c r="AR298">
        <f t="shared" si="236"/>
        <v>-11.90474503295772</v>
      </c>
      <c r="AT298">
        <f t="shared" si="261"/>
        <v>-24870.432332999404</v>
      </c>
      <c r="AU298">
        <f t="shared" si="262"/>
        <v>-11180.412470167485</v>
      </c>
      <c r="AV298">
        <f t="shared" si="250"/>
        <v>-2.719116034101857</v>
      </c>
      <c r="AW298">
        <f t="shared" si="251"/>
        <v>-331.01281612594312</v>
      </c>
      <c r="AX298">
        <f t="shared" si="252"/>
        <v>-9592.5005618041287</v>
      </c>
      <c r="AY298">
        <f t="shared" si="260"/>
        <v>-1.6052900984302219</v>
      </c>
      <c r="BA298">
        <f t="shared" si="237"/>
        <v>2.8409391116120846</v>
      </c>
      <c r="BB298">
        <f t="shared" si="253"/>
        <v>9.0692385162450133</v>
      </c>
      <c r="BC298">
        <f t="shared" si="254"/>
        <v>-1.1138259356716351</v>
      </c>
      <c r="BD298">
        <f t="shared" si="238"/>
        <v>-243.81752529911677</v>
      </c>
      <c r="BF298">
        <f t="shared" si="239"/>
        <v>-35.594312149104063</v>
      </c>
      <c r="BG298">
        <f t="shared" si="240"/>
        <v>-169.61142385212136</v>
      </c>
      <c r="BH298">
        <f t="shared" si="255"/>
        <v>10.388576147878638</v>
      </c>
      <c r="BI298">
        <f t="shared" si="256"/>
        <v>10.388576147878638</v>
      </c>
      <c r="BJ298">
        <f t="shared" si="241"/>
        <v>0</v>
      </c>
      <c r="BK298">
        <f t="shared" si="257"/>
        <v>0</v>
      </c>
      <c r="BM298">
        <f t="shared" si="258"/>
        <v>-44.663550665349078</v>
      </c>
      <c r="BN298">
        <f t="shared" si="242"/>
        <v>-105.79389855300458</v>
      </c>
      <c r="BQ298" s="56">
        <f t="shared" si="259"/>
        <v>25.97119931653015</v>
      </c>
      <c r="BR298" s="59"/>
      <c r="BS298" s="59"/>
      <c r="BT298" s="59">
        <v>75857.758000000002</v>
      </c>
      <c r="BU298" s="59">
        <v>3.8307899999999999</v>
      </c>
      <c r="BV298" s="59">
        <v>-130.62200000000001</v>
      </c>
      <c r="BY298" s="59"/>
      <c r="BZ298" s="59"/>
      <c r="CA298" s="59"/>
      <c r="CC298" s="59"/>
    </row>
    <row r="299" spans="1:81" x14ac:dyDescent="0.25">
      <c r="A299">
        <f t="shared" si="211"/>
        <v>425000</v>
      </c>
      <c r="B299">
        <f t="shared" si="243"/>
        <v>425</v>
      </c>
      <c r="C299">
        <f t="shared" si="212"/>
        <v>3.6639714843959181</v>
      </c>
      <c r="D299">
        <f t="shared" si="213"/>
        <v>1.2943611695865824</v>
      </c>
      <c r="F299">
        <f t="shared" si="214"/>
        <v>1.0501501291731153E-4</v>
      </c>
      <c r="G299">
        <f t="shared" si="215"/>
        <v>3.8567082875468834E-3</v>
      </c>
      <c r="H299">
        <f t="shared" si="216"/>
        <v>-3.1377359417124535</v>
      </c>
      <c r="J299">
        <f t="shared" si="217"/>
        <v>15</v>
      </c>
      <c r="M299">
        <f t="shared" si="218"/>
        <v>4.2896015975677215E-3</v>
      </c>
      <c r="N299">
        <f t="shared" si="219"/>
        <v>-1.5707963250000001</v>
      </c>
      <c r="O299">
        <f t="shared" si="220"/>
        <v>70.29082442972647</v>
      </c>
      <c r="P299">
        <f t="shared" si="221"/>
        <v>1.5565692389222636</v>
      </c>
      <c r="Q299">
        <f t="shared" si="222"/>
        <v>109.27545124119247</v>
      </c>
      <c r="R299">
        <f t="shared" si="223"/>
        <v>1.5616450128763946</v>
      </c>
      <c r="S299">
        <f t="shared" si="224"/>
        <v>0.27292788829246878</v>
      </c>
      <c r="T299">
        <f t="shared" si="225"/>
        <v>-1.2943611695865824</v>
      </c>
      <c r="U299">
        <f t="shared" si="226"/>
        <v>0.41793576100033564</v>
      </c>
      <c r="V299">
        <f t="shared" si="227"/>
        <v>-1.1396243958556906</v>
      </c>
      <c r="X299">
        <f t="shared" si="244"/>
        <v>-33.274192265993698</v>
      </c>
      <c r="Y299">
        <f t="shared" si="228"/>
        <v>-156.41417862959014</v>
      </c>
      <c r="Z299">
        <f t="shared" si="245"/>
        <v>23.58582137040986</v>
      </c>
      <c r="AC299">
        <v>1</v>
      </c>
      <c r="AD299">
        <f t="shared" si="229"/>
        <v>70.283710765800009</v>
      </c>
      <c r="AE299">
        <f t="shared" si="230"/>
        <v>-2.8152355617461804E-2</v>
      </c>
      <c r="AF299">
        <f t="shared" si="231"/>
        <v>1.2951215699624999E-2</v>
      </c>
      <c r="AG299">
        <f t="shared" si="246"/>
        <v>918.58496465714518</v>
      </c>
      <c r="AH299">
        <f t="shared" si="247"/>
        <v>-2073.9621061719536</v>
      </c>
      <c r="AJ299">
        <f t="shared" si="232"/>
        <v>18000</v>
      </c>
      <c r="AK299">
        <f t="shared" si="233"/>
        <v>63447.605159400002</v>
      </c>
      <c r="AL299">
        <v>1</v>
      </c>
      <c r="AM299">
        <f t="shared" si="234"/>
        <v>109.2708755523</v>
      </c>
      <c r="AN299">
        <f t="shared" si="248"/>
        <v>582.10393137618894</v>
      </c>
      <c r="AO299">
        <f t="shared" si="249"/>
        <v>-159.40108451210438</v>
      </c>
      <c r="AQ299">
        <f t="shared" si="235"/>
        <v>1.384081129299475E-2</v>
      </c>
      <c r="AR299">
        <f t="shared" si="236"/>
        <v>-11.764689599045537</v>
      </c>
      <c r="AT299">
        <f t="shared" si="261"/>
        <v>-24386.806458143354</v>
      </c>
      <c r="AU299">
        <f t="shared" si="262"/>
        <v>-10835.572297681876</v>
      </c>
      <c r="AV299">
        <f t="shared" si="250"/>
        <v>-2.723471340477762</v>
      </c>
      <c r="AW299">
        <f t="shared" si="251"/>
        <v>-305.60606140811308</v>
      </c>
      <c r="AX299">
        <f t="shared" si="252"/>
        <v>-9488.0668606074632</v>
      </c>
      <c r="AY299">
        <f t="shared" si="260"/>
        <v>-1.602994713215653</v>
      </c>
      <c r="BA299">
        <f t="shared" si="237"/>
        <v>2.8110949056010019</v>
      </c>
      <c r="BB299">
        <f t="shared" si="253"/>
        <v>8.9775101621171114</v>
      </c>
      <c r="BC299">
        <f t="shared" si="254"/>
        <v>-1.1204766272621089</v>
      </c>
      <c r="BD299">
        <f t="shared" si="238"/>
        <v>-244.19858185852951</v>
      </c>
      <c r="BF299">
        <f t="shared" si="239"/>
        <v>-35.796595153739069</v>
      </c>
      <c r="BG299">
        <f t="shared" si="240"/>
        <v>-169.81617648291746</v>
      </c>
      <c r="BH299">
        <f t="shared" si="255"/>
        <v>10.183823517082544</v>
      </c>
      <c r="BI299">
        <f t="shared" si="256"/>
        <v>10.183823517082544</v>
      </c>
      <c r="BJ299">
        <f t="shared" si="241"/>
        <v>0</v>
      </c>
      <c r="BK299">
        <f t="shared" si="257"/>
        <v>0</v>
      </c>
      <c r="BM299">
        <f t="shared" si="258"/>
        <v>-44.774105315856183</v>
      </c>
      <c r="BN299">
        <f t="shared" si="242"/>
        <v>-105.61759462438798</v>
      </c>
      <c r="BQ299" s="56">
        <f t="shared" si="259"/>
        <v>25.879470962402248</v>
      </c>
      <c r="BR299" s="59"/>
      <c r="BS299" s="59"/>
      <c r="BT299" s="59">
        <v>77624.712</v>
      </c>
      <c r="BU299" s="59">
        <v>4.0309799999999996</v>
      </c>
      <c r="BV299" s="59">
        <v>-130.36099999999999</v>
      </c>
      <c r="BY299" s="59"/>
      <c r="BZ299" s="59"/>
      <c r="CA299" s="59"/>
      <c r="CC299" s="59"/>
    </row>
    <row r="300" spans="1:81" x14ac:dyDescent="0.25">
      <c r="A300">
        <f t="shared" ref="A300:A363" si="263">A299+5000</f>
        <v>430000</v>
      </c>
      <c r="B300">
        <f t="shared" si="243"/>
        <v>430</v>
      </c>
      <c r="C300">
        <f t="shared" si="212"/>
        <v>3.7038834074129579</v>
      </c>
      <c r="D300">
        <f t="shared" si="213"/>
        <v>1.2974169003535261</v>
      </c>
      <c r="F300">
        <f t="shared" si="214"/>
        <v>1.0258676930215694E-4</v>
      </c>
      <c r="G300">
        <f t="shared" si="215"/>
        <v>3.8118539696628327E-3</v>
      </c>
      <c r="H300">
        <f t="shared" si="216"/>
        <v>-3.1377807960303374</v>
      </c>
      <c r="J300">
        <f t="shared" si="217"/>
        <v>15</v>
      </c>
      <c r="M300">
        <f t="shared" si="218"/>
        <v>4.2397225092239109E-3</v>
      </c>
      <c r="N300">
        <f t="shared" si="219"/>
        <v>-1.5707963250000001</v>
      </c>
      <c r="O300">
        <f t="shared" si="220"/>
        <v>71.117608906409885</v>
      </c>
      <c r="P300">
        <f t="shared" si="221"/>
        <v>1.5567346482419768</v>
      </c>
      <c r="Q300">
        <f t="shared" si="222"/>
        <v>110.56093775007685</v>
      </c>
      <c r="R300">
        <f t="shared" si="223"/>
        <v>1.5617514176656506</v>
      </c>
      <c r="S300">
        <f t="shared" si="224"/>
        <v>0.26998690023519606</v>
      </c>
      <c r="T300">
        <f t="shared" si="225"/>
        <v>-1.2974169003535261</v>
      </c>
      <c r="U300">
        <f t="shared" si="226"/>
        <v>0.41391267807539034</v>
      </c>
      <c r="V300">
        <f t="shared" si="227"/>
        <v>-1.1440482923437179</v>
      </c>
      <c r="X300">
        <f t="shared" si="244"/>
        <v>-33.459847318418824</v>
      </c>
      <c r="Y300">
        <f t="shared" si="228"/>
        <v>-156.65464538948325</v>
      </c>
      <c r="Z300">
        <f t="shared" si="245"/>
        <v>23.34535461051675</v>
      </c>
      <c r="AC300">
        <v>1</v>
      </c>
      <c r="AD300">
        <f t="shared" si="229"/>
        <v>71.110577951279993</v>
      </c>
      <c r="AE300">
        <f t="shared" si="230"/>
        <v>-2.8818660504740131E-2</v>
      </c>
      <c r="AF300">
        <f t="shared" si="231"/>
        <v>1.3103582943149998E-2</v>
      </c>
      <c r="AG300">
        <f t="shared" si="246"/>
        <v>900.98533796025094</v>
      </c>
      <c r="AH300">
        <f t="shared" si="247"/>
        <v>-2057.8486579902401</v>
      </c>
      <c r="AJ300">
        <f t="shared" si="232"/>
        <v>18000</v>
      </c>
      <c r="AK300">
        <f t="shared" si="233"/>
        <v>64194.047573039999</v>
      </c>
      <c r="AL300">
        <v>1</v>
      </c>
      <c r="AM300">
        <f t="shared" si="234"/>
        <v>110.55641526468</v>
      </c>
      <c r="AN300">
        <f t="shared" si="248"/>
        <v>582.07020648737512</v>
      </c>
      <c r="AO300">
        <f t="shared" si="249"/>
        <v>-157.54788857627892</v>
      </c>
      <c r="AQ300">
        <f t="shared" si="235"/>
        <v>1.3520803784743395E-2</v>
      </c>
      <c r="AR300">
        <f t="shared" si="236"/>
        <v>-11.627891254879319</v>
      </c>
      <c r="AT300">
        <f t="shared" si="261"/>
        <v>-23916.258368142364</v>
      </c>
      <c r="AU300">
        <f t="shared" si="262"/>
        <v>-10504.383299965875</v>
      </c>
      <c r="AV300">
        <f t="shared" si="250"/>
        <v>-2.7277435075179222</v>
      </c>
      <c r="AW300">
        <f t="shared" si="251"/>
        <v>-281.23410418283265</v>
      </c>
      <c r="AX300">
        <f t="shared" si="252"/>
        <v>-9385.8432248750687</v>
      </c>
      <c r="AY300">
        <f t="shared" si="260"/>
        <v>-1.6007510124709259</v>
      </c>
      <c r="BA300">
        <f t="shared" si="237"/>
        <v>2.7818192052810962</v>
      </c>
      <c r="BB300">
        <f t="shared" si="253"/>
        <v>8.8865780221052422</v>
      </c>
      <c r="BC300">
        <f t="shared" si="254"/>
        <v>-1.1269924950469963</v>
      </c>
      <c r="BD300">
        <f t="shared" si="238"/>
        <v>-244.57191358289538</v>
      </c>
      <c r="BF300">
        <f t="shared" si="239"/>
        <v>-35.996623589205356</v>
      </c>
      <c r="BG300">
        <f t="shared" si="240"/>
        <v>-170.01699769391976</v>
      </c>
      <c r="BH300">
        <f t="shared" si="255"/>
        <v>9.9830023060802375</v>
      </c>
      <c r="BI300">
        <f t="shared" si="256"/>
        <v>9.9830023060802375</v>
      </c>
      <c r="BJ300">
        <f t="shared" si="241"/>
        <v>0</v>
      </c>
      <c r="BK300">
        <f t="shared" si="257"/>
        <v>0</v>
      </c>
      <c r="BM300">
        <f t="shared" si="258"/>
        <v>-44.883201611310596</v>
      </c>
      <c r="BN300">
        <f t="shared" si="242"/>
        <v>-105.4450841110244</v>
      </c>
      <c r="BQ300" s="56">
        <f t="shared" si="259"/>
        <v>25.788538822390379</v>
      </c>
      <c r="BR300" s="59"/>
      <c r="BS300" s="59"/>
      <c r="BT300" s="59">
        <v>79432.823000000004</v>
      </c>
      <c r="BU300" s="59">
        <v>4.23407</v>
      </c>
      <c r="BV300" s="59">
        <v>-130.17400000000001</v>
      </c>
      <c r="BY300" s="59"/>
      <c r="BZ300" s="59"/>
      <c r="CA300" s="59"/>
      <c r="CC300" s="59"/>
    </row>
    <row r="301" spans="1:81" x14ac:dyDescent="0.25">
      <c r="A301">
        <f t="shared" si="263"/>
        <v>435000</v>
      </c>
      <c r="B301">
        <f t="shared" si="243"/>
        <v>435</v>
      </c>
      <c r="C301">
        <f t="shared" si="212"/>
        <v>3.7438291778185406</v>
      </c>
      <c r="D301">
        <f t="shared" si="213"/>
        <v>1.3004074507036893</v>
      </c>
      <c r="F301">
        <f t="shared" si="214"/>
        <v>1.0024178653106833E-4</v>
      </c>
      <c r="G301">
        <f t="shared" si="215"/>
        <v>3.7680310862562988E-3</v>
      </c>
      <c r="H301">
        <f t="shared" si="216"/>
        <v>-3.137824618913744</v>
      </c>
      <c r="J301">
        <f t="shared" si="217"/>
        <v>15</v>
      </c>
      <c r="M301">
        <f t="shared" si="218"/>
        <v>4.1909900665891529E-3</v>
      </c>
      <c r="N301">
        <f t="shared" si="219"/>
        <v>-1.5707963250000001</v>
      </c>
      <c r="O301">
        <f t="shared" si="220"/>
        <v>71.944395284166205</v>
      </c>
      <c r="P301">
        <f t="shared" si="221"/>
        <v>1.5568962557918447</v>
      </c>
      <c r="Q301">
        <f t="shared" si="222"/>
        <v>111.8464254819559</v>
      </c>
      <c r="R301">
        <f t="shared" si="223"/>
        <v>1.5618553765656251</v>
      </c>
      <c r="S301">
        <f t="shared" si="224"/>
        <v>0.26710620397020401</v>
      </c>
      <c r="T301">
        <f t="shared" si="225"/>
        <v>-1.3004074507036893</v>
      </c>
      <c r="U301">
        <f t="shared" si="226"/>
        <v>0.40995851459861793</v>
      </c>
      <c r="V301">
        <f t="shared" si="227"/>
        <v>-1.1483877482566427</v>
      </c>
      <c r="X301">
        <f t="shared" si="244"/>
        <v>-33.643686498245259</v>
      </c>
      <c r="Y301">
        <f t="shared" si="228"/>
        <v>-156.89057292845558</v>
      </c>
      <c r="Z301">
        <f t="shared" si="245"/>
        <v>23.109427071544417</v>
      </c>
      <c r="AC301">
        <v>1</v>
      </c>
      <c r="AD301">
        <f t="shared" si="229"/>
        <v>71.937445136760005</v>
      </c>
      <c r="AE301">
        <f t="shared" si="230"/>
        <v>-2.9492758431635759E-2</v>
      </c>
      <c r="AF301">
        <f t="shared" si="231"/>
        <v>1.3255950186674999E-2</v>
      </c>
      <c r="AG301">
        <f t="shared" si="246"/>
        <v>883.85309582839636</v>
      </c>
      <c r="AH301">
        <f t="shared" si="247"/>
        <v>-2041.8955610989369</v>
      </c>
      <c r="AJ301">
        <f t="shared" si="232"/>
        <v>18000</v>
      </c>
      <c r="AK301">
        <f t="shared" si="233"/>
        <v>64940.489986680004</v>
      </c>
      <c r="AL301">
        <v>1</v>
      </c>
      <c r="AM301">
        <f t="shared" si="234"/>
        <v>111.84195497705998</v>
      </c>
      <c r="AN301">
        <f t="shared" si="248"/>
        <v>582.03763770528576</v>
      </c>
      <c r="AO301">
        <f t="shared" si="249"/>
        <v>-155.73728450890661</v>
      </c>
      <c r="AQ301">
        <f t="shared" si="235"/>
        <v>1.3211767457038635E-2</v>
      </c>
      <c r="AR301">
        <f t="shared" si="236"/>
        <v>-11.494237687623613</v>
      </c>
      <c r="AT301">
        <f t="shared" si="261"/>
        <v>-23458.355651006499</v>
      </c>
      <c r="AU301">
        <f t="shared" si="262"/>
        <v>-10186.194613718357</v>
      </c>
      <c r="AV301">
        <f t="shared" si="250"/>
        <v>-2.7319347212734328</v>
      </c>
      <c r="AW301">
        <f t="shared" si="251"/>
        <v>-257.84276457420697</v>
      </c>
      <c r="AX301">
        <f t="shared" si="252"/>
        <v>-9285.7602282983571</v>
      </c>
      <c r="AY301">
        <f t="shared" si="260"/>
        <v>-1.5985567384515542</v>
      </c>
      <c r="BA301">
        <f t="shared" si="237"/>
        <v>2.7530978369042751</v>
      </c>
      <c r="BB301">
        <f t="shared" si="253"/>
        <v>8.7964329040210529</v>
      </c>
      <c r="BC301">
        <f t="shared" si="254"/>
        <v>-1.1333779828218786</v>
      </c>
      <c r="BD301">
        <f t="shared" si="238"/>
        <v>-244.93777508294659</v>
      </c>
      <c r="BF301">
        <f t="shared" si="239"/>
        <v>-36.19444545843222</v>
      </c>
      <c r="BG301">
        <f t="shared" si="240"/>
        <v>-170.21402414655762</v>
      </c>
      <c r="BH301">
        <f t="shared" si="255"/>
        <v>9.7859758534423804</v>
      </c>
      <c r="BI301">
        <f t="shared" si="256"/>
        <v>9.7859758534423804</v>
      </c>
      <c r="BJ301">
        <f t="shared" si="241"/>
        <v>0</v>
      </c>
      <c r="BK301">
        <f t="shared" si="257"/>
        <v>0</v>
      </c>
      <c r="BM301">
        <f t="shared" si="258"/>
        <v>-44.990878362453266</v>
      </c>
      <c r="BN301">
        <f t="shared" si="242"/>
        <v>-105.27624906361103</v>
      </c>
      <c r="BQ301" s="56">
        <f t="shared" si="259"/>
        <v>25.698393704306191</v>
      </c>
      <c r="BR301" s="59"/>
      <c r="BS301" s="59"/>
      <c r="BT301" s="59">
        <v>81283.051999999996</v>
      </c>
      <c r="BU301" s="59">
        <v>4.4202000000000004</v>
      </c>
      <c r="BV301" s="59">
        <v>-130.05699999999999</v>
      </c>
      <c r="BY301" s="59"/>
      <c r="BZ301" s="59"/>
      <c r="CA301" s="59"/>
      <c r="CC301" s="59"/>
    </row>
    <row r="302" spans="1:81" x14ac:dyDescent="0.25">
      <c r="A302">
        <f t="shared" si="263"/>
        <v>440000</v>
      </c>
      <c r="B302">
        <f t="shared" si="243"/>
        <v>440</v>
      </c>
      <c r="C302">
        <f t="shared" si="212"/>
        <v>3.7838077236291636</v>
      </c>
      <c r="D302">
        <f t="shared" si="213"/>
        <v>1.3033348323097111</v>
      </c>
      <c r="F302">
        <f t="shared" si="214"/>
        <v>9.7976301025633387E-5</v>
      </c>
      <c r="G302">
        <f t="shared" si="215"/>
        <v>3.7252044613489896E-3</v>
      </c>
      <c r="H302">
        <f t="shared" si="216"/>
        <v>-3.1378674455386513</v>
      </c>
      <c r="J302">
        <f t="shared" si="217"/>
        <v>15</v>
      </c>
      <c r="M302">
        <f t="shared" si="218"/>
        <v>4.1433651794688222E-3</v>
      </c>
      <c r="N302">
        <f t="shared" si="219"/>
        <v>-1.5707963250000001</v>
      </c>
      <c r="O302">
        <f t="shared" si="220"/>
        <v>72.771183498198567</v>
      </c>
      <c r="P302">
        <f t="shared" si="221"/>
        <v>1.557054191144454</v>
      </c>
      <c r="Q302">
        <f t="shared" si="222"/>
        <v>113.13191439513996</v>
      </c>
      <c r="R302">
        <f t="shared" si="223"/>
        <v>1.5619569729500686</v>
      </c>
      <c r="S302">
        <f t="shared" si="224"/>
        <v>0.26428404217137919</v>
      </c>
      <c r="T302">
        <f t="shared" si="225"/>
        <v>-1.3033348323097109</v>
      </c>
      <c r="U302">
        <f t="shared" si="226"/>
        <v>0.40607175462805012</v>
      </c>
      <c r="V302">
        <f t="shared" si="227"/>
        <v>-1.152644999513935</v>
      </c>
      <c r="X302">
        <f t="shared" si="244"/>
        <v>-33.8257426698936</v>
      </c>
      <c r="Y302">
        <f t="shared" si="228"/>
        <v>-157.12207916976485</v>
      </c>
      <c r="Z302">
        <f t="shared" si="245"/>
        <v>22.877920830235155</v>
      </c>
      <c r="AC302">
        <v>1</v>
      </c>
      <c r="AD302">
        <f t="shared" si="229"/>
        <v>72.764312322240002</v>
      </c>
      <c r="AE302">
        <f t="shared" si="230"/>
        <v>-3.0174649398148679E-2</v>
      </c>
      <c r="AF302">
        <f t="shared" si="231"/>
        <v>1.3408317430199998E-2</v>
      </c>
      <c r="AG302">
        <f t="shared" si="246"/>
        <v>867.17316461000462</v>
      </c>
      <c r="AH302">
        <f t="shared" si="247"/>
        <v>-2026.1040470597468</v>
      </c>
      <c r="AJ302">
        <f t="shared" si="232"/>
        <v>18000</v>
      </c>
      <c r="AK302">
        <f t="shared" si="233"/>
        <v>65686.932400320002</v>
      </c>
      <c r="AL302">
        <v>1</v>
      </c>
      <c r="AM302">
        <f t="shared" si="234"/>
        <v>113.12749468943998</v>
      </c>
      <c r="AN302">
        <f t="shared" si="248"/>
        <v>582.00617278623679</v>
      </c>
      <c r="AO302">
        <f t="shared" si="249"/>
        <v>-153.96782077628441</v>
      </c>
      <c r="AQ302">
        <f t="shared" si="235"/>
        <v>1.2913206465384214E-2</v>
      </c>
      <c r="AR302">
        <f t="shared" si="236"/>
        <v>-11.363621689538107</v>
      </c>
      <c r="AT302">
        <f t="shared" si="261"/>
        <v>-23012.681908313225</v>
      </c>
      <c r="AU302">
        <f t="shared" si="262"/>
        <v>-9880.3912818276804</v>
      </c>
      <c r="AV302">
        <f t="shared" si="250"/>
        <v>-2.7360470988120476</v>
      </c>
      <c r="AW302">
        <f t="shared" si="251"/>
        <v>-235.38127324828974</v>
      </c>
      <c r="AX302">
        <f t="shared" si="252"/>
        <v>-9187.7513772032398</v>
      </c>
      <c r="AY302">
        <f t="shared" si="260"/>
        <v>-1.5964097535801651</v>
      </c>
      <c r="BA302">
        <f t="shared" si="237"/>
        <v>2.7249169821158143</v>
      </c>
      <c r="BB302">
        <f t="shared" si="253"/>
        <v>8.7070655101745977</v>
      </c>
      <c r="BC302">
        <f t="shared" si="254"/>
        <v>-1.1396373452318824</v>
      </c>
      <c r="BD302">
        <f t="shared" si="238"/>
        <v>-245.29641013189246</v>
      </c>
      <c r="BF302">
        <f t="shared" si="239"/>
        <v>-36.390107337842721</v>
      </c>
      <c r="BG302">
        <f t="shared" si="240"/>
        <v>-170.40738636912332</v>
      </c>
      <c r="BH302">
        <f t="shared" si="255"/>
        <v>9.5926136308766843</v>
      </c>
      <c r="BI302">
        <f t="shared" si="256"/>
        <v>9.5926136308766843</v>
      </c>
      <c r="BJ302">
        <f t="shared" si="241"/>
        <v>0</v>
      </c>
      <c r="BK302">
        <f t="shared" si="257"/>
        <v>0</v>
      </c>
      <c r="BM302">
        <f t="shared" si="258"/>
        <v>-45.097172848017316</v>
      </c>
      <c r="BN302">
        <f t="shared" si="242"/>
        <v>-105.11097623723089</v>
      </c>
      <c r="BQ302" s="56">
        <f t="shared" si="259"/>
        <v>25.609026310459733</v>
      </c>
      <c r="BR302" s="59"/>
      <c r="BS302" s="59"/>
      <c r="BT302" s="59">
        <v>83176.376999999993</v>
      </c>
      <c r="BU302" s="59">
        <v>4.5639399999999997</v>
      </c>
      <c r="BV302" s="59">
        <v>-130.11600000000001</v>
      </c>
      <c r="BY302" s="59"/>
      <c r="BZ302" s="59"/>
      <c r="CA302" s="59"/>
      <c r="CC302" s="59"/>
    </row>
    <row r="303" spans="1:81" x14ac:dyDescent="0.25">
      <c r="A303">
        <f t="shared" si="263"/>
        <v>445000</v>
      </c>
      <c r="B303">
        <f t="shared" si="243"/>
        <v>445</v>
      </c>
      <c r="C303">
        <f t="shared" si="212"/>
        <v>3.823818016830796</v>
      </c>
      <c r="D303">
        <f t="shared" si="213"/>
        <v>1.3062009770830649</v>
      </c>
      <c r="F303">
        <f t="shared" si="214"/>
        <v>9.5786759488029576E-5</v>
      </c>
      <c r="G303">
        <f t="shared" si="215"/>
        <v>3.6833405006479044E-3</v>
      </c>
      <c r="H303">
        <f t="shared" si="216"/>
        <v>-3.1379093094993524</v>
      </c>
      <c r="J303">
        <f t="shared" si="217"/>
        <v>15</v>
      </c>
      <c r="M303">
        <f t="shared" si="218"/>
        <v>4.0968105145309701E-3</v>
      </c>
      <c r="N303">
        <f t="shared" si="219"/>
        <v>-1.5707963250000001</v>
      </c>
      <c r="O303">
        <f t="shared" si="220"/>
        <v>73.597973486621683</v>
      </c>
      <c r="P303">
        <f t="shared" si="221"/>
        <v>1.5572085780507379</v>
      </c>
      <c r="Q303">
        <f t="shared" si="222"/>
        <v>114.41740444981281</v>
      </c>
      <c r="R303">
        <f t="shared" si="223"/>
        <v>1.5620562864460847</v>
      </c>
      <c r="S303">
        <f t="shared" si="224"/>
        <v>0.26151872175883684</v>
      </c>
      <c r="T303">
        <f t="shared" si="225"/>
        <v>-1.3062009770830649</v>
      </c>
      <c r="U303">
        <f t="shared" si="226"/>
        <v>0.40225091587887257</v>
      </c>
      <c r="V303">
        <f t="shared" si="227"/>
        <v>-1.1568222100455074</v>
      </c>
      <c r="X303">
        <f t="shared" si="244"/>
        <v>-34.0060478583449</v>
      </c>
      <c r="Y303">
        <f t="shared" si="228"/>
        <v>-157.3492783695705</v>
      </c>
      <c r="Z303">
        <f t="shared" si="245"/>
        <v>22.650721630429501</v>
      </c>
      <c r="AC303">
        <v>1</v>
      </c>
      <c r="AD303">
        <f t="shared" si="229"/>
        <v>73.59117950772</v>
      </c>
      <c r="AE303">
        <f t="shared" si="230"/>
        <v>-3.0864333404278882E-2</v>
      </c>
      <c r="AF303">
        <f t="shared" si="231"/>
        <v>1.3560684673725001E-2</v>
      </c>
      <c r="AG303">
        <f t="shared" si="246"/>
        <v>850.93100647245319</v>
      </c>
      <c r="AH303">
        <f t="shared" si="247"/>
        <v>-2010.475056663593</v>
      </c>
      <c r="AJ303">
        <f t="shared" si="232"/>
        <v>18000</v>
      </c>
      <c r="AK303">
        <f t="shared" si="233"/>
        <v>66433.374813960007</v>
      </c>
      <c r="AL303">
        <v>1</v>
      </c>
      <c r="AM303">
        <f t="shared" si="234"/>
        <v>114.41303440182</v>
      </c>
      <c r="AN303">
        <f t="shared" si="248"/>
        <v>581.97576240454543</v>
      </c>
      <c r="AO303">
        <f t="shared" si="249"/>
        <v>-152.23811105667505</v>
      </c>
      <c r="AQ303">
        <f t="shared" si="235"/>
        <v>1.2624652664243575E-2</v>
      </c>
      <c r="AR303">
        <f t="shared" si="236"/>
        <v>-11.235940871176782</v>
      </c>
      <c r="AT303">
        <f t="shared" si="261"/>
        <v>-22578.836151249972</v>
      </c>
      <c r="AU303">
        <f t="shared" si="262"/>
        <v>-9586.3920234559337</v>
      </c>
      <c r="AV303">
        <f t="shared" si="250"/>
        <v>-2.7400826905517786</v>
      </c>
      <c r="AW303">
        <f t="shared" si="251"/>
        <v>-213.80202329319769</v>
      </c>
      <c r="AX303">
        <f t="shared" si="252"/>
        <v>-9091.7529519923937</v>
      </c>
      <c r="AY303">
        <f t="shared" si="260"/>
        <v>-1.5943080331028041</v>
      </c>
      <c r="BA303">
        <f t="shared" si="237"/>
        <v>2.6972631758675125</v>
      </c>
      <c r="BB303">
        <f t="shared" si="253"/>
        <v>8.6184664652153682</v>
      </c>
      <c r="BC303">
        <f t="shared" si="254"/>
        <v>-1.1457746574489744</v>
      </c>
      <c r="BD303">
        <f t="shared" si="238"/>
        <v>-245.64805221988769</v>
      </c>
      <c r="BF303">
        <f t="shared" si="239"/>
        <v>-36.583654428319086</v>
      </c>
      <c r="BG303">
        <f t="shared" si="240"/>
        <v>-170.59720908620889</v>
      </c>
      <c r="BH303">
        <f t="shared" si="255"/>
        <v>9.4027909137911081</v>
      </c>
      <c r="BI303">
        <f t="shared" si="256"/>
        <v>9.4027909137911081</v>
      </c>
      <c r="BJ303">
        <f t="shared" si="241"/>
        <v>0</v>
      </c>
      <c r="BK303">
        <f t="shared" si="257"/>
        <v>0</v>
      </c>
      <c r="BM303">
        <f t="shared" si="258"/>
        <v>-45.202120893534456</v>
      </c>
      <c r="BN303">
        <f t="shared" si="242"/>
        <v>-104.9491568663212</v>
      </c>
      <c r="BQ303" s="56">
        <f t="shared" si="259"/>
        <v>25.520427265500505</v>
      </c>
      <c r="BR303" s="59"/>
      <c r="BS303" s="59"/>
      <c r="BT303" s="59">
        <v>85113.804000000004</v>
      </c>
      <c r="BU303" s="59">
        <v>4.7605300000000002</v>
      </c>
      <c r="BV303" s="59">
        <v>-129.97300000000001</v>
      </c>
      <c r="BY303" s="59"/>
      <c r="BZ303" s="59"/>
      <c r="CA303" s="59"/>
      <c r="CC303" s="59"/>
    </row>
    <row r="304" spans="1:81" x14ac:dyDescent="0.25">
      <c r="A304">
        <f t="shared" si="263"/>
        <v>450000</v>
      </c>
      <c r="B304">
        <f t="shared" si="243"/>
        <v>450</v>
      </c>
      <c r="C304">
        <f t="shared" si="212"/>
        <v>3.8638590711900616</v>
      </c>
      <c r="D304">
        <f t="shared" si="213"/>
        <v>1.3090077409742333</v>
      </c>
      <c r="F304">
        <f t="shared" si="214"/>
        <v>9.3669804957882306E-5</v>
      </c>
      <c r="G304">
        <f t="shared" si="215"/>
        <v>3.6424071036252454E-3</v>
      </c>
      <c r="H304">
        <f t="shared" si="216"/>
        <v>-3.137950242896375</v>
      </c>
      <c r="J304">
        <f t="shared" si="217"/>
        <v>15</v>
      </c>
      <c r="M304">
        <f t="shared" si="218"/>
        <v>4.051290397702848E-3</v>
      </c>
      <c r="N304">
        <f t="shared" si="219"/>
        <v>-1.5707963250000001</v>
      </c>
      <c r="O304">
        <f t="shared" si="220"/>
        <v>74.42476519030005</v>
      </c>
      <c r="P304">
        <f t="shared" si="221"/>
        <v>1.5573595347632814</v>
      </c>
      <c r="Q304">
        <f t="shared" si="222"/>
        <v>115.70289560792776</v>
      </c>
      <c r="R304">
        <f t="shared" si="223"/>
        <v>1.5621533931422462</v>
      </c>
      <c r="S304">
        <f t="shared" si="224"/>
        <v>0.25880861117742632</v>
      </c>
      <c r="T304">
        <f t="shared" si="225"/>
        <v>-1.3090077409742333</v>
      </c>
      <c r="U304">
        <f t="shared" si="226"/>
        <v>0.39849454943254037</v>
      </c>
      <c r="V304">
        <f t="shared" si="227"/>
        <v>-1.1609214743521592</v>
      </c>
      <c r="X304">
        <f t="shared" si="244"/>
        <v>-34.184633277032376</v>
      </c>
      <c r="Y304">
        <f t="shared" si="228"/>
        <v>-157.57228123822517</v>
      </c>
      <c r="Z304">
        <f t="shared" si="245"/>
        <v>22.427718761774827</v>
      </c>
      <c r="AC304">
        <v>1</v>
      </c>
      <c r="AD304">
        <f t="shared" si="229"/>
        <v>74.418046693199997</v>
      </c>
      <c r="AE304">
        <f t="shared" si="230"/>
        <v>-3.156181045002638E-2</v>
      </c>
      <c r="AF304">
        <f t="shared" si="231"/>
        <v>1.371305191725E-2</v>
      </c>
      <c r="AG304">
        <f t="shared" si="246"/>
        <v>835.11260090757582</v>
      </c>
      <c r="AH304">
        <f t="shared" si="247"/>
        <v>-1995.0092641200845</v>
      </c>
      <c r="AJ304">
        <f t="shared" si="232"/>
        <v>18000</v>
      </c>
      <c r="AK304">
        <f t="shared" si="233"/>
        <v>67179.817227600011</v>
      </c>
      <c r="AL304">
        <v>1</v>
      </c>
      <c r="AM304">
        <f t="shared" si="234"/>
        <v>115.6985741142</v>
      </c>
      <c r="AN304">
        <f t="shared" si="248"/>
        <v>581.94635995911949</v>
      </c>
      <c r="AO304">
        <f t="shared" si="249"/>
        <v>-150.54683061909157</v>
      </c>
      <c r="AQ304">
        <f t="shared" si="235"/>
        <v>1.2345663770785468E-2</v>
      </c>
      <c r="AR304">
        <f t="shared" si="236"/>
        <v>-11.111097393706922</v>
      </c>
      <c r="AT304">
        <f t="shared" si="261"/>
        <v>-22156.432215604284</v>
      </c>
      <c r="AU304">
        <f t="shared" si="262"/>
        <v>-9303.6471569904024</v>
      </c>
      <c r="AV304">
        <f t="shared" si="250"/>
        <v>-2.7440434825248072</v>
      </c>
      <c r="AW304">
        <f t="shared" si="251"/>
        <v>-193.06034244059333</v>
      </c>
      <c r="AX304">
        <f t="shared" si="252"/>
        <v>-8997.703859186402</v>
      </c>
      <c r="AY304">
        <f t="shared" si="260"/>
        <v>-1.5922496582417383</v>
      </c>
      <c r="BA304">
        <f t="shared" si="237"/>
        <v>2.6701233032249956</v>
      </c>
      <c r="BB304">
        <f t="shared" si="253"/>
        <v>8.5306263409526331</v>
      </c>
      <c r="BC304">
        <f t="shared" si="254"/>
        <v>-1.151793824283069</v>
      </c>
      <c r="BD304">
        <f t="shared" si="238"/>
        <v>-245.99292507606052</v>
      </c>
      <c r="BF304">
        <f t="shared" si="239"/>
        <v>-36.77513060426466</v>
      </c>
      <c r="BG304">
        <f t="shared" si="240"/>
        <v>-170.78361152803748</v>
      </c>
      <c r="BH304">
        <f t="shared" si="255"/>
        <v>9.2163884719625173</v>
      </c>
      <c r="BI304">
        <f t="shared" si="256"/>
        <v>9.2163884719625173</v>
      </c>
      <c r="BJ304">
        <f t="shared" si="241"/>
        <v>0</v>
      </c>
      <c r="BK304">
        <f t="shared" si="257"/>
        <v>0</v>
      </c>
      <c r="BM304">
        <f t="shared" si="258"/>
        <v>-45.30575694521729</v>
      </c>
      <c r="BN304">
        <f t="shared" si="242"/>
        <v>-104.79068645197698</v>
      </c>
      <c r="BQ304" s="56">
        <f t="shared" si="259"/>
        <v>25.432587141237768</v>
      </c>
      <c r="BR304" s="59"/>
      <c r="BS304" s="59"/>
      <c r="BT304" s="59">
        <v>87096.358999999997</v>
      </c>
      <c r="BU304" s="59">
        <v>4.9475499999999997</v>
      </c>
      <c r="BV304" s="59">
        <v>-129.96199999999999</v>
      </c>
      <c r="BY304" s="59"/>
      <c r="BZ304" s="59"/>
      <c r="CA304" s="59"/>
      <c r="CC304" s="59"/>
    </row>
    <row r="305" spans="1:81" x14ac:dyDescent="0.25">
      <c r="A305">
        <f t="shared" si="263"/>
        <v>455000</v>
      </c>
      <c r="B305">
        <f t="shared" si="243"/>
        <v>455</v>
      </c>
      <c r="C305">
        <f t="shared" si="212"/>
        <v>3.9039299401922518</v>
      </c>
      <c r="D305">
        <f t="shared" si="213"/>
        <v>1.3117569075648348</v>
      </c>
      <c r="F305">
        <f t="shared" si="214"/>
        <v>9.1622263935973633E-5</v>
      </c>
      <c r="G305">
        <f t="shared" si="215"/>
        <v>3.602373581398944E-3</v>
      </c>
      <c r="H305">
        <f t="shared" si="216"/>
        <v>-3.1379902764186012</v>
      </c>
      <c r="J305">
        <f t="shared" si="217"/>
        <v>15</v>
      </c>
      <c r="M305">
        <f t="shared" si="218"/>
        <v>4.0067707230028162E-3</v>
      </c>
      <c r="N305">
        <f t="shared" si="219"/>
        <v>-1.5707963250000001</v>
      </c>
      <c r="O305">
        <f t="shared" si="220"/>
        <v>75.251558552696906</v>
      </c>
      <c r="P305">
        <f t="shared" si="221"/>
        <v>1.557507174338318</v>
      </c>
      <c r="Q305">
        <f t="shared" si="222"/>
        <v>116.98838783311027</v>
      </c>
      <c r="R305">
        <f t="shared" si="223"/>
        <v>1.5622483657829886</v>
      </c>
      <c r="S305">
        <f t="shared" si="224"/>
        <v>0.25615213779957191</v>
      </c>
      <c r="T305">
        <f t="shared" si="225"/>
        <v>-1.3117569075648348</v>
      </c>
      <c r="U305">
        <f t="shared" si="226"/>
        <v>0.39480123938929923</v>
      </c>
      <c r="V305">
        <f t="shared" si="227"/>
        <v>-1.1649448199770702</v>
      </c>
      <c r="X305">
        <f t="shared" si="244"/>
        <v>-34.361529354520194</v>
      </c>
      <c r="Y305">
        <f t="shared" si="228"/>
        <v>-157.79119505814529</v>
      </c>
      <c r="Z305">
        <f t="shared" si="245"/>
        <v>22.208804941854709</v>
      </c>
      <c r="AC305">
        <v>1</v>
      </c>
      <c r="AD305">
        <f t="shared" si="229"/>
        <v>75.244913878680009</v>
      </c>
      <c r="AE305">
        <f t="shared" si="230"/>
        <v>-3.2267080535391165E-2</v>
      </c>
      <c r="AF305">
        <f t="shared" si="231"/>
        <v>1.3865419160775001E-2</v>
      </c>
      <c r="AG305">
        <f t="shared" si="246"/>
        <v>819.70442664597863</v>
      </c>
      <c r="AH305">
        <f t="shared" si="247"/>
        <v>-1979.707099476404</v>
      </c>
      <c r="AJ305">
        <f t="shared" si="232"/>
        <v>18000</v>
      </c>
      <c r="AK305">
        <f t="shared" si="233"/>
        <v>67926.259641240002</v>
      </c>
      <c r="AL305">
        <v>1</v>
      </c>
      <c r="AM305">
        <f t="shared" si="234"/>
        <v>116.98411382657999</v>
      </c>
      <c r="AN305">
        <f t="shared" si="248"/>
        <v>581.91792139483937</v>
      </c>
      <c r="AO305">
        <f t="shared" si="249"/>
        <v>-148.89271294071719</v>
      </c>
      <c r="AQ305">
        <f t="shared" si="235"/>
        <v>1.207582166909592E-2</v>
      </c>
      <c r="AR305">
        <f t="shared" si="236"/>
        <v>-10.988997718877286</v>
      </c>
      <c r="AT305">
        <f t="shared" si="261"/>
        <v>-21745.098195713828</v>
      </c>
      <c r="AU305">
        <f t="shared" si="262"/>
        <v>-9031.6366644565933</v>
      </c>
      <c r="AV305">
        <f t="shared" si="250"/>
        <v>-2.7479313985719824</v>
      </c>
      <c r="AW305">
        <f t="shared" si="251"/>
        <v>-173.11428378120388</v>
      </c>
      <c r="AX305">
        <f t="shared" si="252"/>
        <v>-8905.5454932161938</v>
      </c>
      <c r="AY305">
        <f t="shared" si="260"/>
        <v>-1.5902328098087453</v>
      </c>
      <c r="BA305">
        <f t="shared" si="237"/>
        <v>2.6434845952491157</v>
      </c>
      <c r="BB305">
        <f t="shared" si="253"/>
        <v>8.4435356784594688</v>
      </c>
      <c r="BC305">
        <f t="shared" si="254"/>
        <v>-1.1576985887632372</v>
      </c>
      <c r="BD305">
        <f t="shared" si="238"/>
        <v>-246.3312431601795</v>
      </c>
      <c r="BF305">
        <f t="shared" si="239"/>
        <v>-36.964578460816021</v>
      </c>
      <c r="BG305">
        <f t="shared" si="240"/>
        <v>-170.96670772102189</v>
      </c>
      <c r="BH305">
        <f t="shared" si="255"/>
        <v>9.0332922789781094</v>
      </c>
      <c r="BI305">
        <f t="shared" si="256"/>
        <v>9.0332922789781094</v>
      </c>
      <c r="BJ305">
        <f t="shared" si="241"/>
        <v>0</v>
      </c>
      <c r="BK305">
        <f t="shared" si="257"/>
        <v>0</v>
      </c>
      <c r="BM305">
        <f t="shared" si="258"/>
        <v>-45.40811413927549</v>
      </c>
      <c r="BN305">
        <f t="shared" si="242"/>
        <v>-104.63546456084238</v>
      </c>
      <c r="BQ305" s="56">
        <f t="shared" si="259"/>
        <v>25.345496478744604</v>
      </c>
      <c r="BR305" s="59"/>
      <c r="BS305" s="59"/>
      <c r="BT305" s="59">
        <v>89125.093999999997</v>
      </c>
      <c r="BU305" s="59">
        <v>5.2143100000000002</v>
      </c>
      <c r="BV305" s="59">
        <v>-129.73099999999999</v>
      </c>
      <c r="BY305" s="59"/>
      <c r="BZ305" s="59"/>
      <c r="CA305" s="59"/>
      <c r="CC305" s="59"/>
    </row>
    <row r="306" spans="1:81" x14ac:dyDescent="0.25">
      <c r="A306">
        <f t="shared" si="263"/>
        <v>460000</v>
      </c>
      <c r="B306">
        <f t="shared" si="243"/>
        <v>460</v>
      </c>
      <c r="C306">
        <f t="shared" si="212"/>
        <v>3.94402971509788</v>
      </c>
      <c r="D306">
        <f t="shared" si="213"/>
        <v>1.3144501914643445</v>
      </c>
      <c r="F306">
        <f t="shared" si="214"/>
        <v>8.9641134482518022E-5</v>
      </c>
      <c r="G306">
        <f t="shared" si="215"/>
        <v>3.5632105799721331E-3</v>
      </c>
      <c r="H306">
        <f t="shared" si="216"/>
        <v>-3.1380294394200279</v>
      </c>
      <c r="J306">
        <f t="shared" si="217"/>
        <v>15</v>
      </c>
      <c r="M306">
        <f t="shared" si="218"/>
        <v>3.9632188673180031E-3</v>
      </c>
      <c r="N306">
        <f t="shared" si="219"/>
        <v>-1.5707963250000001</v>
      </c>
      <c r="O306">
        <f t="shared" si="220"/>
        <v>76.078353519733142</v>
      </c>
      <c r="P306">
        <f t="shared" si="221"/>
        <v>1.5576516049180402</v>
      </c>
      <c r="Q306">
        <f t="shared" si="222"/>
        <v>118.2738810905672</v>
      </c>
      <c r="R306">
        <f t="shared" si="223"/>
        <v>1.5623412739503322</v>
      </c>
      <c r="S306">
        <f t="shared" si="224"/>
        <v>0.25354778544694179</v>
      </c>
      <c r="T306">
        <f t="shared" si="225"/>
        <v>-1.3144501914643445</v>
      </c>
      <c r="U306">
        <f t="shared" si="226"/>
        <v>0.39116960247191901</v>
      </c>
      <c r="V306">
        <f t="shared" si="227"/>
        <v>-1.1688942098903921</v>
      </c>
      <c r="X306">
        <f t="shared" si="244"/>
        <v>-34.536765760041298</v>
      </c>
      <c r="Y306">
        <f t="shared" si="228"/>
        <v>-158.00612379824881</v>
      </c>
      <c r="Z306">
        <f t="shared" si="245"/>
        <v>21.993876201751192</v>
      </c>
      <c r="AC306">
        <v>1</v>
      </c>
      <c r="AD306">
        <f t="shared" si="229"/>
        <v>76.071781064159993</v>
      </c>
      <c r="AE306">
        <f t="shared" si="230"/>
        <v>-3.2980143660373253E-2</v>
      </c>
      <c r="AF306">
        <f t="shared" si="231"/>
        <v>1.4017786404300001E-2</v>
      </c>
      <c r="AG306">
        <f t="shared" si="246"/>
        <v>804.6934440054855</v>
      </c>
      <c r="AH306">
        <f t="shared" si="247"/>
        <v>-1964.5687693895652</v>
      </c>
      <c r="AJ306">
        <f t="shared" si="232"/>
        <v>18000</v>
      </c>
      <c r="AK306">
        <f t="shared" si="233"/>
        <v>68672.702054880006</v>
      </c>
      <c r="AL306">
        <v>1</v>
      </c>
      <c r="AM306">
        <f t="shared" si="234"/>
        <v>118.26965353895999</v>
      </c>
      <c r="AN306">
        <f t="shared" si="248"/>
        <v>581.89040503745434</v>
      </c>
      <c r="AO306">
        <f t="shared" si="249"/>
        <v>-147.27454654481363</v>
      </c>
      <c r="AQ306">
        <f t="shared" si="235"/>
        <v>1.1814730842709308E-2</v>
      </c>
      <c r="AR306">
        <f t="shared" si="236"/>
        <v>-10.869552375292562</v>
      </c>
      <c r="AT306">
        <f t="shared" si="261"/>
        <v>-21344.475897292119</v>
      </c>
      <c r="AU306">
        <f t="shared" si="262"/>
        <v>-8769.8683869045071</v>
      </c>
      <c r="AV306">
        <f t="shared" si="250"/>
        <v>-2.7517483024684761</v>
      </c>
      <c r="AW306">
        <f t="shared" si="251"/>
        <v>-153.92443331066846</v>
      </c>
      <c r="AX306">
        <f t="shared" si="252"/>
        <v>-8815.2216071976654</v>
      </c>
      <c r="AY306">
        <f t="shared" si="260"/>
        <v>-1.5882557622455831</v>
      </c>
      <c r="BA306">
        <f t="shared" si="237"/>
        <v>2.617334624107972</v>
      </c>
      <c r="BB306">
        <f t="shared" si="253"/>
        <v>8.3571850077333529</v>
      </c>
      <c r="BC306">
        <f t="shared" si="254"/>
        <v>-1.1634925402228931</v>
      </c>
      <c r="BD306">
        <f t="shared" si="238"/>
        <v>-246.66321212590077</v>
      </c>
      <c r="BF306">
        <f t="shared" si="239"/>
        <v>-37.152039359261082</v>
      </c>
      <c r="BG306">
        <f t="shared" si="240"/>
        <v>-171.14660676079177</v>
      </c>
      <c r="BH306">
        <f t="shared" si="255"/>
        <v>8.8533932392082306</v>
      </c>
      <c r="BI306">
        <f t="shared" si="256"/>
        <v>8.8533932392082306</v>
      </c>
      <c r="BJ306">
        <f t="shared" si="241"/>
        <v>0</v>
      </c>
      <c r="BK306">
        <f t="shared" si="257"/>
        <v>0</v>
      </c>
      <c r="BM306">
        <f t="shared" si="258"/>
        <v>-45.509224366994438</v>
      </c>
      <c r="BN306">
        <f t="shared" si="242"/>
        <v>-104.483394634891</v>
      </c>
      <c r="BQ306" s="56">
        <f t="shared" si="259"/>
        <v>25.259145808018491</v>
      </c>
      <c r="BR306" s="59"/>
      <c r="BS306" s="59"/>
      <c r="BT306" s="59">
        <v>91201.084000000003</v>
      </c>
      <c r="BU306" s="59">
        <v>5.4050900000000004</v>
      </c>
      <c r="BV306" s="59">
        <v>-129.68299999999999</v>
      </c>
      <c r="BY306" s="59"/>
      <c r="BZ306" s="59"/>
      <c r="CA306" s="59"/>
      <c r="CC306" s="59"/>
    </row>
    <row r="307" spans="1:81" x14ac:dyDescent="0.25">
      <c r="A307">
        <f t="shared" si="263"/>
        <v>465000</v>
      </c>
      <c r="B307">
        <f t="shared" si="243"/>
        <v>465</v>
      </c>
      <c r="C307">
        <f t="shared" si="212"/>
        <v>3.984157523110059</v>
      </c>
      <c r="D307">
        <f t="shared" si="213"/>
        <v>1.3170892415232247</v>
      </c>
      <c r="F307">
        <f t="shared" si="214"/>
        <v>8.7723575206606155E-5</v>
      </c>
      <c r="G307">
        <f t="shared" si="215"/>
        <v>3.52489000842792E-3</v>
      </c>
      <c r="H307">
        <f t="shared" si="216"/>
        <v>-3.1380677599915723</v>
      </c>
      <c r="J307">
        <f t="shared" si="217"/>
        <v>15</v>
      </c>
      <c r="M307">
        <f t="shared" si="218"/>
        <v>3.9206036106801756E-3</v>
      </c>
      <c r="N307">
        <f t="shared" si="219"/>
        <v>-1.5707963250000001</v>
      </c>
      <c r="O307">
        <f t="shared" si="220"/>
        <v>76.905150039655098</v>
      </c>
      <c r="P307">
        <f t="shared" si="221"/>
        <v>1.5577929299947038</v>
      </c>
      <c r="Q307">
        <f t="shared" si="222"/>
        <v>119.55937534700175</v>
      </c>
      <c r="R307">
        <f t="shared" si="223"/>
        <v>1.5624321842338782</v>
      </c>
      <c r="S307">
        <f t="shared" si="224"/>
        <v>0.25099409202560685</v>
      </c>
      <c r="T307">
        <f t="shared" si="225"/>
        <v>-1.3170892415232247</v>
      </c>
      <c r="U307">
        <f t="shared" si="226"/>
        <v>0.38759828758764614</v>
      </c>
      <c r="V307">
        <f t="shared" si="227"/>
        <v>-1.1727715447891014</v>
      </c>
      <c r="X307">
        <f t="shared" si="244"/>
        <v>-34.710371427961199</v>
      </c>
      <c r="Y307">
        <f t="shared" si="228"/>
        <v>-158.21716822496907</v>
      </c>
      <c r="Z307">
        <f t="shared" si="245"/>
        <v>21.782831775030928</v>
      </c>
      <c r="AC307">
        <v>1</v>
      </c>
      <c r="AD307">
        <f t="shared" si="229"/>
        <v>76.898648249640004</v>
      </c>
      <c r="AE307">
        <f t="shared" si="230"/>
        <v>-3.3700999824972613E-2</v>
      </c>
      <c r="AF307">
        <f t="shared" si="231"/>
        <v>1.4170153647825E-2</v>
      </c>
      <c r="AG307">
        <f t="shared" si="246"/>
        <v>790.06707769312288</v>
      </c>
      <c r="AH307">
        <f t="shared" si="247"/>
        <v>-1949.5942763678452</v>
      </c>
      <c r="AJ307">
        <f t="shared" si="232"/>
        <v>18000</v>
      </c>
      <c r="AK307">
        <f t="shared" si="233"/>
        <v>69419.144468519997</v>
      </c>
      <c r="AL307">
        <v>1</v>
      </c>
      <c r="AM307">
        <f t="shared" si="234"/>
        <v>119.55519325134</v>
      </c>
      <c r="AN307">
        <f t="shared" si="248"/>
        <v>581.86377144083474</v>
      </c>
      <c r="AO307">
        <f t="shared" si="249"/>
        <v>-145.69117204253226</v>
      </c>
      <c r="AQ307">
        <f t="shared" si="235"/>
        <v>1.1562016924480374E-2</v>
      </c>
      <c r="AR307">
        <f t="shared" si="236"/>
        <v>-10.752675739766747</v>
      </c>
      <c r="AT307">
        <f t="shared" si="261"/>
        <v>-20954.220308964872</v>
      </c>
      <c r="AU307">
        <f t="shared" si="262"/>
        <v>-8517.8763411184882</v>
      </c>
      <c r="AV307">
        <f t="shared" si="250"/>
        <v>-2.7554959999813957</v>
      </c>
      <c r="AW307">
        <f t="shared" si="251"/>
        <v>-135.45373280579656</v>
      </c>
      <c r="AX307">
        <f t="shared" si="252"/>
        <v>-8726.6781919896621</v>
      </c>
      <c r="AY307">
        <f t="shared" si="260"/>
        <v>-1.5863168780608494</v>
      </c>
      <c r="BA307">
        <f t="shared" si="237"/>
        <v>2.5916612975557456</v>
      </c>
      <c r="BB307">
        <f t="shared" si="253"/>
        <v>8.271564865158572</v>
      </c>
      <c r="BC307">
        <f t="shared" si="254"/>
        <v>-1.1691791219205463</v>
      </c>
      <c r="BD307">
        <f t="shared" si="238"/>
        <v>-246.98902925740495</v>
      </c>
      <c r="BF307">
        <f t="shared" si="239"/>
        <v>-37.337553470719492</v>
      </c>
      <c r="BG307">
        <f t="shared" si="240"/>
        <v>-171.32341306884609</v>
      </c>
      <c r="BH307">
        <f t="shared" si="255"/>
        <v>8.6765869311539063</v>
      </c>
      <c r="BI307">
        <f t="shared" si="256"/>
        <v>8.6765869311539063</v>
      </c>
      <c r="BJ307">
        <f t="shared" si="241"/>
        <v>0</v>
      </c>
      <c r="BK307">
        <f t="shared" si="257"/>
        <v>0</v>
      </c>
      <c r="BM307">
        <f t="shared" si="258"/>
        <v>-45.609118335878065</v>
      </c>
      <c r="BN307">
        <f t="shared" si="242"/>
        <v>-104.33438381144117</v>
      </c>
      <c r="BQ307" s="56">
        <f t="shared" si="259"/>
        <v>25.173525665443709</v>
      </c>
      <c r="BR307" s="59"/>
      <c r="BS307" s="59"/>
      <c r="BT307" s="59">
        <v>93325.43</v>
      </c>
      <c r="BU307" s="59">
        <v>5.6014999999999997</v>
      </c>
      <c r="BV307" s="59">
        <v>-129.64400000000001</v>
      </c>
      <c r="BY307" s="59"/>
      <c r="BZ307" s="59"/>
      <c r="CA307" s="59"/>
      <c r="CC307" s="59"/>
    </row>
    <row r="308" spans="1:81" x14ac:dyDescent="0.25">
      <c r="A308">
        <f t="shared" si="263"/>
        <v>470000</v>
      </c>
      <c r="B308">
        <f t="shared" si="243"/>
        <v>470</v>
      </c>
      <c r="C308">
        <f t="shared" si="212"/>
        <v>4.0243125256455583</v>
      </c>
      <c r="D308">
        <f t="shared" si="213"/>
        <v>1.3196756438735098</v>
      </c>
      <c r="F308">
        <f t="shared" si="214"/>
        <v>8.5866895071361722E-5</v>
      </c>
      <c r="G308">
        <f t="shared" si="215"/>
        <v>3.4873849717102024E-3</v>
      </c>
      <c r="H308">
        <f t="shared" si="216"/>
        <v>-3.1381052650282899</v>
      </c>
      <c r="J308">
        <f t="shared" si="217"/>
        <v>15</v>
      </c>
      <c r="M308">
        <f t="shared" si="218"/>
        <v>3.878895061630386E-3</v>
      </c>
      <c r="N308">
        <f t="shared" si="219"/>
        <v>-1.5707963250000001</v>
      </c>
      <c r="O308">
        <f t="shared" si="220"/>
        <v>77.731948062910902</v>
      </c>
      <c r="P308">
        <f t="shared" si="221"/>
        <v>1.5579312486578794</v>
      </c>
      <c r="Q308">
        <f t="shared" si="222"/>
        <v>120.84487057053387</v>
      </c>
      <c r="R308">
        <f t="shared" si="223"/>
        <v>1.5625211603899587</v>
      </c>
      <c r="S308">
        <f t="shared" si="224"/>
        <v>0.24848964726952602</v>
      </c>
      <c r="T308">
        <f t="shared" si="225"/>
        <v>-1.3196756438735098</v>
      </c>
      <c r="U308">
        <f t="shared" si="226"/>
        <v>0.38408597535467154</v>
      </c>
      <c r="V308">
        <f t="shared" si="227"/>
        <v>-1.1765786653143548</v>
      </c>
      <c r="X308">
        <f t="shared" si="244"/>
        <v>-34.882374581228468</v>
      </c>
      <c r="Y308">
        <f t="shared" si="228"/>
        <v>-158.42442600986641</v>
      </c>
      <c r="Z308">
        <f t="shared" si="245"/>
        <v>21.575573990133591</v>
      </c>
      <c r="AC308">
        <v>1</v>
      </c>
      <c r="AD308">
        <f t="shared" si="229"/>
        <v>77.725515435120002</v>
      </c>
      <c r="AE308">
        <f t="shared" si="230"/>
        <v>-3.4429649029189269E-2</v>
      </c>
      <c r="AF308">
        <f t="shared" si="231"/>
        <v>1.4322520891350001E-2</v>
      </c>
      <c r="AG308">
        <f t="shared" si="246"/>
        <v>775.81320007487057</v>
      </c>
      <c r="AH308">
        <f t="shared" si="247"/>
        <v>-1934.7834365894244</v>
      </c>
      <c r="AJ308">
        <f t="shared" si="232"/>
        <v>18000</v>
      </c>
      <c r="AK308">
        <f t="shared" si="233"/>
        <v>70165.586882160016</v>
      </c>
      <c r="AL308">
        <v>1</v>
      </c>
      <c r="AM308">
        <f t="shared" si="234"/>
        <v>120.84073296372</v>
      </c>
      <c r="AN308">
        <f t="shared" si="248"/>
        <v>581.83798324553811</v>
      </c>
      <c r="AO308">
        <f t="shared" si="249"/>
        <v>-144.14147936345202</v>
      </c>
      <c r="AQ308">
        <f t="shared" si="235"/>
        <v>1.131732535386447E-2</v>
      </c>
      <c r="AR308">
        <f t="shared" si="236"/>
        <v>-10.638285832632603</v>
      </c>
      <c r="AT308">
        <f t="shared" si="261"/>
        <v>-20573.999092282422</v>
      </c>
      <c r="AU308">
        <f t="shared" si="262"/>
        <v>-8275.2191487670079</v>
      </c>
      <c r="AV308">
        <f t="shared" si="250"/>
        <v>-2.759176240860358</v>
      </c>
      <c r="AW308">
        <f t="shared" si="251"/>
        <v>-117.66731667768828</v>
      </c>
      <c r="AX308">
        <f t="shared" si="252"/>
        <v>-8639.863362899614</v>
      </c>
      <c r="AY308">
        <f t="shared" si="260"/>
        <v>-1.5844146026347681</v>
      </c>
      <c r="BA308">
        <f t="shared" si="237"/>
        <v>2.5664528528965165</v>
      </c>
      <c r="BB308">
        <f t="shared" si="253"/>
        <v>8.1866658089903392</v>
      </c>
      <c r="BC308">
        <f t="shared" si="254"/>
        <v>-1.1747616382255899</v>
      </c>
      <c r="BD308">
        <f t="shared" si="238"/>
        <v>-247.30888388111239</v>
      </c>
      <c r="BF308">
        <f t="shared" si="239"/>
        <v>-37.521159818143104</v>
      </c>
      <c r="BG308">
        <f t="shared" si="240"/>
        <v>-171.49722663390702</v>
      </c>
      <c r="BH308">
        <f t="shared" si="255"/>
        <v>8.5027733660929812</v>
      </c>
      <c r="BI308">
        <f t="shared" si="256"/>
        <v>8.5027733660929812</v>
      </c>
      <c r="BJ308">
        <f t="shared" si="241"/>
        <v>0</v>
      </c>
      <c r="BK308">
        <f t="shared" si="257"/>
        <v>0</v>
      </c>
      <c r="BM308">
        <f t="shared" si="258"/>
        <v>-45.707825627133445</v>
      </c>
      <c r="BN308">
        <f t="shared" si="242"/>
        <v>-104.18834275279463</v>
      </c>
      <c r="BQ308" s="56">
        <f t="shared" si="259"/>
        <v>25.088626609275476</v>
      </c>
      <c r="BR308" s="59"/>
      <c r="BS308" s="59"/>
      <c r="BT308" s="59">
        <v>95499.259000000005</v>
      </c>
      <c r="BU308" s="59">
        <v>5.7946099999999996</v>
      </c>
      <c r="BV308" s="59">
        <v>-129.63</v>
      </c>
      <c r="BY308" s="59"/>
      <c r="BZ308" s="59"/>
      <c r="CA308" s="59"/>
      <c r="CC308" s="59"/>
    </row>
    <row r="309" spans="1:81" x14ac:dyDescent="0.25">
      <c r="A309">
        <f t="shared" si="263"/>
        <v>475000</v>
      </c>
      <c r="B309">
        <f t="shared" si="243"/>
        <v>475</v>
      </c>
      <c r="C309">
        <f t="shared" si="212"/>
        <v>4.0644939167028911</v>
      </c>
      <c r="D309">
        <f t="shared" si="213"/>
        <v>1.3222109248071723</v>
      </c>
      <c r="F309">
        <f t="shared" si="214"/>
        <v>8.4068543946468131E-5</v>
      </c>
      <c r="G309">
        <f t="shared" si="215"/>
        <v>3.4506697076523789E-3</v>
      </c>
      <c r="H309">
        <f t="shared" si="216"/>
        <v>-3.1381419802923478</v>
      </c>
      <c r="J309">
        <f t="shared" si="217"/>
        <v>15</v>
      </c>
      <c r="M309">
        <f t="shared" si="218"/>
        <v>3.838064587297435E-3</v>
      </c>
      <c r="N309">
        <f t="shared" si="219"/>
        <v>-1.5707963250000001</v>
      </c>
      <c r="O309">
        <f t="shared" si="220"/>
        <v>78.558747542034695</v>
      </c>
      <c r="P309">
        <f t="shared" si="221"/>
        <v>1.5580666558260972</v>
      </c>
      <c r="Q309">
        <f t="shared" si="222"/>
        <v>122.13036673062571</v>
      </c>
      <c r="R309">
        <f t="shared" si="223"/>
        <v>1.562608263490735</v>
      </c>
      <c r="S309">
        <f t="shared" si="224"/>
        <v>0.2460330905873758</v>
      </c>
      <c r="T309">
        <f t="shared" si="225"/>
        <v>-1.3222109248071723</v>
      </c>
      <c r="U309">
        <f t="shared" si="226"/>
        <v>0.38063137759875154</v>
      </c>
      <c r="V309">
        <f t="shared" si="227"/>
        <v>-1.1803173541886463</v>
      </c>
      <c r="X309">
        <f t="shared" si="244"/>
        <v>-35.052802753868598</v>
      </c>
      <c r="Y309">
        <f t="shared" si="228"/>
        <v>-158.62799183387099</v>
      </c>
      <c r="Z309">
        <f t="shared" si="245"/>
        <v>21.372008166129007</v>
      </c>
      <c r="AC309">
        <v>1</v>
      </c>
      <c r="AD309">
        <f t="shared" si="229"/>
        <v>78.5523826206</v>
      </c>
      <c r="AE309">
        <f t="shared" si="230"/>
        <v>-3.5166091273023212E-2</v>
      </c>
      <c r="AF309">
        <f t="shared" si="231"/>
        <v>1.4474888134875E-2</v>
      </c>
      <c r="AG309">
        <f t="shared" si="246"/>
        <v>761.92011492300321</v>
      </c>
      <c r="AH309">
        <f t="shared" si="247"/>
        <v>-1920.1358963990838</v>
      </c>
      <c r="AJ309">
        <f t="shared" si="232"/>
        <v>18000</v>
      </c>
      <c r="AK309">
        <f t="shared" si="233"/>
        <v>70912.029295800006</v>
      </c>
      <c r="AL309">
        <v>1</v>
      </c>
      <c r="AM309">
        <f t="shared" si="234"/>
        <v>122.12627267609999</v>
      </c>
      <c r="AN309">
        <f t="shared" si="248"/>
        <v>581.81300504773617</v>
      </c>
      <c r="AO309">
        <f t="shared" si="249"/>
        <v>-142.62440516094611</v>
      </c>
      <c r="AQ309">
        <f t="shared" si="235"/>
        <v>1.1080320132609272E-2</v>
      </c>
      <c r="AR309">
        <f t="shared" si="236"/>
        <v>-10.526304125978807</v>
      </c>
      <c r="AT309">
        <f t="shared" si="261"/>
        <v>-20203.492089916872</v>
      </c>
      <c r="AU309">
        <f t="shared" si="262"/>
        <v>-8041.4785698104715</v>
      </c>
      <c r="AV309">
        <f t="shared" si="250"/>
        <v>-2.7627907207621778</v>
      </c>
      <c r="AW309">
        <f t="shared" si="251"/>
        <v>-100.53236157893232</v>
      </c>
      <c r="AX309">
        <f t="shared" si="252"/>
        <v>-8554.7272534577332</v>
      </c>
      <c r="AY309">
        <f t="shared" si="260"/>
        <v>-1.5825474593655691</v>
      </c>
      <c r="BA309">
        <f t="shared" si="237"/>
        <v>2.5416978505357037</v>
      </c>
      <c r="BB309">
        <f t="shared" si="253"/>
        <v>8.102478433058641</v>
      </c>
      <c r="BC309">
        <f t="shared" si="254"/>
        <v>-1.1802432613966087</v>
      </c>
      <c r="BD309">
        <f t="shared" si="238"/>
        <v>-247.62295775405175</v>
      </c>
      <c r="BF309">
        <f t="shared" si="239"/>
        <v>-37.702896316693796</v>
      </c>
      <c r="BG309">
        <f t="shared" si="240"/>
        <v>-171.66814323897819</v>
      </c>
      <c r="BH309">
        <f t="shared" si="255"/>
        <v>8.3318567610218111</v>
      </c>
      <c r="BI309">
        <f t="shared" si="256"/>
        <v>8.3318567610218111</v>
      </c>
      <c r="BJ309">
        <f t="shared" si="241"/>
        <v>0</v>
      </c>
      <c r="BK309">
        <f t="shared" si="257"/>
        <v>0</v>
      </c>
      <c r="BM309">
        <f t="shared" si="258"/>
        <v>-45.805374749752438</v>
      </c>
      <c r="BN309">
        <f t="shared" si="242"/>
        <v>-104.04518548492644</v>
      </c>
      <c r="BQ309" s="56">
        <f t="shared" si="259"/>
        <v>25.004439233343774</v>
      </c>
      <c r="BR309" s="59"/>
      <c r="BS309" s="59"/>
      <c r="BT309" s="59">
        <v>97723.721999999994</v>
      </c>
      <c r="BU309" s="59">
        <v>5.9855799999999997</v>
      </c>
      <c r="BV309" s="59">
        <v>-129.62100000000001</v>
      </c>
      <c r="BY309" s="59"/>
      <c r="BZ309" s="59"/>
      <c r="CA309" s="59"/>
      <c r="CC309" s="59"/>
    </row>
    <row r="310" spans="1:81" x14ac:dyDescent="0.25">
      <c r="A310">
        <f t="shared" si="263"/>
        <v>480000</v>
      </c>
      <c r="B310">
        <f t="shared" si="243"/>
        <v>480</v>
      </c>
      <c r="C310">
        <f t="shared" si="212"/>
        <v>4.1047009213212746</v>
      </c>
      <c r="D310">
        <f t="shared" si="213"/>
        <v>1.3246965535019324</v>
      </c>
      <c r="F310">
        <f t="shared" si="214"/>
        <v>8.2326103846098127E-5</v>
      </c>
      <c r="G310">
        <f t="shared" si="215"/>
        <v>3.4147195279440041E-3</v>
      </c>
      <c r="H310">
        <f t="shared" si="216"/>
        <v>-3.1381779304720561</v>
      </c>
      <c r="J310">
        <f t="shared" si="217"/>
        <v>15</v>
      </c>
      <c r="M310">
        <f t="shared" si="218"/>
        <v>3.7980847478464195E-3</v>
      </c>
      <c r="N310">
        <f t="shared" si="219"/>
        <v>-1.5707963250000001</v>
      </c>
      <c r="O310">
        <f t="shared" si="220"/>
        <v>79.385548431537927</v>
      </c>
      <c r="P310">
        <f t="shared" si="221"/>
        <v>1.5581992424640165</v>
      </c>
      <c r="Q310">
        <f t="shared" si="222"/>
        <v>123.41586379801173</v>
      </c>
      <c r="R310">
        <f t="shared" si="223"/>
        <v>1.5626935520639793</v>
      </c>
      <c r="S310">
        <f t="shared" si="224"/>
        <v>0.24362310900792919</v>
      </c>
      <c r="T310">
        <f t="shared" si="225"/>
        <v>-1.3246965535019324</v>
      </c>
      <c r="U310">
        <f t="shared" si="226"/>
        <v>0.37723323682503163</v>
      </c>
      <c r="V310">
        <f t="shared" si="227"/>
        <v>-1.1839893382751043</v>
      </c>
      <c r="X310">
        <f t="shared" si="244"/>
        <v>-35.221682812573299</v>
      </c>
      <c r="Y310">
        <f t="shared" si="228"/>
        <v>-158.82795748820257</v>
      </c>
      <c r="Z310">
        <f t="shared" si="245"/>
        <v>21.172042511797429</v>
      </c>
      <c r="AC310">
        <v>1</v>
      </c>
      <c r="AD310">
        <f t="shared" si="229"/>
        <v>79.379249806079997</v>
      </c>
      <c r="AE310">
        <f t="shared" si="230"/>
        <v>-3.5910326556474456E-2</v>
      </c>
      <c r="AF310">
        <f t="shared" si="231"/>
        <v>1.4627255378399999E-2</v>
      </c>
      <c r="AG310">
        <f t="shared" si="246"/>
        <v>748.37654164697756</v>
      </c>
      <c r="AH310">
        <f t="shared" si="247"/>
        <v>-1905.6511475768743</v>
      </c>
      <c r="AJ310">
        <f t="shared" si="232"/>
        <v>18000</v>
      </c>
      <c r="AK310">
        <f t="shared" si="233"/>
        <v>71658.471709439997</v>
      </c>
      <c r="AL310">
        <v>1</v>
      </c>
      <c r="AM310">
        <f t="shared" si="234"/>
        <v>123.41181238847999</v>
      </c>
      <c r="AN310">
        <f t="shared" si="248"/>
        <v>581.78880327765</v>
      </c>
      <c r="AO310">
        <f t="shared" si="249"/>
        <v>-141.13893037963578</v>
      </c>
      <c r="AQ310">
        <f t="shared" si="235"/>
        <v>1.0850682670700227E-2</v>
      </c>
      <c r="AR310">
        <f t="shared" si="236"/>
        <v>-10.416655363872218</v>
      </c>
      <c r="AT310">
        <f t="shared" si="261"/>
        <v>-19842.390851704287</v>
      </c>
      <c r="AU310">
        <f t="shared" si="262"/>
        <v>-7816.2581326265417</v>
      </c>
      <c r="AV310">
        <f t="shared" si="250"/>
        <v>-2.7663410831109743</v>
      </c>
      <c r="AW310">
        <f t="shared" si="251"/>
        <v>-84.01794765926455</v>
      </c>
      <c r="AX310">
        <f t="shared" si="252"/>
        <v>-8471.221915731694</v>
      </c>
      <c r="AY310">
        <f t="shared" si="260"/>
        <v>-1.5807140451331319</v>
      </c>
      <c r="BA310">
        <f t="shared" si="237"/>
        <v>2.5173851672079146</v>
      </c>
      <c r="BB310">
        <f t="shared" si="253"/>
        <v>8.0189933788695136</v>
      </c>
      <c r="BC310">
        <f t="shared" si="254"/>
        <v>-1.1856270379778424</v>
      </c>
      <c r="BD310">
        <f t="shared" si="238"/>
        <v>-247.93142543035032</v>
      </c>
      <c r="BF310">
        <f t="shared" si="239"/>
        <v>-37.882799812555923</v>
      </c>
      <c r="BG310">
        <f t="shared" si="240"/>
        <v>-171.83625467504001</v>
      </c>
      <c r="BH310">
        <f t="shared" si="255"/>
        <v>8.1637453249599901</v>
      </c>
      <c r="BI310">
        <f t="shared" si="256"/>
        <v>8.1637453249599901</v>
      </c>
      <c r="BJ310">
        <f t="shared" si="241"/>
        <v>0</v>
      </c>
      <c r="BK310">
        <f t="shared" si="257"/>
        <v>0</v>
      </c>
      <c r="BM310">
        <f t="shared" si="258"/>
        <v>-45.901793191425433</v>
      </c>
      <c r="BN310">
        <f t="shared" si="242"/>
        <v>-103.90482924468971</v>
      </c>
      <c r="BQ310" s="56">
        <f t="shared" si="259"/>
        <v>24.920954179154649</v>
      </c>
      <c r="BR310" s="59"/>
      <c r="BS310" s="59"/>
      <c r="BT310" s="59">
        <v>100000</v>
      </c>
      <c r="BU310" s="59">
        <v>6.1811499999999997</v>
      </c>
      <c r="BV310" s="59">
        <v>-129.59</v>
      </c>
      <c r="BY310" s="59"/>
      <c r="BZ310" s="59"/>
      <c r="CA310" s="59"/>
      <c r="CC310" s="59"/>
    </row>
    <row r="311" spans="1:81" x14ac:dyDescent="0.25">
      <c r="A311">
        <f t="shared" si="263"/>
        <v>485000</v>
      </c>
      <c r="B311">
        <f t="shared" si="243"/>
        <v>485</v>
      </c>
      <c r="C311">
        <f t="shared" si="212"/>
        <v>4.1449327941247089</v>
      </c>
      <c r="D311">
        <f t="shared" si="213"/>
        <v>1.3271339446035431</v>
      </c>
      <c r="F311">
        <f t="shared" si="214"/>
        <v>8.0637280795998927E-5</v>
      </c>
      <c r="G311">
        <f t="shared" si="215"/>
        <v>3.3795107627510312E-3</v>
      </c>
      <c r="H311">
        <f t="shared" si="216"/>
        <v>-3.1382131392372492</v>
      </c>
      <c r="J311">
        <f t="shared" si="217"/>
        <v>15</v>
      </c>
      <c r="M311">
        <f t="shared" si="218"/>
        <v>3.7589292349820241E-3</v>
      </c>
      <c r="N311">
        <f t="shared" si="219"/>
        <v>-1.5707963250000001</v>
      </c>
      <c r="O311">
        <f t="shared" si="220"/>
        <v>80.212350687807501</v>
      </c>
      <c r="P311">
        <f t="shared" si="221"/>
        <v>1.5583290957861693</v>
      </c>
      <c r="Q311">
        <f t="shared" si="222"/>
        <v>124.70136174463313</v>
      </c>
      <c r="R311">
        <f t="shared" si="223"/>
        <v>1.5627770822242117</v>
      </c>
      <c r="S311">
        <f t="shared" si="224"/>
        <v>0.24125843521937526</v>
      </c>
      <c r="T311">
        <f t="shared" si="225"/>
        <v>-1.3271339446035431</v>
      </c>
      <c r="U311">
        <f t="shared" si="226"/>
        <v>0.37389032566958763</v>
      </c>
      <c r="V311">
        <f t="shared" si="227"/>
        <v>-1.187596290561292</v>
      </c>
      <c r="X311">
        <f t="shared" si="244"/>
        <v>-35.389040977433204</v>
      </c>
      <c r="Y311">
        <f t="shared" si="228"/>
        <v>-159.02441197201961</v>
      </c>
      <c r="Z311">
        <f t="shared" si="245"/>
        <v>20.975588027980393</v>
      </c>
      <c r="AC311">
        <v>1</v>
      </c>
      <c r="AD311">
        <f t="shared" si="229"/>
        <v>80.206116991560009</v>
      </c>
      <c r="AE311">
        <f t="shared" si="230"/>
        <v>-3.6662354879542988E-2</v>
      </c>
      <c r="AF311">
        <f t="shared" si="231"/>
        <v>1.4779622621924999E-2</v>
      </c>
      <c r="AG311">
        <f t="shared" si="246"/>
        <v>735.17160001055174</v>
      </c>
      <c r="AH311">
        <f t="shared" si="247"/>
        <v>-1891.3285414663367</v>
      </c>
      <c r="AJ311">
        <f t="shared" si="232"/>
        <v>18000</v>
      </c>
      <c r="AK311">
        <f t="shared" si="233"/>
        <v>72404.914123080001</v>
      </c>
      <c r="AL311">
        <v>1</v>
      </c>
      <c r="AM311">
        <f t="shared" si="234"/>
        <v>124.69735210085999</v>
      </c>
      <c r="AN311">
        <f t="shared" si="248"/>
        <v>581.76534608671068</v>
      </c>
      <c r="AO311">
        <f t="shared" si="249"/>
        <v>-139.68407797324159</v>
      </c>
      <c r="AQ311">
        <f t="shared" si="235"/>
        <v>1.0628110715154942E-2</v>
      </c>
      <c r="AR311">
        <f t="shared" si="236"/>
        <v>-10.309267393700294</v>
      </c>
      <c r="AT311">
        <f t="shared" si="261"/>
        <v>-19490.39817815409</v>
      </c>
      <c r="AU311">
        <f t="shared" si="262"/>
        <v>-7599.1818539006927</v>
      </c>
      <c r="AV311">
        <f t="shared" si="250"/>
        <v>-2.7698289208950917</v>
      </c>
      <c r="AW311">
        <f t="shared" si="251"/>
        <v>-68.094930468996267</v>
      </c>
      <c r="AX311">
        <f t="shared" si="252"/>
        <v>-8389.3012266995902</v>
      </c>
      <c r="AY311">
        <f t="shared" si="260"/>
        <v>-1.5789130260573723</v>
      </c>
      <c r="BA311">
        <f t="shared" si="237"/>
        <v>2.493503988958059</v>
      </c>
      <c r="BB311">
        <f t="shared" si="253"/>
        <v>7.9362013462637986</v>
      </c>
      <c r="BC311">
        <f t="shared" si="254"/>
        <v>-1.1909158948377194</v>
      </c>
      <c r="BD311">
        <f t="shared" si="238"/>
        <v>-248.23445460721632</v>
      </c>
      <c r="BF311">
        <f t="shared" si="239"/>
        <v>-38.06090612024024</v>
      </c>
      <c r="BG311">
        <f t="shared" si="240"/>
        <v>-172.00164894225117</v>
      </c>
      <c r="BH311">
        <f t="shared" si="255"/>
        <v>7.9983510577488346</v>
      </c>
      <c r="BI311">
        <f t="shared" si="256"/>
        <v>7.9983510577488346</v>
      </c>
      <c r="BJ311">
        <f t="shared" si="241"/>
        <v>0</v>
      </c>
      <c r="BK311">
        <f t="shared" si="257"/>
        <v>0</v>
      </c>
      <c r="BM311">
        <f t="shared" si="258"/>
        <v>-45.997107466504033</v>
      </c>
      <c r="BN311">
        <f t="shared" si="242"/>
        <v>-103.76719433503484</v>
      </c>
      <c r="BQ311" s="56">
        <f t="shared" si="259"/>
        <v>24.838162146548935</v>
      </c>
      <c r="BR311" s="59"/>
      <c r="BS311" s="59"/>
      <c r="BT311" s="59">
        <v>102329.299</v>
      </c>
      <c r="BU311" s="59">
        <v>6.3762999999999996</v>
      </c>
      <c r="BV311" s="59">
        <v>-129.61099999999999</v>
      </c>
      <c r="BY311" s="59"/>
      <c r="BZ311" s="59"/>
      <c r="CA311" s="59"/>
      <c r="CC311" s="59"/>
    </row>
    <row r="312" spans="1:81" x14ac:dyDescent="0.25">
      <c r="A312">
        <f t="shared" si="263"/>
        <v>490000</v>
      </c>
      <c r="B312">
        <f t="shared" si="243"/>
        <v>490</v>
      </c>
      <c r="C312">
        <f t="shared" si="212"/>
        <v>4.1851888179458578</v>
      </c>
      <c r="D312">
        <f t="shared" si="213"/>
        <v>1.3295244606730074</v>
      </c>
      <c r="F312">
        <f t="shared" si="214"/>
        <v>7.8999897278626786E-5</v>
      </c>
      <c r="G312">
        <f t="shared" si="215"/>
        <v>3.3450207087285088E-3</v>
      </c>
      <c r="H312">
        <f t="shared" si="216"/>
        <v>-3.1382476292912718</v>
      </c>
      <c r="J312">
        <f t="shared" si="217"/>
        <v>15</v>
      </c>
      <c r="M312">
        <f t="shared" si="218"/>
        <v>3.720572814216901E-3</v>
      </c>
      <c r="N312">
        <f t="shared" si="219"/>
        <v>-1.5707963250000001</v>
      </c>
      <c r="O312">
        <f t="shared" si="220"/>
        <v>81.039154269010083</v>
      </c>
      <c r="P312">
        <f t="shared" si="221"/>
        <v>1.5584562994482334</v>
      </c>
      <c r="Q312">
        <f t="shared" si="222"/>
        <v>125.98686054357626</v>
      </c>
      <c r="R312">
        <f t="shared" si="223"/>
        <v>1.5628589077958095</v>
      </c>
      <c r="S312">
        <f t="shared" si="224"/>
        <v>0.23893784569815718</v>
      </c>
      <c r="T312">
        <f t="shared" si="225"/>
        <v>-1.3295244606730072</v>
      </c>
      <c r="U312">
        <f t="shared" si="226"/>
        <v>0.37060144633471348</v>
      </c>
      <c r="V312">
        <f t="shared" si="227"/>
        <v>-1.1911398320698685</v>
      </c>
      <c r="X312">
        <f t="shared" si="244"/>
        <v>-35.554902841859139</v>
      </c>
      <c r="Y312">
        <f t="shared" si="228"/>
        <v>-159.21744158685803</v>
      </c>
      <c r="Z312">
        <f t="shared" si="245"/>
        <v>20.78255841314197</v>
      </c>
      <c r="AC312">
        <v>1</v>
      </c>
      <c r="AD312">
        <f t="shared" si="229"/>
        <v>81.032984177039992</v>
      </c>
      <c r="AE312">
        <f t="shared" si="230"/>
        <v>-3.7422176242228808E-2</v>
      </c>
      <c r="AF312">
        <f t="shared" si="231"/>
        <v>1.493198986545E-2</v>
      </c>
      <c r="AG312">
        <f t="shared" si="246"/>
        <v>722.29479533501114</v>
      </c>
      <c r="AH312">
        <f t="shared" si="247"/>
        <v>-1877.1673020437488</v>
      </c>
      <c r="AJ312">
        <f t="shared" si="232"/>
        <v>18000</v>
      </c>
      <c r="AK312">
        <f t="shared" si="233"/>
        <v>73151.356536720006</v>
      </c>
      <c r="AL312">
        <v>1</v>
      </c>
      <c r="AM312">
        <f t="shared" si="234"/>
        <v>125.98289181324</v>
      </c>
      <c r="AN312">
        <f t="shared" si="248"/>
        <v>581.74260324273507</v>
      </c>
      <c r="AO312">
        <f t="shared" si="249"/>
        <v>-138.25891076209379</v>
      </c>
      <c r="AQ312">
        <f t="shared" si="235"/>
        <v>1.0412317354938198E-2</v>
      </c>
      <c r="AR312">
        <f t="shared" si="236"/>
        <v>-10.204071007839433</v>
      </c>
      <c r="AT312">
        <f t="shared" si="261"/>
        <v>-19147.227681015938</v>
      </c>
      <c r="AU312">
        <f t="shared" si="262"/>
        <v>-7389.8930418684968</v>
      </c>
      <c r="AV312">
        <f t="shared" si="250"/>
        <v>-2.7732557784023233</v>
      </c>
      <c r="AW312">
        <f t="shared" si="251"/>
        <v>-52.735822603652416</v>
      </c>
      <c r="AX312">
        <f t="shared" si="252"/>
        <v>-8308.9208002402738</v>
      </c>
      <c r="AY312">
        <f t="shared" si="260"/>
        <v>-1.5771431335305601</v>
      </c>
      <c r="BA312">
        <f t="shared" si="237"/>
        <v>2.47004380394204</v>
      </c>
      <c r="BB312">
        <f t="shared" si="253"/>
        <v>7.8540931027773455</v>
      </c>
      <c r="BC312">
        <f t="shared" si="254"/>
        <v>-1.1961126448717632</v>
      </c>
      <c r="BD312">
        <f t="shared" si="238"/>
        <v>-248.53220645169174</v>
      </c>
      <c r="BF312">
        <f t="shared" si="239"/>
        <v>-38.237250058435066</v>
      </c>
      <c r="BG312">
        <f t="shared" si="240"/>
        <v>-172.16441043946446</v>
      </c>
      <c r="BH312">
        <f t="shared" si="255"/>
        <v>7.8355895605355386</v>
      </c>
      <c r="BI312">
        <f t="shared" si="256"/>
        <v>7.8355895605355386</v>
      </c>
      <c r="BJ312">
        <f t="shared" si="241"/>
        <v>0</v>
      </c>
      <c r="BK312">
        <f t="shared" si="257"/>
        <v>0</v>
      </c>
      <c r="BM312">
        <f t="shared" si="258"/>
        <v>-46.091343161212414</v>
      </c>
      <c r="BN312">
        <f t="shared" si="242"/>
        <v>-103.63220398777274</v>
      </c>
      <c r="BQ312" s="56">
        <f t="shared" si="259"/>
        <v>24.75605390306248</v>
      </c>
      <c r="BR312" s="59"/>
      <c r="BS312" s="59"/>
      <c r="BT312" s="59">
        <v>104712.855</v>
      </c>
      <c r="BU312" s="59">
        <v>6.5692300000000001</v>
      </c>
      <c r="BV312" s="59">
        <v>-129.61699999999999</v>
      </c>
      <c r="BY312" s="59"/>
      <c r="BZ312" s="59"/>
      <c r="CA312" s="59"/>
      <c r="CC312" s="59"/>
    </row>
    <row r="313" spans="1:81" x14ac:dyDescent="0.25">
      <c r="A313">
        <f t="shared" si="263"/>
        <v>495000</v>
      </c>
      <c r="B313">
        <f t="shared" si="243"/>
        <v>495</v>
      </c>
      <c r="C313">
        <f t="shared" si="212"/>
        <v>4.2254683025247566</v>
      </c>
      <c r="D313">
        <f t="shared" si="213"/>
        <v>1.3318694145066392</v>
      </c>
      <c r="F313">
        <f t="shared" si="214"/>
        <v>7.7411885209847814E-5</v>
      </c>
      <c r="G313">
        <f t="shared" si="215"/>
        <v>3.3112275801857037E-3</v>
      </c>
      <c r="H313">
        <f t="shared" si="216"/>
        <v>-3.1382814224198143</v>
      </c>
      <c r="J313">
        <f t="shared" si="217"/>
        <v>15</v>
      </c>
      <c r="M313">
        <f t="shared" si="218"/>
        <v>3.6829912706389527E-3</v>
      </c>
      <c r="N313">
        <f t="shared" si="219"/>
        <v>-1.5707963250000001</v>
      </c>
      <c r="O313">
        <f t="shared" si="220"/>
        <v>81.865959135002313</v>
      </c>
      <c r="P313">
        <f t="shared" si="221"/>
        <v>1.5585809337267171</v>
      </c>
      <c r="Q313">
        <f t="shared" si="222"/>
        <v>127.27236016901479</v>
      </c>
      <c r="R313">
        <f t="shared" si="223"/>
        <v>1.562939080428656</v>
      </c>
      <c r="S313">
        <f t="shared" si="224"/>
        <v>0.23666015892309283</v>
      </c>
      <c r="T313">
        <f t="shared" si="225"/>
        <v>-1.3318694145066392</v>
      </c>
      <c r="U313">
        <f t="shared" si="226"/>
        <v>0.36736543001154659</v>
      </c>
      <c r="V313">
        <f t="shared" si="227"/>
        <v>-1.1946215336984769</v>
      </c>
      <c r="X313">
        <f t="shared" si="244"/>
        <v>-35.719293391732961</v>
      </c>
      <c r="Y313">
        <f t="shared" si="228"/>
        <v>-159.40713002792555</v>
      </c>
      <c r="Z313">
        <f t="shared" si="245"/>
        <v>20.592869972074453</v>
      </c>
      <c r="AC313">
        <v>1</v>
      </c>
      <c r="AD313">
        <f t="shared" si="229"/>
        <v>81.859851362520004</v>
      </c>
      <c r="AE313">
        <f t="shared" si="230"/>
        <v>-3.8189790644531922E-2</v>
      </c>
      <c r="AF313">
        <f t="shared" si="231"/>
        <v>1.5084357108974999E-2</v>
      </c>
      <c r="AG313">
        <f t="shared" si="246"/>
        <v>709.73600418598812</v>
      </c>
      <c r="AH313">
        <f t="shared" si="247"/>
        <v>-1863.1665380043009</v>
      </c>
      <c r="AJ313">
        <f t="shared" si="232"/>
        <v>18000</v>
      </c>
      <c r="AK313">
        <f t="shared" si="233"/>
        <v>73897.798950360011</v>
      </c>
      <c r="AL313">
        <v>1</v>
      </c>
      <c r="AM313">
        <f t="shared" si="234"/>
        <v>127.26843152562</v>
      </c>
      <c r="AN313">
        <f t="shared" si="248"/>
        <v>581.72054603247602</v>
      </c>
      <c r="AO313">
        <f t="shared" si="249"/>
        <v>-136.86252942043296</v>
      </c>
      <c r="AQ313">
        <f t="shared" si="235"/>
        <v>1.0203030095877873E-2</v>
      </c>
      <c r="AR313">
        <f t="shared" si="236"/>
        <v>-10.100999794919096</v>
      </c>
      <c r="AT313">
        <f t="shared" si="261"/>
        <v>-18812.60336047073</v>
      </c>
      <c r="AU313">
        <f t="shared" si="262"/>
        <v>-7188.0531769902555</v>
      </c>
      <c r="AV313">
        <f t="shared" si="250"/>
        <v>-2.7766231528949881</v>
      </c>
      <c r="AW313">
        <f t="shared" si="251"/>
        <v>-37.914684267811012</v>
      </c>
      <c r="AX313">
        <f t="shared" si="252"/>
        <v>-8230.0379043376925</v>
      </c>
      <c r="AY313">
        <f t="shared" si="260"/>
        <v>-1.5754031605042995</v>
      </c>
      <c r="BA313">
        <f t="shared" si="237"/>
        <v>2.4469943951041122</v>
      </c>
      <c r="BB313">
        <f t="shared" si="253"/>
        <v>7.7726594918323224</v>
      </c>
      <c r="BC313">
        <f t="shared" si="254"/>
        <v>-1.2012199923906886</v>
      </c>
      <c r="BD313">
        <f t="shared" si="238"/>
        <v>-248.82483590936715</v>
      </c>
      <c r="BF313">
        <f t="shared" si="239"/>
        <v>-38.411865484459653</v>
      </c>
      <c r="BG313">
        <f t="shared" si="240"/>
        <v>-172.32462014281049</v>
      </c>
      <c r="BH313">
        <f t="shared" si="255"/>
        <v>7.6753798571895118</v>
      </c>
      <c r="BI313">
        <f t="shared" si="256"/>
        <v>7.6753798571895118</v>
      </c>
      <c r="BJ313">
        <f t="shared" si="241"/>
        <v>0</v>
      </c>
      <c r="BK313">
        <f t="shared" si="257"/>
        <v>0</v>
      </c>
      <c r="BM313">
        <f t="shared" si="258"/>
        <v>-46.184524976291968</v>
      </c>
      <c r="BN313">
        <f t="shared" si="242"/>
        <v>-103.49978423344335</v>
      </c>
      <c r="BQ313" s="56">
        <f t="shared" si="259"/>
        <v>24.674620292117456</v>
      </c>
      <c r="BR313" s="59"/>
      <c r="BS313" s="59"/>
      <c r="BT313" s="59">
        <v>107151.931</v>
      </c>
      <c r="BU313" s="59">
        <v>6.77081</v>
      </c>
      <c r="BV313" s="59">
        <v>-129.57599999999999</v>
      </c>
      <c r="BY313" s="59"/>
      <c r="BZ313" s="59"/>
      <c r="CA313" s="59"/>
      <c r="CC313" s="59"/>
    </row>
    <row r="314" spans="1:81" x14ac:dyDescent="0.25">
      <c r="A314">
        <f t="shared" si="263"/>
        <v>500000</v>
      </c>
      <c r="B314">
        <f t="shared" si="243"/>
        <v>500</v>
      </c>
      <c r="C314">
        <f t="shared" si="212"/>
        <v>4.2657705832777371</v>
      </c>
      <c r="D314">
        <f t="shared" si="213"/>
        <v>1.3341700713363775</v>
      </c>
      <c r="F314">
        <f t="shared" si="214"/>
        <v>7.5871279404885288E-5</v>
      </c>
      <c r="G314">
        <f t="shared" si="215"/>
        <v>3.2781104631828635E-3</v>
      </c>
      <c r="H314">
        <f t="shared" si="216"/>
        <v>-3.1383145395368173</v>
      </c>
      <c r="J314">
        <f t="shared" si="217"/>
        <v>15</v>
      </c>
      <c r="M314">
        <f t="shared" si="218"/>
        <v>3.6461613579325627E-3</v>
      </c>
      <c r="N314">
        <f t="shared" si="219"/>
        <v>-1.5707963250000001</v>
      </c>
      <c r="O314">
        <f t="shared" si="220"/>
        <v>82.692765247246186</v>
      </c>
      <c r="P314">
        <f t="shared" si="221"/>
        <v>1.5587030756878668</v>
      </c>
      <c r="Q314">
        <f t="shared" si="222"/>
        <v>128.55786059615542</v>
      </c>
      <c r="R314">
        <f t="shared" si="223"/>
        <v>1.5630176497068515</v>
      </c>
      <c r="S314">
        <f t="shared" si="224"/>
        <v>0.23442423367072385</v>
      </c>
      <c r="T314">
        <f t="shared" si="225"/>
        <v>-1.3341700713363775</v>
      </c>
      <c r="U314">
        <f t="shared" si="226"/>
        <v>0.36418113629322513</v>
      </c>
      <c r="V314">
        <f t="shared" si="227"/>
        <v>-1.1980429179911956</v>
      </c>
      <c r="X314">
        <f t="shared" si="244"/>
        <v>-35.882237023827145</v>
      </c>
      <c r="Y314">
        <f t="shared" si="228"/>
        <v>-159.59355847232231</v>
      </c>
      <c r="Z314">
        <f t="shared" si="245"/>
        <v>20.406441527677686</v>
      </c>
      <c r="AC314">
        <v>1</v>
      </c>
      <c r="AD314">
        <f t="shared" si="229"/>
        <v>82.686718548000002</v>
      </c>
      <c r="AE314">
        <f t="shared" si="230"/>
        <v>-3.8965198086452324E-2</v>
      </c>
      <c r="AF314">
        <f t="shared" si="231"/>
        <v>1.5236724352499998E-2</v>
      </c>
      <c r="AG314">
        <f t="shared" si="246"/>
        <v>697.48546053934888</v>
      </c>
      <c r="AH314">
        <f t="shared" si="247"/>
        <v>-1849.325253935755</v>
      </c>
      <c r="AJ314">
        <f t="shared" si="232"/>
        <v>18000</v>
      </c>
      <c r="AK314">
        <f t="shared" si="233"/>
        <v>74644.241364000001</v>
      </c>
      <c r="AL314">
        <v>1</v>
      </c>
      <c r="AM314">
        <f t="shared" si="234"/>
        <v>128.553971238</v>
      </c>
      <c r="AN314">
        <f t="shared" si="248"/>
        <v>581.69914717095753</v>
      </c>
      <c r="AO314">
        <f t="shared" si="249"/>
        <v>-135.49407058441977</v>
      </c>
      <c r="AQ314">
        <f t="shared" si="235"/>
        <v>9.9999900000099992E-3</v>
      </c>
      <c r="AR314">
        <f t="shared" si="236"/>
        <v>-9.9999900000099995</v>
      </c>
      <c r="AT314">
        <f t="shared" si="261"/>
        <v>-18486.259198492957</v>
      </c>
      <c r="AU314">
        <f t="shared" si="262"/>
        <v>-6993.3408645919817</v>
      </c>
      <c r="AV314">
        <f t="shared" si="250"/>
        <v>-2.7799324962264551</v>
      </c>
      <c r="AW314">
        <f t="shared" si="251"/>
        <v>-23.607022012100387</v>
      </c>
      <c r="AX314">
        <f t="shared" si="252"/>
        <v>-8152.6113831294224</v>
      </c>
      <c r="AY314">
        <f t="shared" si="260"/>
        <v>-1.5736919580133555</v>
      </c>
      <c r="BA314">
        <f t="shared" si="237"/>
        <v>2.4243458327799718</v>
      </c>
      <c r="BB314">
        <f t="shared" si="253"/>
        <v>7.6918914398764207</v>
      </c>
      <c r="BC314">
        <f t="shared" si="254"/>
        <v>-1.2062405382130996</v>
      </c>
      <c r="BD314">
        <f t="shared" si="238"/>
        <v>-249.11249199617203</v>
      </c>
      <c r="BF314">
        <f t="shared" si="239"/>
        <v>-38.584785327373318</v>
      </c>
      <c r="BG314">
        <f t="shared" si="240"/>
        <v>-172.48235577404887</v>
      </c>
      <c r="BH314">
        <f t="shared" si="255"/>
        <v>7.5176442259511305</v>
      </c>
      <c r="BI314">
        <f t="shared" si="256"/>
        <v>7.5176442259511305</v>
      </c>
      <c r="BJ314">
        <f t="shared" si="241"/>
        <v>0</v>
      </c>
      <c r="BK314">
        <f t="shared" si="257"/>
        <v>0</v>
      </c>
      <c r="BM314">
        <f t="shared" si="258"/>
        <v>-46.276676767249739</v>
      </c>
      <c r="BN314">
        <f t="shared" si="242"/>
        <v>-103.36986377787684</v>
      </c>
      <c r="BQ314" s="56">
        <f t="shared" si="259"/>
        <v>24.593852240161556</v>
      </c>
      <c r="BR314" s="59"/>
      <c r="BS314" s="59"/>
      <c r="BT314" s="59">
        <v>109647.82</v>
      </c>
      <c r="BU314" s="59">
        <v>6.9849899999999998</v>
      </c>
      <c r="BV314" s="59">
        <v>-129.52799999999999</v>
      </c>
      <c r="BY314" s="59"/>
      <c r="BZ314" s="59"/>
      <c r="CA314" s="59"/>
      <c r="CC314" s="59"/>
    </row>
    <row r="315" spans="1:81" x14ac:dyDescent="0.25">
      <c r="A315">
        <f t="shared" si="263"/>
        <v>505000</v>
      </c>
      <c r="B315">
        <f t="shared" si="243"/>
        <v>505</v>
      </c>
      <c r="C315">
        <f t="shared" si="212"/>
        <v>4.3060950201322497</v>
      </c>
      <c r="D315">
        <f t="shared" si="213"/>
        <v>1.3364276509172868</v>
      </c>
      <c r="F315">
        <f t="shared" si="214"/>
        <v>7.4376211494946807E-5</v>
      </c>
      <c r="G315">
        <f t="shared" si="215"/>
        <v>3.245649272356294E-3</v>
      </c>
      <c r="H315">
        <f t="shared" si="216"/>
        <v>-3.1383470007276437</v>
      </c>
      <c r="J315">
        <f t="shared" si="217"/>
        <v>15</v>
      </c>
      <c r="M315">
        <f t="shared" si="218"/>
        <v>3.6100607504282803E-3</v>
      </c>
      <c r="N315">
        <f t="shared" si="219"/>
        <v>-1.5707963250000001</v>
      </c>
      <c r="O315">
        <f t="shared" si="220"/>
        <v>83.519572568729757</v>
      </c>
      <c r="P315">
        <f t="shared" si="221"/>
        <v>1.5588227993465453</v>
      </c>
      <c r="Q315">
        <f t="shared" si="222"/>
        <v>129.84336180118663</v>
      </c>
      <c r="R315">
        <f t="shared" si="223"/>
        <v>1.5630946632509681</v>
      </c>
      <c r="S315">
        <f t="shared" si="224"/>
        <v>0.23222896738801835</v>
      </c>
      <c r="T315">
        <f t="shared" si="225"/>
        <v>-1.3364276509172868</v>
      </c>
      <c r="U315">
        <f t="shared" si="226"/>
        <v>0.3610474525814143</v>
      </c>
      <c r="V315">
        <f t="shared" si="227"/>
        <v>-1.2014054608438718</v>
      </c>
      <c r="X315">
        <f t="shared" si="244"/>
        <v>-36.043757563528708</v>
      </c>
      <c r="Y315">
        <f t="shared" si="228"/>
        <v>-159.77680566426088</v>
      </c>
      <c r="Z315">
        <f t="shared" si="245"/>
        <v>20.223194335739123</v>
      </c>
      <c r="AC315">
        <v>1</v>
      </c>
      <c r="AD315">
        <f t="shared" si="229"/>
        <v>83.513585733479999</v>
      </c>
      <c r="AE315">
        <f t="shared" si="230"/>
        <v>-3.9748398567990013E-2</v>
      </c>
      <c r="AF315">
        <f t="shared" si="231"/>
        <v>1.5389091596024999E-2</v>
      </c>
      <c r="AG315">
        <f t="shared" si="246"/>
        <v>685.53374241993629</v>
      </c>
      <c r="AH315">
        <f t="shared" si="247"/>
        <v>-1835.6423606452581</v>
      </c>
      <c r="AJ315">
        <f t="shared" si="232"/>
        <v>18000</v>
      </c>
      <c r="AK315">
        <f t="shared" si="233"/>
        <v>75390.683777640006</v>
      </c>
      <c r="AL315">
        <v>1</v>
      </c>
      <c r="AM315">
        <f t="shared" si="234"/>
        <v>129.83951095037997</v>
      </c>
      <c r="AN315">
        <f t="shared" si="248"/>
        <v>581.67838071706376</v>
      </c>
      <c r="AO315">
        <f t="shared" si="249"/>
        <v>-134.15270507249213</v>
      </c>
      <c r="AQ315">
        <f t="shared" si="235"/>
        <v>9.8029508842751838E-3</v>
      </c>
      <c r="AR315">
        <f t="shared" si="236"/>
        <v>-9.900980393117937</v>
      </c>
      <c r="AT315">
        <f t="shared" si="261"/>
        <v>-18167.938767918971</v>
      </c>
      <c r="AU315">
        <f t="shared" si="262"/>
        <v>-6805.4508544230512</v>
      </c>
      <c r="AV315">
        <f t="shared" si="250"/>
        <v>-2.7831852164007485</v>
      </c>
      <c r="AW315">
        <f t="shared" si="251"/>
        <v>-9.7896949656734762</v>
      </c>
      <c r="AX315">
        <f t="shared" si="252"/>
        <v>-8076.601583460385</v>
      </c>
      <c r="AY315">
        <f t="shared" si="260"/>
        <v>-1.5720084319198273</v>
      </c>
      <c r="BA315">
        <f t="shared" si="237"/>
        <v>2.4020884672675491</v>
      </c>
      <c r="BB315">
        <f t="shared" si="253"/>
        <v>7.6117799625751328</v>
      </c>
      <c r="BC315">
        <f t="shared" si="254"/>
        <v>-1.2111767844809211</v>
      </c>
      <c r="BD315">
        <f t="shared" si="238"/>
        <v>-249.39531807427858</v>
      </c>
      <c r="BF315">
        <f t="shared" si="239"/>
        <v>-38.756041619792931</v>
      </c>
      <c r="BG315">
        <f t="shared" si="240"/>
        <v>-172.63769195934105</v>
      </c>
      <c r="BH315">
        <f t="shared" si="255"/>
        <v>7.3623080406589452</v>
      </c>
      <c r="BI315">
        <f t="shared" si="256"/>
        <v>7.3623080406589452</v>
      </c>
      <c r="BJ315">
        <f t="shared" si="241"/>
        <v>0</v>
      </c>
      <c r="BK315">
        <f t="shared" si="257"/>
        <v>0</v>
      </c>
      <c r="BM315">
        <f t="shared" si="258"/>
        <v>-46.367821582368066</v>
      </c>
      <c r="BN315">
        <f t="shared" si="242"/>
        <v>-103.24237388506249</v>
      </c>
      <c r="BQ315" s="56">
        <f t="shared" si="259"/>
        <v>24.513740762860266</v>
      </c>
      <c r="BR315" s="59"/>
      <c r="BS315" s="59"/>
      <c r="BT315" s="59">
        <v>112201.845</v>
      </c>
      <c r="BU315" s="59">
        <v>7.2120699999999998</v>
      </c>
      <c r="BV315" s="59">
        <v>-129.44300000000001</v>
      </c>
      <c r="BY315" s="59"/>
      <c r="BZ315" s="59"/>
      <c r="CA315" s="59"/>
      <c r="CC315" s="59"/>
    </row>
    <row r="316" spans="1:81" x14ac:dyDescent="0.25">
      <c r="A316">
        <f t="shared" si="263"/>
        <v>510000</v>
      </c>
      <c r="B316">
        <f t="shared" si="243"/>
        <v>510</v>
      </c>
      <c r="C316">
        <f t="shared" si="212"/>
        <v>4.3464409964235857</v>
      </c>
      <c r="D316">
        <f t="shared" si="213"/>
        <v>1.3386433295087443</v>
      </c>
      <c r="F316">
        <f t="shared" si="214"/>
        <v>7.292490425935142E-5</v>
      </c>
      <c r="G316">
        <f t="shared" si="215"/>
        <v>3.2138247102844282E-3</v>
      </c>
      <c r="H316">
        <f t="shared" si="216"/>
        <v>-3.1383788252897156</v>
      </c>
      <c r="J316">
        <f t="shared" si="217"/>
        <v>15</v>
      </c>
      <c r="M316">
        <f t="shared" si="218"/>
        <v>3.574667997973101E-3</v>
      </c>
      <c r="N316">
        <f t="shared" si="219"/>
        <v>-1.5707963250000001</v>
      </c>
      <c r="O316">
        <f t="shared" si="220"/>
        <v>84.346381063892181</v>
      </c>
      <c r="P316">
        <f t="shared" si="221"/>
        <v>1.5589401758157648</v>
      </c>
      <c r="Q316">
        <f t="shared" si="222"/>
        <v>131.1288637612306</v>
      </c>
      <c r="R316">
        <f t="shared" si="223"/>
        <v>1.563170166814289</v>
      </c>
      <c r="S316">
        <f t="shared" si="224"/>
        <v>0.23007329463872572</v>
      </c>
      <c r="T316">
        <f t="shared" si="225"/>
        <v>-1.3386433295087441</v>
      </c>
      <c r="U316">
        <f t="shared" si="226"/>
        <v>0.35796329348871386</v>
      </c>
      <c r="V316">
        <f t="shared" si="227"/>
        <v>-1.2047105931456141</v>
      </c>
      <c r="X316">
        <f t="shared" si="244"/>
        <v>-36.20387828190146</v>
      </c>
      <c r="Y316">
        <f t="shared" si="228"/>
        <v>-159.95694799736356</v>
      </c>
      <c r="Z316">
        <f t="shared" si="245"/>
        <v>20.043052002636443</v>
      </c>
      <c r="AC316">
        <v>1</v>
      </c>
      <c r="AD316">
        <f t="shared" si="229"/>
        <v>84.340452918959997</v>
      </c>
      <c r="AE316">
        <f t="shared" si="230"/>
        <v>-4.053939208914499E-2</v>
      </c>
      <c r="AF316">
        <f t="shared" si="231"/>
        <v>1.5541458839550002E-2</v>
      </c>
      <c r="AG316">
        <f t="shared" si="246"/>
        <v>673.87175900554655</v>
      </c>
      <c r="AH316">
        <f t="shared" si="247"/>
        <v>-1822.1166847003421</v>
      </c>
      <c r="AJ316">
        <f t="shared" si="232"/>
        <v>18000</v>
      </c>
      <c r="AK316">
        <f t="shared" si="233"/>
        <v>76137.126191280011</v>
      </c>
      <c r="AL316">
        <v>1</v>
      </c>
      <c r="AM316">
        <f t="shared" si="234"/>
        <v>131.12505066275997</v>
      </c>
      <c r="AN316">
        <f t="shared" si="248"/>
        <v>581.6582219948865</v>
      </c>
      <c r="AO316">
        <f t="shared" si="249"/>
        <v>-132.83763621036289</v>
      </c>
      <c r="AQ316">
        <f t="shared" si="235"/>
        <v>9.6116785739344731E-3</v>
      </c>
      <c r="AR316">
        <f t="shared" si="236"/>
        <v>-9.8039121454131628</v>
      </c>
      <c r="AT316">
        <f t="shared" si="261"/>
        <v>-17857.394856746039</v>
      </c>
      <c r="AU316">
        <f t="shared" si="262"/>
        <v>-6624.093122462953</v>
      </c>
      <c r="AV316">
        <f t="shared" si="250"/>
        <v>-2.7863826790768869</v>
      </c>
      <c r="AW316">
        <f t="shared" si="251"/>
        <v>3.5591720519452155</v>
      </c>
      <c r="AX316">
        <f t="shared" si="252"/>
        <v>-8001.9702856301092</v>
      </c>
      <c r="AY316">
        <f t="shared" si="260"/>
        <v>-1.5703515398624048</v>
      </c>
      <c r="BA316">
        <f t="shared" si="237"/>
        <v>2.3802129214013892</v>
      </c>
      <c r="BB316">
        <f t="shared" si="253"/>
        <v>7.5323161701521837</v>
      </c>
      <c r="BC316">
        <f t="shared" si="254"/>
        <v>-1.216031139214482</v>
      </c>
      <c r="BD316">
        <f t="shared" si="238"/>
        <v>-249.67345211308879</v>
      </c>
      <c r="BF316">
        <f t="shared" si="239"/>
        <v>-38.925665528469338</v>
      </c>
      <c r="BG316">
        <f t="shared" si="240"/>
        <v>-172.79070037905186</v>
      </c>
      <c r="BH316">
        <f t="shared" si="255"/>
        <v>7.2092996209481441</v>
      </c>
      <c r="BI316">
        <f t="shared" si="256"/>
        <v>7.2092996209481441</v>
      </c>
      <c r="BJ316">
        <f t="shared" si="241"/>
        <v>0</v>
      </c>
      <c r="BK316">
        <f t="shared" si="257"/>
        <v>0</v>
      </c>
      <c r="BM316">
        <f t="shared" si="258"/>
        <v>-46.457981698621531</v>
      </c>
      <c r="BN316">
        <f t="shared" si="242"/>
        <v>-103.11724826596306</v>
      </c>
      <c r="BQ316" s="56">
        <f t="shared" si="259"/>
        <v>24.434276970437324</v>
      </c>
      <c r="BR316" s="59"/>
      <c r="BS316" s="59"/>
      <c r="BT316" s="59">
        <v>114815.36199999999</v>
      </c>
      <c r="BU316" s="59">
        <v>7.47248</v>
      </c>
      <c r="BV316" s="59">
        <v>-129.58500000000001</v>
      </c>
      <c r="BY316" s="59"/>
      <c r="BZ316" s="59"/>
      <c r="CA316" s="59"/>
      <c r="CC316" s="59"/>
    </row>
    <row r="317" spans="1:81" x14ac:dyDescent="0.25">
      <c r="A317">
        <f t="shared" si="263"/>
        <v>515000</v>
      </c>
      <c r="B317">
        <f t="shared" si="243"/>
        <v>515</v>
      </c>
      <c r="C317">
        <f t="shared" si="212"/>
        <v>4.3868079178497652</v>
      </c>
      <c r="D317">
        <f t="shared" si="213"/>
        <v>1.3408182417554027</v>
      </c>
      <c r="F317">
        <f t="shared" si="214"/>
        <v>7.1515666341036516E-5</v>
      </c>
      <c r="G317">
        <f t="shared" si="215"/>
        <v>3.1826182292220861E-3</v>
      </c>
      <c r="H317">
        <f t="shared" si="216"/>
        <v>-3.1384100317707779</v>
      </c>
      <c r="J317">
        <f t="shared" si="217"/>
        <v>15</v>
      </c>
      <c r="M317">
        <f t="shared" si="218"/>
        <v>3.5399624834296728E-3</v>
      </c>
      <c r="N317">
        <f t="shared" si="219"/>
        <v>-1.5707963250000001</v>
      </c>
      <c r="O317">
        <f t="shared" si="220"/>
        <v>85.173190698553441</v>
      </c>
      <c r="P317">
        <f t="shared" si="221"/>
        <v>1.5590552734475145</v>
      </c>
      <c r="Q317">
        <f t="shared" si="222"/>
        <v>132.414366454298</v>
      </c>
      <c r="R317">
        <f t="shared" si="223"/>
        <v>1.5632442043734429</v>
      </c>
      <c r="S317">
        <f t="shared" si="224"/>
        <v>0.22795618561985262</v>
      </c>
      <c r="T317">
        <f t="shared" si="225"/>
        <v>-1.3408182417554027</v>
      </c>
      <c r="U317">
        <f t="shared" si="226"/>
        <v>0.3549276002391682</v>
      </c>
      <c r="V317">
        <f t="shared" si="227"/>
        <v>-1.2079597023586899</v>
      </c>
      <c r="X317">
        <f t="shared" si="244"/>
        <v>-36.362621912117795</v>
      </c>
      <c r="Y317">
        <f t="shared" si="228"/>
        <v>-160.1340595941144</v>
      </c>
      <c r="Z317">
        <f t="shared" si="245"/>
        <v>19.865940405885596</v>
      </c>
      <c r="AC317">
        <v>1</v>
      </c>
      <c r="AD317">
        <f t="shared" si="229"/>
        <v>85.167320104440009</v>
      </c>
      <c r="AE317">
        <f t="shared" si="230"/>
        <v>-4.1338178649917262E-2</v>
      </c>
      <c r="AF317">
        <f t="shared" si="231"/>
        <v>1.5693826083074999E-2</v>
      </c>
      <c r="AG317">
        <f t="shared" si="246"/>
        <v>662.4907381873744</v>
      </c>
      <c r="AH317">
        <f t="shared" si="247"/>
        <v>-1808.7469772408331</v>
      </c>
      <c r="AJ317">
        <f t="shared" si="232"/>
        <v>18000</v>
      </c>
      <c r="AK317">
        <f t="shared" si="233"/>
        <v>76883.568604920001</v>
      </c>
      <c r="AL317">
        <v>1</v>
      </c>
      <c r="AM317">
        <f t="shared" si="234"/>
        <v>132.41059037514</v>
      </c>
      <c r="AN317">
        <f t="shared" si="248"/>
        <v>581.63864752039558</v>
      </c>
      <c r="AO317">
        <f t="shared" si="249"/>
        <v>-131.5480982535509</v>
      </c>
      <c r="AQ317">
        <f t="shared" si="235"/>
        <v>9.4259502064754398E-3</v>
      </c>
      <c r="AR317">
        <f t="shared" si="236"/>
        <v>-9.7087287126697017</v>
      </c>
      <c r="AT317">
        <f t="shared" si="261"/>
        <v>-17554.3891071822</v>
      </c>
      <c r="AU317">
        <f t="shared" si="262"/>
        <v>-6448.9920106610934</v>
      </c>
      <c r="AV317">
        <f t="shared" si="250"/>
        <v>-2.7895262090196074</v>
      </c>
      <c r="AW317">
        <f t="shared" si="251"/>
        <v>16.460269100258291</v>
      </c>
      <c r="AX317">
        <f t="shared" si="252"/>
        <v>-7928.6806380474172</v>
      </c>
      <c r="AY317">
        <f t="shared" si="260"/>
        <v>-1.5687202883965661</v>
      </c>
      <c r="BA317">
        <f t="shared" si="237"/>
        <v>2.3587100831610059</v>
      </c>
      <c r="BB317">
        <f t="shared" si="253"/>
        <v>7.4534912719634425</v>
      </c>
      <c r="BC317">
        <f t="shared" si="254"/>
        <v>-1.2208059206230413</v>
      </c>
      <c r="BD317">
        <f t="shared" si="238"/>
        <v>-249.9470269362094</v>
      </c>
      <c r="BF317">
        <f t="shared" si="239"/>
        <v>-39.093687383672489</v>
      </c>
      <c r="BG317">
        <f t="shared" si="240"/>
        <v>-172.9414499091456</v>
      </c>
      <c r="BH317">
        <f t="shared" si="255"/>
        <v>7.0585500908543963</v>
      </c>
      <c r="BI317">
        <f t="shared" si="256"/>
        <v>7.0585500908543963</v>
      </c>
      <c r="BJ317">
        <f t="shared" si="241"/>
        <v>0</v>
      </c>
      <c r="BK317">
        <f t="shared" si="257"/>
        <v>0</v>
      </c>
      <c r="BM317">
        <f t="shared" si="258"/>
        <v>-46.547178655635932</v>
      </c>
      <c r="BN317">
        <f t="shared" si="242"/>
        <v>-102.99442297293621</v>
      </c>
      <c r="BQ317" s="56">
        <f t="shared" si="259"/>
        <v>24.355452072248582</v>
      </c>
      <c r="BR317" s="59"/>
      <c r="BS317" s="59"/>
      <c r="BT317" s="59">
        <v>117489.755</v>
      </c>
      <c r="BU317" s="59">
        <v>7.6753600000000004</v>
      </c>
      <c r="BV317" s="59">
        <v>-129.61699999999999</v>
      </c>
      <c r="BY317" s="59"/>
      <c r="BZ317" s="59"/>
      <c r="CA317" s="59"/>
      <c r="CC317" s="59"/>
    </row>
    <row r="318" spans="1:81" x14ac:dyDescent="0.25">
      <c r="A318">
        <f t="shared" si="263"/>
        <v>520000</v>
      </c>
      <c r="B318">
        <f t="shared" si="243"/>
        <v>520</v>
      </c>
      <c r="C318">
        <f t="shared" si="212"/>
        <v>4.4271952114810738</v>
      </c>
      <c r="D318">
        <f t="shared" si="213"/>
        <v>1.3429534824736313</v>
      </c>
      <c r="F318">
        <f t="shared" si="214"/>
        <v>7.0146887316091102E-5</v>
      </c>
      <c r="G318">
        <f t="shared" si="215"/>
        <v>3.1520119950434436E-3</v>
      </c>
      <c r="H318">
        <f t="shared" si="216"/>
        <v>-3.138440638004957</v>
      </c>
      <c r="J318">
        <f t="shared" si="217"/>
        <v>15</v>
      </c>
      <c r="M318">
        <f t="shared" si="218"/>
        <v>3.5059243826274641E-3</v>
      </c>
      <c r="N318">
        <f t="shared" si="219"/>
        <v>-1.5707963250000001</v>
      </c>
      <c r="O318">
        <f t="shared" si="220"/>
        <v>86.000001439847892</v>
      </c>
      <c r="P318">
        <f t="shared" si="221"/>
        <v>1.5591681579654653</v>
      </c>
      <c r="Q318">
        <f t="shared" si="222"/>
        <v>133.69986985924507</v>
      </c>
      <c r="R318">
        <f t="shared" si="223"/>
        <v>1.5633168182138106</v>
      </c>
      <c r="S318">
        <f t="shared" si="224"/>
        <v>0.22587664474489261</v>
      </c>
      <c r="T318">
        <f t="shared" si="225"/>
        <v>-1.3429534824736313</v>
      </c>
      <c r="U318">
        <f t="shared" si="226"/>
        <v>0.35193934006883526</v>
      </c>
      <c r="V318">
        <f t="shared" si="227"/>
        <v>-1.2111541340390217</v>
      </c>
      <c r="X318">
        <f t="shared" si="244"/>
        <v>-36.520010665289732</v>
      </c>
      <c r="Y318">
        <f t="shared" si="228"/>
        <v>-160.30821238254634</v>
      </c>
      <c r="Z318">
        <f t="shared" si="245"/>
        <v>19.691787617453656</v>
      </c>
      <c r="AC318">
        <v>1</v>
      </c>
      <c r="AD318">
        <f t="shared" si="229"/>
        <v>85.994187289920006</v>
      </c>
      <c r="AE318">
        <f t="shared" si="230"/>
        <v>-4.2144758250306828E-2</v>
      </c>
      <c r="AF318">
        <f t="shared" si="231"/>
        <v>1.5846193326600002E-2</v>
      </c>
      <c r="AG318">
        <f t="shared" si="246"/>
        <v>651.38221457722432</v>
      </c>
      <c r="AH318">
        <f t="shared" si="247"/>
        <v>-1795.5319221144077</v>
      </c>
      <c r="AJ318">
        <f t="shared" si="232"/>
        <v>18000</v>
      </c>
      <c r="AK318">
        <f t="shared" si="233"/>
        <v>77630.011018560006</v>
      </c>
      <c r="AL318">
        <v>1</v>
      </c>
      <c r="AM318">
        <f t="shared" si="234"/>
        <v>133.69613008752</v>
      </c>
      <c r="AN318">
        <f t="shared" si="248"/>
        <v>581.6196349330196</v>
      </c>
      <c r="AO318">
        <f t="shared" si="249"/>
        <v>-130.28335490088293</v>
      </c>
      <c r="AQ318">
        <f t="shared" si="235"/>
        <v>9.2455535821435071E-3</v>
      </c>
      <c r="AR318">
        <f t="shared" si="236"/>
        <v>-9.6153757254292476</v>
      </c>
      <c r="AT318">
        <f t="shared" si="261"/>
        <v>-17258.691668964864</v>
      </c>
      <c r="AU318">
        <f t="shared" si="262"/>
        <v>-6279.8854206165461</v>
      </c>
      <c r="AV318">
        <f t="shared" si="250"/>
        <v>-2.7926170914981427</v>
      </c>
      <c r="AW318">
        <f t="shared" si="251"/>
        <v>28.933175878993509</v>
      </c>
      <c r="AX318">
        <f t="shared" si="252"/>
        <v>-7856.6970955288934</v>
      </c>
      <c r="AY318">
        <f t="shared" si="260"/>
        <v>-1.5671137303126221</v>
      </c>
      <c r="BA318">
        <f t="shared" si="237"/>
        <v>2.337571098339005</v>
      </c>
      <c r="BB318">
        <f t="shared" si="253"/>
        <v>7.3752965803817503</v>
      </c>
      <c r="BC318">
        <f t="shared" si="254"/>
        <v>-1.2255033611855206</v>
      </c>
      <c r="BD318">
        <f t="shared" si="238"/>
        <v>-250.21617045526057</v>
      </c>
      <c r="BF318">
        <f t="shared" si="239"/>
        <v>-39.260136707432956</v>
      </c>
      <c r="BG318">
        <f t="shared" si="240"/>
        <v>-173.09000675470523</v>
      </c>
      <c r="BH318">
        <f t="shared" si="255"/>
        <v>6.9099932452947712</v>
      </c>
      <c r="BI318">
        <f t="shared" si="256"/>
        <v>6.9099932452947712</v>
      </c>
      <c r="BJ318">
        <f t="shared" si="241"/>
        <v>0</v>
      </c>
      <c r="BK318">
        <f t="shared" si="257"/>
        <v>0</v>
      </c>
      <c r="BM318">
        <f t="shared" si="258"/>
        <v>-46.635433287814713</v>
      </c>
      <c r="BN318">
        <f t="shared" si="242"/>
        <v>-102.87383629944468</v>
      </c>
      <c r="BQ318" s="56">
        <f t="shared" si="259"/>
        <v>24.277257380666889</v>
      </c>
      <c r="BR318" s="59"/>
      <c r="BS318" s="59"/>
      <c r="BT318" s="59">
        <v>120226.443</v>
      </c>
      <c r="BU318" s="59">
        <v>7.9446199999999996</v>
      </c>
      <c r="BV318" s="59">
        <v>-129.863</v>
      </c>
      <c r="BY318" s="59"/>
      <c r="BZ318" s="59"/>
      <c r="CA318" s="59"/>
      <c r="CC318" s="59"/>
    </row>
    <row r="319" spans="1:81" x14ac:dyDescent="0.25">
      <c r="A319">
        <f t="shared" si="263"/>
        <v>525000</v>
      </c>
      <c r="B319">
        <f t="shared" si="243"/>
        <v>525</v>
      </c>
      <c r="C319">
        <f t="shared" si="212"/>
        <v>4.4676023248210388</v>
      </c>
      <c r="D319">
        <f t="shared" si="213"/>
        <v>1.3450501083487876</v>
      </c>
      <c r="F319">
        <f t="shared" si="214"/>
        <v>6.8817033090466201E-5</v>
      </c>
      <c r="G319">
        <f t="shared" si="215"/>
        <v>3.1219888532463803E-3</v>
      </c>
      <c r="H319">
        <f t="shared" si="216"/>
        <v>-3.1384706611467537</v>
      </c>
      <c r="J319">
        <f t="shared" si="217"/>
        <v>15</v>
      </c>
      <c r="M319">
        <f t="shared" si="218"/>
        <v>3.4725346266024412E-3</v>
      </c>
      <c r="N319">
        <f t="shared" si="219"/>
        <v>-1.5707963250000001</v>
      </c>
      <c r="O319">
        <f t="shared" si="220"/>
        <v>86.826813256161685</v>
      </c>
      <c r="P319">
        <f t="shared" si="221"/>
        <v>1.5592788925900931</v>
      </c>
      <c r="Q319">
        <f t="shared" si="222"/>
        <v>134.98537395573356</v>
      </c>
      <c r="R319">
        <f t="shared" si="223"/>
        <v>1.563388049010052</v>
      </c>
      <c r="S319">
        <f t="shared" si="224"/>
        <v>0.22383370929059984</v>
      </c>
      <c r="T319">
        <f t="shared" si="225"/>
        <v>-1.3450501083487876</v>
      </c>
      <c r="U319">
        <f t="shared" si="226"/>
        <v>0.34899750562813542</v>
      </c>
      <c r="V319">
        <f t="shared" si="227"/>
        <v>-1.2142951932994308</v>
      </c>
      <c r="X319">
        <f t="shared" si="244"/>
        <v>-36.676066245726588</v>
      </c>
      <c r="Y319">
        <f t="shared" si="228"/>
        <v>-160.47947617024346</v>
      </c>
      <c r="Z319">
        <f t="shared" si="245"/>
        <v>19.520523829756542</v>
      </c>
      <c r="AC319">
        <v>1</v>
      </c>
      <c r="AD319">
        <f t="shared" si="229"/>
        <v>86.821054475400004</v>
      </c>
      <c r="AE319">
        <f t="shared" si="230"/>
        <v>-4.2959130890313682E-2</v>
      </c>
      <c r="AF319">
        <f t="shared" si="231"/>
        <v>1.5998560570125001E-2</v>
      </c>
      <c r="AG319">
        <f t="shared" si="246"/>
        <v>640.53801795103573</v>
      </c>
      <c r="AH319">
        <f t="shared" si="247"/>
        <v>-1782.4701433847704</v>
      </c>
      <c r="AJ319">
        <f t="shared" si="232"/>
        <v>18000</v>
      </c>
      <c r="AK319">
        <f t="shared" si="233"/>
        <v>78376.453432200011</v>
      </c>
      <c r="AL319">
        <v>1</v>
      </c>
      <c r="AM319">
        <f t="shared" si="234"/>
        <v>134.9816697999</v>
      </c>
      <c r="AN319">
        <f t="shared" si="248"/>
        <v>581.60116293176179</v>
      </c>
      <c r="AO319">
        <f t="shared" si="249"/>
        <v>-129.04269789290413</v>
      </c>
      <c r="AQ319">
        <f t="shared" si="235"/>
        <v>9.0702865575632129E-3</v>
      </c>
      <c r="AR319">
        <f t="shared" si="236"/>
        <v>-9.5238008854413732</v>
      </c>
      <c r="AT319">
        <f t="shared" si="261"/>
        <v>-16970.080866466858</v>
      </c>
      <c r="AU319">
        <f t="shared" si="262"/>
        <v>-6116.5240575017369</v>
      </c>
      <c r="AV319">
        <f t="shared" si="250"/>
        <v>-2.7956565736346954</v>
      </c>
      <c r="AW319">
        <f t="shared" si="251"/>
        <v>40.996431146418374</v>
      </c>
      <c r="AX319">
        <f t="shared" si="252"/>
        <v>-7785.9853609983675</v>
      </c>
      <c r="AY319">
        <f t="shared" si="260"/>
        <v>-1.5655309621194762</v>
      </c>
      <c r="BA319">
        <f t="shared" si="237"/>
        <v>2.3167873632905831</v>
      </c>
      <c r="BB319">
        <f t="shared" si="253"/>
        <v>7.2977235140622572</v>
      </c>
      <c r="BC319">
        <f t="shared" si="254"/>
        <v>-1.2301256115152193</v>
      </c>
      <c r="BD319">
        <f t="shared" si="238"/>
        <v>-250.48100589130786</v>
      </c>
      <c r="BF319">
        <f t="shared" si="239"/>
        <v>-39.425042240686231</v>
      </c>
      <c r="BG319">
        <f t="shared" si="240"/>
        <v>-173.23643457606551</v>
      </c>
      <c r="BH319">
        <f t="shared" si="255"/>
        <v>6.7635654239344944</v>
      </c>
      <c r="BI319">
        <f t="shared" si="256"/>
        <v>6.7635654239344944</v>
      </c>
      <c r="BJ319">
        <f t="shared" si="241"/>
        <v>0</v>
      </c>
      <c r="BK319">
        <f t="shared" si="257"/>
        <v>0</v>
      </c>
      <c r="BM319">
        <f t="shared" si="258"/>
        <v>-46.722765754748494</v>
      </c>
      <c r="BN319">
        <f t="shared" si="242"/>
        <v>-102.75542868475767</v>
      </c>
      <c r="BQ319" s="56">
        <f t="shared" si="259"/>
        <v>24.199684314347394</v>
      </c>
      <c r="BR319" s="59"/>
      <c r="BS319" s="59"/>
      <c r="BT319" s="59">
        <v>123026.87699999999</v>
      </c>
      <c r="BU319" s="59">
        <v>8.1865900000000007</v>
      </c>
      <c r="BV319" s="59">
        <v>-130.31299999999999</v>
      </c>
      <c r="BY319" s="59"/>
      <c r="BZ319" s="59"/>
      <c r="CA319" s="59"/>
      <c r="CC319" s="59"/>
    </row>
    <row r="320" spans="1:81" x14ac:dyDescent="0.25">
      <c r="A320">
        <f t="shared" si="263"/>
        <v>530000</v>
      </c>
      <c r="B320">
        <f t="shared" si="243"/>
        <v>530</v>
      </c>
      <c r="C320">
        <f t="shared" si="212"/>
        <v>4.5080287249157562</v>
      </c>
      <c r="D320">
        <f t="shared" si="213"/>
        <v>1.347109139548337</v>
      </c>
      <c r="F320">
        <f t="shared" si="214"/>
        <v>6.7524641599282654E-5</v>
      </c>
      <c r="G320">
        <f t="shared" si="215"/>
        <v>3.0925322968820088E-3</v>
      </c>
      <c r="H320">
        <f t="shared" si="216"/>
        <v>-3.138500117703118</v>
      </c>
      <c r="J320">
        <f t="shared" si="217"/>
        <v>15</v>
      </c>
      <c r="M320">
        <f t="shared" si="218"/>
        <v>3.4397748659741158E-3</v>
      </c>
      <c r="N320">
        <f t="shared" si="219"/>
        <v>-1.5707963250000001</v>
      </c>
      <c r="O320">
        <f t="shared" si="220"/>
        <v>87.65362611707377</v>
      </c>
      <c r="P320">
        <f t="shared" si="221"/>
        <v>1.5593875381567237</v>
      </c>
      <c r="Q320">
        <f t="shared" si="222"/>
        <v>136.27087872419261</v>
      </c>
      <c r="R320">
        <f t="shared" si="223"/>
        <v>1.5634579359020742</v>
      </c>
      <c r="S320">
        <f t="shared" si="224"/>
        <v>0.22182644810425153</v>
      </c>
      <c r="T320">
        <f t="shared" si="225"/>
        <v>-1.347109139548337</v>
      </c>
      <c r="U320">
        <f t="shared" si="226"/>
        <v>0.34610111438748603</v>
      </c>
      <c r="V320">
        <f t="shared" si="227"/>
        <v>-1.217384146217722</v>
      </c>
      <c r="X320">
        <f t="shared" si="244"/>
        <v>-36.830809865645612</v>
      </c>
      <c r="Y320">
        <f t="shared" si="228"/>
        <v>-160.64791871574042</v>
      </c>
      <c r="Z320">
        <f t="shared" si="245"/>
        <v>19.352081284259583</v>
      </c>
      <c r="AC320">
        <v>1</v>
      </c>
      <c r="AD320">
        <f t="shared" si="229"/>
        <v>87.647921660880002</v>
      </c>
      <c r="AE320">
        <f t="shared" si="230"/>
        <v>-4.378129656993783E-2</v>
      </c>
      <c r="AF320">
        <f t="shared" si="231"/>
        <v>1.615092781365E-2</v>
      </c>
      <c r="AG320">
        <f t="shared" si="246"/>
        <v>629.95026211770221</v>
      </c>
      <c r="AH320">
        <f t="shared" si="247"/>
        <v>-1769.5602122579421</v>
      </c>
      <c r="AJ320">
        <f t="shared" si="232"/>
        <v>18000</v>
      </c>
      <c r="AK320">
        <f t="shared" si="233"/>
        <v>79122.895845840001</v>
      </c>
      <c r="AL320">
        <v>1</v>
      </c>
      <c r="AM320">
        <f t="shared" si="234"/>
        <v>136.26720951227998</v>
      </c>
      <c r="AN320">
        <f t="shared" si="248"/>
        <v>581.58321121551819</v>
      </c>
      <c r="AO320">
        <f t="shared" si="249"/>
        <v>-127.82544568959409</v>
      </c>
      <c r="AQ320">
        <f t="shared" si="235"/>
        <v>8.8999564792128158E-3</v>
      </c>
      <c r="AR320">
        <f t="shared" si="236"/>
        <v>-9.4339538679655863</v>
      </c>
      <c r="AT320">
        <f t="shared" si="261"/>
        <v>-16688.3428791119</v>
      </c>
      <c r="AU320">
        <f t="shared" si="262"/>
        <v>-5958.6707208076741</v>
      </c>
      <c r="AV320">
        <f t="shared" si="250"/>
        <v>-2.7986458657042492</v>
      </c>
      <c r="AW320">
        <f t="shared" si="251"/>
        <v>52.667597219218962</v>
      </c>
      <c r="AX320">
        <f t="shared" si="252"/>
        <v>-7716.5123303636174</v>
      </c>
      <c r="AY320">
        <f t="shared" si="260"/>
        <v>-1.5639711216828553</v>
      </c>
      <c r="BA320">
        <f t="shared" si="237"/>
        <v>2.2963505177824541</v>
      </c>
      <c r="BB320">
        <f t="shared" si="253"/>
        <v>7.2207636006511855</v>
      </c>
      <c r="BC320">
        <f t="shared" si="254"/>
        <v>-1.2346747440213939</v>
      </c>
      <c r="BD320">
        <f t="shared" si="238"/>
        <v>-250.74165198465528</v>
      </c>
      <c r="BF320">
        <f t="shared" si="239"/>
        <v>-39.588431969364549</v>
      </c>
      <c r="BG320">
        <f t="shared" si="240"/>
        <v>-173.38079460801876</v>
      </c>
      <c r="BH320">
        <f t="shared" si="255"/>
        <v>6.6192053919812395</v>
      </c>
      <c r="BI320">
        <f t="shared" si="256"/>
        <v>6.6192053919812395</v>
      </c>
      <c r="BJ320">
        <f t="shared" si="241"/>
        <v>0</v>
      </c>
      <c r="BK320">
        <f t="shared" si="257"/>
        <v>0</v>
      </c>
      <c r="BM320">
        <f t="shared" si="258"/>
        <v>-46.809195570015731</v>
      </c>
      <c r="BN320">
        <f t="shared" si="242"/>
        <v>-102.63914262336353</v>
      </c>
      <c r="BQ320" s="56">
        <f t="shared" si="259"/>
        <v>24.122724400936324</v>
      </c>
      <c r="BR320" s="59"/>
      <c r="BS320" s="59"/>
      <c r="BT320" s="59">
        <v>125892.541</v>
      </c>
      <c r="BU320" s="59">
        <v>8.4445800000000002</v>
      </c>
      <c r="BV320" s="59">
        <v>-130.77099999999999</v>
      </c>
      <c r="BY320" s="59"/>
      <c r="BZ320" s="59"/>
      <c r="CA320" s="59"/>
      <c r="CC320" s="59"/>
    </row>
    <row r="321" spans="1:81" x14ac:dyDescent="0.25">
      <c r="A321">
        <f t="shared" si="263"/>
        <v>535000</v>
      </c>
      <c r="B321">
        <f t="shared" si="243"/>
        <v>535</v>
      </c>
      <c r="C321">
        <f t="shared" si="212"/>
        <v>4.5484738975087708</v>
      </c>
      <c r="D321">
        <f t="shared" si="213"/>
        <v>1.3491315612555255</v>
      </c>
      <c r="F321">
        <f t="shared" si="214"/>
        <v>6.6268318786214789E-5</v>
      </c>
      <c r="G321">
        <f t="shared" si="215"/>
        <v>3.0636264362833721E-3</v>
      </c>
      <c r="H321">
        <f t="shared" si="216"/>
        <v>-3.1385290235637169</v>
      </c>
      <c r="J321">
        <f t="shared" si="217"/>
        <v>15</v>
      </c>
      <c r="M321">
        <f t="shared" si="218"/>
        <v>3.4076274373201526E-3</v>
      </c>
      <c r="N321">
        <f t="shared" si="219"/>
        <v>-1.5707963250000001</v>
      </c>
      <c r="O321">
        <f t="shared" si="220"/>
        <v>88.480439993300152</v>
      </c>
      <c r="P321">
        <f t="shared" si="221"/>
        <v>1.5594941532269582</v>
      </c>
      <c r="Q321">
        <f t="shared" si="222"/>
        <v>137.55638414578291</v>
      </c>
      <c r="R321">
        <f t="shared" si="223"/>
        <v>1.5635265165667411</v>
      </c>
      <c r="S321">
        <f t="shared" si="224"/>
        <v>0.21985396036848903</v>
      </c>
      <c r="T321">
        <f t="shared" si="225"/>
        <v>-1.3491315612555255</v>
      </c>
      <c r="U321">
        <f t="shared" si="226"/>
        <v>0.34324920804753462</v>
      </c>
      <c r="V321">
        <f t="shared" si="227"/>
        <v>-1.2204222211916511</v>
      </c>
      <c r="X321">
        <f t="shared" si="244"/>
        <v>-36.984262259359596</v>
      </c>
      <c r="Y321">
        <f t="shared" si="228"/>
        <v>-160.81360579739717</v>
      </c>
      <c r="Z321">
        <f t="shared" si="245"/>
        <v>19.186394202602827</v>
      </c>
      <c r="AC321">
        <v>1</v>
      </c>
      <c r="AD321">
        <f t="shared" si="229"/>
        <v>88.474788846359999</v>
      </c>
      <c r="AE321">
        <f t="shared" si="230"/>
        <v>-4.4611255289179266E-2</v>
      </c>
      <c r="AF321">
        <f t="shared" si="231"/>
        <v>1.6303295057175E-2</v>
      </c>
      <c r="AG321">
        <f t="shared" si="246"/>
        <v>619.61133420171893</v>
      </c>
      <c r="AH321">
        <f t="shared" si="247"/>
        <v>-1756.8006534689328</v>
      </c>
      <c r="AJ321">
        <f t="shared" si="232"/>
        <v>18000</v>
      </c>
      <c r="AK321">
        <f t="shared" si="233"/>
        <v>79869.338259480006</v>
      </c>
      <c r="AL321">
        <v>1</v>
      </c>
      <c r="AM321">
        <f t="shared" si="234"/>
        <v>137.55274922465998</v>
      </c>
      <c r="AN321">
        <f t="shared" si="248"/>
        <v>581.56576042727909</v>
      </c>
      <c r="AO321">
        <f t="shared" si="249"/>
        <v>-126.63094222220028</v>
      </c>
      <c r="AQ321">
        <f t="shared" si="235"/>
        <v>8.7343796537866589E-3</v>
      </c>
      <c r="AR321">
        <f t="shared" si="236"/>
        <v>-9.3457862295517256</v>
      </c>
      <c r="AT321">
        <f t="shared" si="261"/>
        <v>-16413.271434626717</v>
      </c>
      <c r="AU321">
        <f t="shared" si="262"/>
        <v>-5806.0996387400155</v>
      </c>
      <c r="AV321">
        <f t="shared" si="250"/>
        <v>-2.8015861423873329</v>
      </c>
      <c r="AW321">
        <f t="shared" si="251"/>
        <v>63.963319941442101</v>
      </c>
      <c r="AX321">
        <f t="shared" si="252"/>
        <v>-7648.2460403635359</v>
      </c>
      <c r="AY321">
        <f t="shared" si="260"/>
        <v>-1.5624333860075874</v>
      </c>
      <c r="BA321">
        <f t="shared" si="237"/>
        <v>2.2762524379561406</v>
      </c>
      <c r="BB321">
        <f t="shared" si="253"/>
        <v>7.1444084789949001</v>
      </c>
      <c r="BC321">
        <f t="shared" si="254"/>
        <v>-1.2391527563797455</v>
      </c>
      <c r="BD321">
        <f t="shared" si="238"/>
        <v>-250.9982231936894</v>
      </c>
      <c r="BF321">
        <f t="shared" si="239"/>
        <v>-39.750333149479275</v>
      </c>
      <c r="BG321">
        <f t="shared" si="240"/>
        <v>-173.52314577252039</v>
      </c>
      <c r="BH321">
        <f t="shared" si="255"/>
        <v>6.4768542274796062</v>
      </c>
      <c r="BI321">
        <f t="shared" si="256"/>
        <v>6.4768542274796062</v>
      </c>
      <c r="BJ321">
        <f t="shared" si="241"/>
        <v>0</v>
      </c>
      <c r="BK321">
        <f t="shared" si="257"/>
        <v>0</v>
      </c>
      <c r="BM321">
        <f t="shared" si="258"/>
        <v>-46.894741628474172</v>
      </c>
      <c r="BN321">
        <f t="shared" si="242"/>
        <v>-102.52492257883098</v>
      </c>
      <c r="BQ321" s="56">
        <f t="shared" si="259"/>
        <v>24.046369279280036</v>
      </c>
      <c r="BR321" s="59"/>
      <c r="BS321" s="59"/>
      <c r="BT321" s="59">
        <v>128824.955</v>
      </c>
      <c r="BU321" s="59">
        <v>8.6780500000000007</v>
      </c>
      <c r="BV321" s="59">
        <v>-131.42599999999999</v>
      </c>
      <c r="BY321" s="59"/>
      <c r="BZ321" s="59"/>
      <c r="CA321" s="59"/>
      <c r="CC321" s="59"/>
    </row>
    <row r="322" spans="1:81" x14ac:dyDescent="0.25">
      <c r="A322">
        <f t="shared" si="263"/>
        <v>540000</v>
      </c>
      <c r="B322">
        <f t="shared" si="243"/>
        <v>540</v>
      </c>
      <c r="C322">
        <f t="shared" si="212"/>
        <v>4.5889373462388354</v>
      </c>
      <c r="D322">
        <f t="shared" si="213"/>
        <v>1.3511183251280248</v>
      </c>
      <c r="F322">
        <f t="shared" si="214"/>
        <v>6.5046734842296564E-5</v>
      </c>
      <c r="G322">
        <f t="shared" si="215"/>
        <v>3.0352559704766306E-3</v>
      </c>
      <c r="H322">
        <f t="shared" si="216"/>
        <v>-3.1385573940295237</v>
      </c>
      <c r="J322">
        <f t="shared" si="217"/>
        <v>15</v>
      </c>
      <c r="M322">
        <f t="shared" si="218"/>
        <v>3.3760753314190399E-3</v>
      </c>
      <c r="N322">
        <f t="shared" si="219"/>
        <v>-1.5707963250000001</v>
      </c>
      <c r="O322">
        <f t="shared" si="220"/>
        <v>89.307254856641222</v>
      </c>
      <c r="P322">
        <f t="shared" si="221"/>
        <v>1.5595987941939111</v>
      </c>
      <c r="Q322">
        <f t="shared" si="222"/>
        <v>138.84189020236289</v>
      </c>
      <c r="R322">
        <f t="shared" si="223"/>
        <v>1.5635938272856009</v>
      </c>
      <c r="S322">
        <f t="shared" si="224"/>
        <v>0.21791537442096823</v>
      </c>
      <c r="T322">
        <f t="shared" si="225"/>
        <v>-1.3511183251280245</v>
      </c>
      <c r="U322">
        <f t="shared" si="226"/>
        <v>0.34044085195513196</v>
      </c>
      <c r="V322">
        <f t="shared" si="227"/>
        <v>-1.2234106102427595</v>
      </c>
      <c r="X322">
        <f t="shared" si="244"/>
        <v>-37.136443696964804</v>
      </c>
      <c r="Y322">
        <f t="shared" si="228"/>
        <v>-160.97660127983133</v>
      </c>
      <c r="Z322">
        <f t="shared" si="245"/>
        <v>19.023398720168672</v>
      </c>
      <c r="AC322">
        <v>1</v>
      </c>
      <c r="AD322">
        <f t="shared" si="229"/>
        <v>89.301656031839997</v>
      </c>
      <c r="AE322">
        <f t="shared" si="230"/>
        <v>-4.544900704803799E-2</v>
      </c>
      <c r="AF322">
        <f t="shared" si="231"/>
        <v>1.6455662300699999E-2</v>
      </c>
      <c r="AG322">
        <f t="shared" si="246"/>
        <v>609.51388432789111</v>
      </c>
      <c r="AH322">
        <f t="shared" si="247"/>
        <v>-1744.1899511680183</v>
      </c>
      <c r="AJ322">
        <f t="shared" si="232"/>
        <v>18000</v>
      </c>
      <c r="AK322">
        <f t="shared" si="233"/>
        <v>80615.780673119996</v>
      </c>
      <c r="AL322">
        <v>1</v>
      </c>
      <c r="AM322">
        <f t="shared" si="234"/>
        <v>138.83828893704001</v>
      </c>
      <c r="AN322">
        <f t="shared" si="248"/>
        <v>581.54879210193008</v>
      </c>
      <c r="AO322">
        <f t="shared" si="249"/>
        <v>-125.45855571438899</v>
      </c>
      <c r="AQ322">
        <f t="shared" si="235"/>
        <v>8.5733808527256056E-3</v>
      </c>
      <c r="AR322">
        <f t="shared" si="236"/>
        <v>-9.2592513209436547</v>
      </c>
      <c r="AT322">
        <f t="shared" si="261"/>
        <v>-16144.667514663754</v>
      </c>
      <c r="AU322">
        <f t="shared" si="262"/>
        <v>-5658.5958433273836</v>
      </c>
      <c r="AV322">
        <f t="shared" si="250"/>
        <v>-2.8044785439773259</v>
      </c>
      <c r="AW322">
        <f t="shared" si="251"/>
        <v>74.899384476477167</v>
      </c>
      <c r="AX322">
        <f t="shared" si="252"/>
        <v>-7581.1556191948348</v>
      </c>
      <c r="AY322">
        <f t="shared" si="260"/>
        <v>-1.5609169691542595</v>
      </c>
      <c r="BA322">
        <f t="shared" si="237"/>
        <v>2.2564852294178244</v>
      </c>
      <c r="BB322">
        <f t="shared" si="253"/>
        <v>7.0686499009005734</v>
      </c>
      <c r="BC322">
        <f t="shared" si="254"/>
        <v>-1.2435615748230664</v>
      </c>
      <c r="BD322">
        <f t="shared" si="238"/>
        <v>-251.25082988341978</v>
      </c>
      <c r="BF322">
        <f t="shared" si="239"/>
        <v>-39.91077233123552</v>
      </c>
      <c r="BG322">
        <f t="shared" si="240"/>
        <v>-173.6635447852928</v>
      </c>
      <c r="BH322">
        <f t="shared" si="255"/>
        <v>6.3364552147072004</v>
      </c>
      <c r="BI322">
        <f t="shared" si="256"/>
        <v>6.3364552147072004</v>
      </c>
      <c r="BJ322">
        <f t="shared" si="241"/>
        <v>0</v>
      </c>
      <c r="BK322">
        <f t="shared" si="257"/>
        <v>0</v>
      </c>
      <c r="BM322">
        <f t="shared" si="258"/>
        <v>-46.979422232136095</v>
      </c>
      <c r="BN322">
        <f t="shared" si="242"/>
        <v>-102.41271490187303</v>
      </c>
      <c r="BQ322" s="56">
        <f t="shared" si="259"/>
        <v>23.970610701185709</v>
      </c>
      <c r="BR322" s="59"/>
      <c r="BS322" s="59"/>
      <c r="BT322" s="59">
        <v>131825.674</v>
      </c>
      <c r="BU322" s="59">
        <v>8.8889499999999995</v>
      </c>
      <c r="BV322" s="59">
        <v>-132.06399999999999</v>
      </c>
      <c r="BY322" s="59"/>
      <c r="BZ322" s="59"/>
      <c r="CA322" s="59"/>
      <c r="CC322" s="59"/>
    </row>
    <row r="323" spans="1:81" x14ac:dyDescent="0.25">
      <c r="A323">
        <f t="shared" si="263"/>
        <v>545000</v>
      </c>
      <c r="B323">
        <f t="shared" si="243"/>
        <v>545</v>
      </c>
      <c r="C323">
        <f t="shared" si="212"/>
        <v>4.6294185918780606</v>
      </c>
      <c r="D323">
        <f t="shared" si="213"/>
        <v>1.3530703506856945</v>
      </c>
      <c r="F323">
        <f t="shared" si="214"/>
        <v>6.3858620685194577E-5</v>
      </c>
      <c r="G323">
        <f t="shared" si="215"/>
        <v>3.0074061601666419E-3</v>
      </c>
      <c r="H323">
        <f t="shared" si="216"/>
        <v>-3.1385852438398336</v>
      </c>
      <c r="J323">
        <f t="shared" si="217"/>
        <v>15</v>
      </c>
      <c r="M323">
        <f t="shared" si="218"/>
        <v>3.3451021632408839E-3</v>
      </c>
      <c r="N323">
        <f t="shared" si="219"/>
        <v>-1.5707963250000001</v>
      </c>
      <c r="O323">
        <f t="shared" si="220"/>
        <v>90.13407067993208</v>
      </c>
      <c r="P323">
        <f t="shared" si="221"/>
        <v>1.5597015153816582</v>
      </c>
      <c r="Q323">
        <f t="shared" si="222"/>
        <v>140.12739687645671</v>
      </c>
      <c r="R323">
        <f t="shared" si="223"/>
        <v>1.563659903008884</v>
      </c>
      <c r="S323">
        <f t="shared" si="224"/>
        <v>0.21600984662618741</v>
      </c>
      <c r="T323">
        <f t="shared" si="225"/>
        <v>-1.3530703506856945</v>
      </c>
      <c r="U323">
        <f t="shared" si="226"/>
        <v>0.3376751345260291</v>
      </c>
      <c r="V323">
        <f t="shared" si="227"/>
        <v>-1.2263504702709989</v>
      </c>
      <c r="X323">
        <f t="shared" si="244"/>
        <v>-37.287373997550851</v>
      </c>
      <c r="Y323">
        <f t="shared" si="228"/>
        <v>-161.13696717798601</v>
      </c>
      <c r="Z323">
        <f t="shared" si="245"/>
        <v>18.863032822013992</v>
      </c>
      <c r="AC323">
        <v>1</v>
      </c>
      <c r="AD323">
        <f t="shared" si="229"/>
        <v>90.128523217319994</v>
      </c>
      <c r="AE323">
        <f t="shared" si="230"/>
        <v>-4.6294551846514008E-2</v>
      </c>
      <c r="AF323">
        <f t="shared" si="231"/>
        <v>1.6608029544224998E-2</v>
      </c>
      <c r="AG323">
        <f t="shared" si="246"/>
        <v>599.65081569612346</v>
      </c>
      <c r="AH323">
        <f t="shared" si="247"/>
        <v>-1731.7265543430665</v>
      </c>
      <c r="AJ323">
        <f t="shared" si="232"/>
        <v>18000</v>
      </c>
      <c r="AK323">
        <f t="shared" si="233"/>
        <v>81362.223086760016</v>
      </c>
      <c r="AL323">
        <v>1</v>
      </c>
      <c r="AM323">
        <f t="shared" si="234"/>
        <v>140.12382864942001</v>
      </c>
      <c r="AN323">
        <f t="shared" si="248"/>
        <v>581.53228861739046</v>
      </c>
      <c r="AO323">
        <f t="shared" si="249"/>
        <v>-124.30767756826282</v>
      </c>
      <c r="AQ323">
        <f t="shared" si="235"/>
        <v>8.4167928484194521E-3</v>
      </c>
      <c r="AR323">
        <f t="shared" si="236"/>
        <v>-9.1743042047772025</v>
      </c>
      <c r="AT323">
        <f t="shared" si="261"/>
        <v>-15882.339072336832</v>
      </c>
      <c r="AU323">
        <f t="shared" si="262"/>
        <v>-5515.9545835170375</v>
      </c>
      <c r="AV323">
        <f t="shared" si="250"/>
        <v>-2.807324177543868</v>
      </c>
      <c r="AW323">
        <f t="shared" si="251"/>
        <v>85.490767245754114</v>
      </c>
      <c r="AX323">
        <f t="shared" si="252"/>
        <v>-7515.2112397416413</v>
      </c>
      <c r="AY323">
        <f t="shared" si="260"/>
        <v>-1.5594211202812873</v>
      </c>
      <c r="BA323">
        <f t="shared" si="237"/>
        <v>2.237041220464608</v>
      </c>
      <c r="BB323">
        <f t="shared" si="253"/>
        <v>6.9934797324948406</v>
      </c>
      <c r="BC323">
        <f t="shared" si="254"/>
        <v>-1.2479030572625807</v>
      </c>
      <c r="BD323">
        <f t="shared" si="238"/>
        <v>-251.49957850431835</v>
      </c>
      <c r="BF323">
        <f t="shared" si="239"/>
        <v>-40.069775382218928</v>
      </c>
      <c r="BG323">
        <f t="shared" si="240"/>
        <v>-173.80204625670024</v>
      </c>
      <c r="BH323">
        <f t="shared" si="255"/>
        <v>6.1979537432997631</v>
      </c>
      <c r="BI323">
        <f t="shared" si="256"/>
        <v>6.1979537432997631</v>
      </c>
      <c r="BJ323">
        <f t="shared" si="241"/>
        <v>0</v>
      </c>
      <c r="BK323">
        <f t="shared" si="257"/>
        <v>0</v>
      </c>
      <c r="BM323">
        <f t="shared" si="258"/>
        <v>-47.063255114713769</v>
      </c>
      <c r="BN323">
        <f t="shared" si="242"/>
        <v>-102.30246775238192</v>
      </c>
      <c r="BQ323" s="56">
        <f t="shared" si="259"/>
        <v>23.895440532779975</v>
      </c>
      <c r="BR323" s="59"/>
      <c r="BS323" s="59"/>
      <c r="BT323" s="59">
        <v>134896.288</v>
      </c>
      <c r="BU323" s="59">
        <v>9.0986999999999991</v>
      </c>
      <c r="BV323" s="59">
        <v>-132.62899999999999</v>
      </c>
      <c r="BY323" s="59"/>
      <c r="BZ323" s="59"/>
      <c r="CA323" s="59"/>
      <c r="CC323" s="59"/>
    </row>
    <row r="324" spans="1:81" x14ac:dyDescent="0.25">
      <c r="A324">
        <f t="shared" si="263"/>
        <v>550000</v>
      </c>
      <c r="B324">
        <f t="shared" si="243"/>
        <v>550</v>
      </c>
      <c r="C324">
        <f t="shared" si="212"/>
        <v>4.669917171608164</v>
      </c>
      <c r="D324">
        <f t="shared" si="213"/>
        <v>1.3549885266313579</v>
      </c>
      <c r="F324">
        <f t="shared" si="214"/>
        <v>6.2702764661536859E-5</v>
      </c>
      <c r="G324">
        <f t="shared" si="215"/>
        <v>2.9800628021966896E-3</v>
      </c>
      <c r="H324">
        <f t="shared" si="216"/>
        <v>-3.1386125871978034</v>
      </c>
      <c r="J324">
        <f t="shared" si="217"/>
        <v>15</v>
      </c>
      <c r="M324">
        <f t="shared" si="218"/>
        <v>3.3146921435750574E-3</v>
      </c>
      <c r="N324">
        <f t="shared" si="219"/>
        <v>-1.5707963250000001</v>
      </c>
      <c r="O324">
        <f t="shared" si="220"/>
        <v>90.960887436995478</v>
      </c>
      <c r="P324">
        <f t="shared" si="221"/>
        <v>1.5598023691392588</v>
      </c>
      <c r="Q324">
        <f t="shared" si="222"/>
        <v>141.4129041512239</v>
      </c>
      <c r="R324">
        <f t="shared" si="223"/>
        <v>1.5637247774160106</v>
      </c>
      <c r="S324">
        <f t="shared" si="224"/>
        <v>0.21413656029698563</v>
      </c>
      <c r="T324">
        <f t="shared" si="225"/>
        <v>-1.3549885266313577</v>
      </c>
      <c r="U324">
        <f t="shared" si="226"/>
        <v>0.33495116667514463</v>
      </c>
      <c r="V324">
        <f t="shared" si="227"/>
        <v>-1.2292429242620191</v>
      </c>
      <c r="X324">
        <f t="shared" si="244"/>
        <v>-37.437072541952865</v>
      </c>
      <c r="Y324">
        <f t="shared" si="228"/>
        <v>-161.29476371891164</v>
      </c>
      <c r="Z324">
        <f t="shared" si="245"/>
        <v>18.705236281088361</v>
      </c>
      <c r="AC324">
        <v>1</v>
      </c>
      <c r="AD324">
        <f t="shared" si="229"/>
        <v>90.955390402800006</v>
      </c>
      <c r="AE324">
        <f t="shared" si="230"/>
        <v>-4.7147889684607307E-2</v>
      </c>
      <c r="AF324">
        <f t="shared" si="231"/>
        <v>1.6760396787750001E-2</v>
      </c>
      <c r="AG324">
        <f t="shared" si="246"/>
        <v>590.01527503420766</v>
      </c>
      <c r="AH324">
        <f t="shared" si="247"/>
        <v>-1719.4088818117252</v>
      </c>
      <c r="AJ324">
        <f t="shared" si="232"/>
        <v>18000</v>
      </c>
      <c r="AK324">
        <f t="shared" si="233"/>
        <v>82108.665500400006</v>
      </c>
      <c r="AL324">
        <v>1</v>
      </c>
      <c r="AM324">
        <f t="shared" si="234"/>
        <v>141.40936836179998</v>
      </c>
      <c r="AN324">
        <f t="shared" si="248"/>
        <v>581.51623314884307</v>
      </c>
      <c r="AO324">
        <f t="shared" si="249"/>
        <v>-123.17772131111894</v>
      </c>
      <c r="AQ324">
        <f t="shared" si="235"/>
        <v>8.264455979788447E-3</v>
      </c>
      <c r="AR324">
        <f t="shared" si="236"/>
        <v>-9.0909015777672906</v>
      </c>
      <c r="AT324">
        <f t="shared" si="261"/>
        <v>-15626.100761221383</v>
      </c>
      <c r="AU324">
        <f t="shared" si="262"/>
        <v>-5377.9807737302708</v>
      </c>
      <c r="AV324">
        <f t="shared" si="250"/>
        <v>-2.8101241180539005</v>
      </c>
      <c r="AW324">
        <f t="shared" si="251"/>
        <v>95.751684310297492</v>
      </c>
      <c r="AX324">
        <f t="shared" si="252"/>
        <v>-7450.3840752444285</v>
      </c>
      <c r="AY324">
        <f t="shared" si="260"/>
        <v>-1.5579451218040783</v>
      </c>
      <c r="BA324">
        <f t="shared" si="237"/>
        <v>2.2179129554549797</v>
      </c>
      <c r="BB324">
        <f t="shared" si="253"/>
        <v>6.9188899552224026</v>
      </c>
      <c r="BC324">
        <f t="shared" si="254"/>
        <v>-1.2521789962498222</v>
      </c>
      <c r="BD324">
        <f t="shared" si="238"/>
        <v>-251.74457176202267</v>
      </c>
      <c r="BF324">
        <f t="shared" si="239"/>
        <v>-40.227367509692947</v>
      </c>
      <c r="BG324">
        <f t="shared" si="240"/>
        <v>-173.93870278724015</v>
      </c>
      <c r="BH324">
        <f t="shared" si="255"/>
        <v>6.0612972127598539</v>
      </c>
      <c r="BI324">
        <f t="shared" si="256"/>
        <v>6.0612972127598539</v>
      </c>
      <c r="BJ324">
        <f t="shared" si="241"/>
        <v>0</v>
      </c>
      <c r="BK324">
        <f t="shared" si="257"/>
        <v>0</v>
      </c>
      <c r="BM324">
        <f t="shared" si="258"/>
        <v>-47.146257464915358</v>
      </c>
      <c r="BN324">
        <f t="shared" si="242"/>
        <v>-102.19413102521747</v>
      </c>
      <c r="BQ324" s="56">
        <f t="shared" si="259"/>
        <v>23.820850755507543</v>
      </c>
      <c r="BR324" s="59"/>
      <c r="BS324" s="59"/>
      <c r="BT324" s="59">
        <v>138038.42600000001</v>
      </c>
      <c r="BU324" s="59">
        <v>9.3196600000000007</v>
      </c>
      <c r="BV324" s="59">
        <v>-133.267</v>
      </c>
      <c r="BY324" s="59"/>
      <c r="BZ324" s="59"/>
      <c r="CA324" s="59"/>
      <c r="CC324" s="59"/>
    </row>
    <row r="325" spans="1:81" x14ac:dyDescent="0.25">
      <c r="A325">
        <f t="shared" si="263"/>
        <v>555000</v>
      </c>
      <c r="B325">
        <f t="shared" si="243"/>
        <v>555</v>
      </c>
      <c r="C325">
        <f t="shared" si="212"/>
        <v>4.7104326383326178</v>
      </c>
      <c r="D325">
        <f t="shared" si="213"/>
        <v>1.3568737121082459</v>
      </c>
      <c r="F325">
        <f t="shared" si="214"/>
        <v>6.1578009456291313E-5</v>
      </c>
      <c r="G325">
        <f t="shared" si="215"/>
        <v>2.953212205389355E-3</v>
      </c>
      <c r="H325">
        <f t="shared" si="216"/>
        <v>-3.1386394377946107</v>
      </c>
      <c r="J325">
        <f t="shared" si="217"/>
        <v>15</v>
      </c>
      <c r="M325">
        <f t="shared" si="218"/>
        <v>3.2848300521914984E-3</v>
      </c>
      <c r="N325">
        <f t="shared" si="219"/>
        <v>-1.5707963250000001</v>
      </c>
      <c r="O325">
        <f t="shared" si="220"/>
        <v>91.787705102597386</v>
      </c>
      <c r="P325">
        <f t="shared" si="221"/>
        <v>1.5599014059297007</v>
      </c>
      <c r="Q325">
        <f t="shared" si="222"/>
        <v>142.69841201043084</v>
      </c>
      <c r="R325">
        <f t="shared" si="223"/>
        <v>1.5637884829728297</v>
      </c>
      <c r="S325">
        <f t="shared" si="224"/>
        <v>0.21229472466333296</v>
      </c>
      <c r="T325">
        <f t="shared" si="225"/>
        <v>-1.3568737121082459</v>
      </c>
      <c r="U325">
        <f t="shared" si="226"/>
        <v>0.33226808125512153</v>
      </c>
      <c r="V325">
        <f t="shared" si="227"/>
        <v>-1.2320890624489202</v>
      </c>
      <c r="X325">
        <f t="shared" si="244"/>
        <v>-37.585558285065474</v>
      </c>
      <c r="Y325">
        <f t="shared" si="228"/>
        <v>-161.45004940133791</v>
      </c>
      <c r="Z325">
        <f t="shared" si="245"/>
        <v>18.549950598662093</v>
      </c>
      <c r="AC325">
        <v>1</v>
      </c>
      <c r="AD325">
        <f t="shared" si="229"/>
        <v>91.782257588280004</v>
      </c>
      <c r="AE325">
        <f t="shared" si="230"/>
        <v>-4.80090205623179E-2</v>
      </c>
      <c r="AF325">
        <f t="shared" si="231"/>
        <v>1.6912764031275E-2</v>
      </c>
      <c r="AG325">
        <f t="shared" si="246"/>
        <v>580.6006434164758</v>
      </c>
      <c r="AH325">
        <f t="shared" si="247"/>
        <v>-1707.235326814872</v>
      </c>
      <c r="AJ325">
        <f t="shared" si="232"/>
        <v>18000</v>
      </c>
      <c r="AK325">
        <f t="shared" si="233"/>
        <v>82855.107914039996</v>
      </c>
      <c r="AL325">
        <v>1</v>
      </c>
      <c r="AM325">
        <f t="shared" si="234"/>
        <v>142.69490807417998</v>
      </c>
      <c r="AN325">
        <f t="shared" si="248"/>
        <v>581.50060962584178</v>
      </c>
      <c r="AO325">
        <f t="shared" si="249"/>
        <v>-122.06812159911932</v>
      </c>
      <c r="AQ325">
        <f t="shared" si="235"/>
        <v>8.1162177451361544E-3</v>
      </c>
      <c r="AR325">
        <f t="shared" si="236"/>
        <v>-9.0090016971011302</v>
      </c>
      <c r="AT325">
        <f t="shared" si="261"/>
        <v>-15375.77367538125</v>
      </c>
      <c r="AU325">
        <f t="shared" si="262"/>
        <v>-5244.4884755316571</v>
      </c>
      <c r="AV325">
        <f t="shared" si="250"/>
        <v>-2.8128794094518419</v>
      </c>
      <c r="AW325">
        <f t="shared" si="251"/>
        <v>105.69563646630125</v>
      </c>
      <c r="AX325">
        <f t="shared" si="252"/>
        <v>-7386.6462572568225</v>
      </c>
      <c r="AY325">
        <f t="shared" si="260"/>
        <v>-1.5564882876635562</v>
      </c>
      <c r="BA325">
        <f t="shared" si="237"/>
        <v>2.1990931883294813</v>
      </c>
      <c r="BB325">
        <f t="shared" si="253"/>
        <v>6.844872666522404</v>
      </c>
      <c r="BC325">
        <f t="shared" si="254"/>
        <v>-1.2563911217882857</v>
      </c>
      <c r="BD325">
        <f t="shared" si="238"/>
        <v>-251.98590877843168</v>
      </c>
      <c r="BF325">
        <f t="shared" si="239"/>
        <v>-40.383573282043713</v>
      </c>
      <c r="BG325">
        <f t="shared" si="240"/>
        <v>-174.07356505797688</v>
      </c>
      <c r="BH325">
        <f t="shared" si="255"/>
        <v>5.9264349420231213</v>
      </c>
      <c r="BI325">
        <f t="shared" si="256"/>
        <v>5.9264349420231213</v>
      </c>
      <c r="BJ325">
        <f t="shared" si="241"/>
        <v>0</v>
      </c>
      <c r="BK325">
        <f t="shared" si="257"/>
        <v>0</v>
      </c>
      <c r="BM325">
        <f t="shared" si="258"/>
        <v>-47.228445948566112</v>
      </c>
      <c r="BN325">
        <f t="shared" si="242"/>
        <v>-102.08765627954524</v>
      </c>
      <c r="BQ325" s="56">
        <f t="shared" si="259"/>
        <v>23.746833466807541</v>
      </c>
      <c r="BR325" s="59"/>
      <c r="BS325" s="59"/>
      <c r="BT325" s="59">
        <v>141253.75399999999</v>
      </c>
      <c r="BU325" s="59">
        <v>9.5290400000000002</v>
      </c>
      <c r="BV325" s="59">
        <v>-133.959</v>
      </c>
      <c r="BY325" s="59"/>
      <c r="BZ325" s="59"/>
      <c r="CA325" s="59"/>
      <c r="CC325" s="59"/>
    </row>
    <row r="326" spans="1:81" x14ac:dyDescent="0.25">
      <c r="A326">
        <f t="shared" si="263"/>
        <v>560000</v>
      </c>
      <c r="B326">
        <f t="shared" si="243"/>
        <v>560</v>
      </c>
      <c r="C326">
        <f t="shared" si="212"/>
        <v>4.7509645600226698</v>
      </c>
      <c r="D326">
        <f t="shared" si="213"/>
        <v>1.3587267378975496</v>
      </c>
      <c r="F326">
        <f t="shared" si="214"/>
        <v>6.0483249194468673E-5</v>
      </c>
      <c r="G326">
        <f t="shared" si="215"/>
        <v>2.9268411676821675E-3</v>
      </c>
      <c r="H326">
        <f t="shared" si="216"/>
        <v>-3.138665808832318</v>
      </c>
      <c r="J326">
        <f t="shared" si="217"/>
        <v>15</v>
      </c>
      <c r="M326">
        <f t="shared" si="218"/>
        <v>3.2555012124397885E-3</v>
      </c>
      <c r="N326">
        <f t="shared" si="219"/>
        <v>-1.5707963250000001</v>
      </c>
      <c r="O326">
        <f t="shared" si="220"/>
        <v>92.614523652404813</v>
      </c>
      <c r="P326">
        <f t="shared" si="221"/>
        <v>1.5599986744140777</v>
      </c>
      <c r="Q326">
        <f t="shared" si="222"/>
        <v>143.9839204384237</v>
      </c>
      <c r="R326">
        <f t="shared" si="223"/>
        <v>1.5638510509857904</v>
      </c>
      <c r="S326">
        <f t="shared" si="224"/>
        <v>0.21048357388614761</v>
      </c>
      <c r="T326">
        <f t="shared" si="225"/>
        <v>-1.3587267378975496</v>
      </c>
      <c r="U326">
        <f t="shared" si="226"/>
        <v>0.329625032503781</v>
      </c>
      <c r="V326">
        <f t="shared" si="227"/>
        <v>-1.234889943430227</v>
      </c>
      <c r="X326">
        <f t="shared" si="244"/>
        <v>-37.732849767736866</v>
      </c>
      <c r="Y326">
        <f t="shared" si="228"/>
        <v>-161.60288105311227</v>
      </c>
      <c r="Z326">
        <f t="shared" si="245"/>
        <v>18.39711894688773</v>
      </c>
      <c r="AC326">
        <v>1</v>
      </c>
      <c r="AD326">
        <f t="shared" si="229"/>
        <v>92.609124773760001</v>
      </c>
      <c r="AE326">
        <f t="shared" si="230"/>
        <v>-4.8877944479645788E-2</v>
      </c>
      <c r="AF326">
        <f t="shared" si="231"/>
        <v>1.7065131274799999E-2</v>
      </c>
      <c r="AG326">
        <f t="shared" si="246"/>
        <v>571.40052743624187</v>
      </c>
      <c r="AH326">
        <f t="shared" si="247"/>
        <v>-1695.2042612404687</v>
      </c>
      <c r="AJ326">
        <f t="shared" si="232"/>
        <v>18000</v>
      </c>
      <c r="AK326">
        <f t="shared" si="233"/>
        <v>83601.550327680001</v>
      </c>
      <c r="AL326">
        <v>1</v>
      </c>
      <c r="AM326">
        <f t="shared" si="234"/>
        <v>143.98044778655998</v>
      </c>
      <c r="AN326">
        <f t="shared" si="248"/>
        <v>581.48540269208331</v>
      </c>
      <c r="AO326">
        <f t="shared" si="249"/>
        <v>-120.97833327431745</v>
      </c>
      <c r="AQ326">
        <f t="shared" si="235"/>
        <v>7.971932420334487E-3</v>
      </c>
      <c r="AR326">
        <f t="shared" si="236"/>
        <v>-8.9285643107746253</v>
      </c>
      <c r="AT326">
        <f t="shared" si="261"/>
        <v>-15131.185099995047</v>
      </c>
      <c r="AU326">
        <f t="shared" si="262"/>
        <v>-5115.3004102342984</v>
      </c>
      <c r="AV326">
        <f t="shared" si="250"/>
        <v>-2.8155910657003451</v>
      </c>
      <c r="AW326">
        <f t="shared" si="251"/>
        <v>115.33545130321032</v>
      </c>
      <c r="AX326">
        <f t="shared" si="252"/>
        <v>-7323.9708357496711</v>
      </c>
      <c r="AY326">
        <f t="shared" si="260"/>
        <v>-1.5550499616968791</v>
      </c>
      <c r="BA326">
        <f t="shared" si="237"/>
        <v>2.1805748762860637</v>
      </c>
      <c r="BB326">
        <f t="shared" si="253"/>
        <v>6.7714200802168891</v>
      </c>
      <c r="BC326">
        <f t="shared" si="254"/>
        <v>-1.260541104003466</v>
      </c>
      <c r="BD326">
        <f t="shared" si="238"/>
        <v>-252.22368524468754</v>
      </c>
      <c r="BF326">
        <f t="shared" si="239"/>
        <v>-40.538416649407836</v>
      </c>
      <c r="BG326">
        <f t="shared" si="240"/>
        <v>-174.20668191621917</v>
      </c>
      <c r="BH326">
        <f t="shared" si="255"/>
        <v>5.7933180837808322</v>
      </c>
      <c r="BI326">
        <f t="shared" si="256"/>
        <v>5.7933180837808322</v>
      </c>
      <c r="BJ326">
        <f t="shared" si="241"/>
        <v>0</v>
      </c>
      <c r="BK326">
        <f t="shared" si="257"/>
        <v>0</v>
      </c>
      <c r="BM326">
        <f t="shared" si="258"/>
        <v>-47.309836729624728</v>
      </c>
      <c r="BN326">
        <f t="shared" si="242"/>
        <v>-101.98299667153167</v>
      </c>
      <c r="BQ326" s="56">
        <f t="shared" si="259"/>
        <v>23.673380880502023</v>
      </c>
      <c r="BR326" s="59"/>
      <c r="BS326" s="59"/>
      <c r="BT326" s="59">
        <v>144543.97700000001</v>
      </c>
      <c r="BU326" s="59">
        <v>9.7312899999999996</v>
      </c>
      <c r="BV326" s="59">
        <v>-134.75200000000001</v>
      </c>
      <c r="BY326" s="59"/>
      <c r="BZ326" s="59"/>
      <c r="CA326" s="59"/>
      <c r="CC326" s="59"/>
    </row>
    <row r="327" spans="1:81" x14ac:dyDescent="0.25">
      <c r="A327">
        <f t="shared" si="263"/>
        <v>565000</v>
      </c>
      <c r="B327">
        <f t="shared" si="243"/>
        <v>565</v>
      </c>
      <c r="C327">
        <f t="shared" si="212"/>
        <v>4.791512519095348</v>
      </c>
      <c r="D327">
        <f t="shared" si="213"/>
        <v>1.3605484075593108</v>
      </c>
      <c r="F327">
        <f t="shared" si="214"/>
        <v>5.9417426721592683E-5</v>
      </c>
      <c r="G327">
        <f t="shared" si="215"/>
        <v>2.9009369544777857E-3</v>
      </c>
      <c r="H327">
        <f t="shared" si="216"/>
        <v>-3.1386917130455223</v>
      </c>
      <c r="J327">
        <f t="shared" si="217"/>
        <v>15</v>
      </c>
      <c r="M327">
        <f t="shared" si="218"/>
        <v>3.2266914671969585E-3</v>
      </c>
      <c r="N327">
        <f t="shared" si="219"/>
        <v>-1.5707963250000001</v>
      </c>
      <c r="O327">
        <f t="shared" si="220"/>
        <v>93.44134306294599</v>
      </c>
      <c r="P327">
        <f t="shared" si="221"/>
        <v>1.5600942215313025</v>
      </c>
      <c r="Q327">
        <f t="shared" si="222"/>
        <v>145.26942942010265</v>
      </c>
      <c r="R327">
        <f t="shared" si="223"/>
        <v>1.5639125116532384</v>
      </c>
      <c r="S327">
        <f t="shared" si="224"/>
        <v>0.20870236611398923</v>
      </c>
      <c r="T327">
        <f t="shared" si="225"/>
        <v>-1.3605484075593108</v>
      </c>
      <c r="U327">
        <f t="shared" si="226"/>
        <v>0.32702119550098185</v>
      </c>
      <c r="V327">
        <f t="shared" si="227"/>
        <v>-1.2376465952457696</v>
      </c>
      <c r="X327">
        <f t="shared" si="244"/>
        <v>-37.87896512826034</v>
      </c>
      <c r="Y327">
        <f t="shared" si="228"/>
        <v>-161.75331388657759</v>
      </c>
      <c r="Z327">
        <f t="shared" si="245"/>
        <v>18.246686113422413</v>
      </c>
      <c r="AC327">
        <v>1</v>
      </c>
      <c r="AD327">
        <f t="shared" si="229"/>
        <v>93.435991959239999</v>
      </c>
      <c r="AE327">
        <f t="shared" si="230"/>
        <v>-4.975466143659097E-2</v>
      </c>
      <c r="AF327">
        <f t="shared" si="231"/>
        <v>1.7217498518324999E-2</v>
      </c>
      <c r="AG327">
        <f t="shared" si="246"/>
        <v>562.40875072002098</v>
      </c>
      <c r="AH327">
        <f t="shared" si="247"/>
        <v>-1683.3140395048679</v>
      </c>
      <c r="AJ327">
        <f t="shared" si="232"/>
        <v>18000</v>
      </c>
      <c r="AK327">
        <f t="shared" si="233"/>
        <v>84347.992741320006</v>
      </c>
      <c r="AL327">
        <v>1</v>
      </c>
      <c r="AM327">
        <f t="shared" si="234"/>
        <v>145.26598749894001</v>
      </c>
      <c r="AN327">
        <f t="shared" si="248"/>
        <v>581.47059766766176</v>
      </c>
      <c r="AO327">
        <f t="shared" si="249"/>
        <v>-119.9078304717368</v>
      </c>
      <c r="AQ327">
        <f t="shared" si="235"/>
        <v>7.8314607005554853E-3</v>
      </c>
      <c r="AR327">
        <f t="shared" si="236"/>
        <v>-8.8495505916276986</v>
      </c>
      <c r="AT327">
        <f t="shared" si="261"/>
        <v>-14892.168272166602</v>
      </c>
      <c r="AU327">
        <f t="shared" si="262"/>
        <v>-4990.2475004180324</v>
      </c>
      <c r="AV327">
        <f t="shared" si="250"/>
        <v>-2.8182600717830644</v>
      </c>
      <c r="AW327">
        <f t="shared" si="251"/>
        <v>124.68332245216499</v>
      </c>
      <c r="AX327">
        <f t="shared" si="252"/>
        <v>-7262.331741231963</v>
      </c>
      <c r="AY327">
        <f t="shared" si="260"/>
        <v>-1.5536295161036815</v>
      </c>
      <c r="BA327">
        <f t="shared" si="237"/>
        <v>2.162351173613267</v>
      </c>
      <c r="BB327">
        <f t="shared" si="253"/>
        <v>6.6985245266423208</v>
      </c>
      <c r="BC327">
        <f t="shared" si="254"/>
        <v>-1.2646305556793829</v>
      </c>
      <c r="BD327">
        <f t="shared" si="238"/>
        <v>-252.45799356650804</v>
      </c>
      <c r="BF327">
        <f t="shared" si="239"/>
        <v>-40.69192096351717</v>
      </c>
      <c r="BG327">
        <f t="shared" si="240"/>
        <v>-174.33810045672436</v>
      </c>
      <c r="BH327">
        <f t="shared" si="255"/>
        <v>5.6618995432756378</v>
      </c>
      <c r="BI327">
        <f t="shared" si="256"/>
        <v>5.6618995432756378</v>
      </c>
      <c r="BJ327">
        <f t="shared" si="241"/>
        <v>0</v>
      </c>
      <c r="BK327">
        <f t="shared" si="257"/>
        <v>0</v>
      </c>
      <c r="BM327">
        <f t="shared" si="258"/>
        <v>-47.390445490159493</v>
      </c>
      <c r="BN327">
        <f t="shared" si="242"/>
        <v>-101.88010689021635</v>
      </c>
      <c r="BQ327" s="56">
        <f t="shared" si="259"/>
        <v>23.600485326927458</v>
      </c>
      <c r="BR327" s="59"/>
      <c r="BS327" s="59"/>
      <c r="BT327" s="59">
        <v>147910.83900000001</v>
      </c>
      <c r="BU327" s="59">
        <v>9.9010099999999994</v>
      </c>
      <c r="BV327" s="59">
        <v>-135.72399999999999</v>
      </c>
      <c r="BY327" s="59"/>
      <c r="BZ327" s="59"/>
      <c r="CA327" s="59"/>
      <c r="CC327" s="59"/>
    </row>
    <row r="328" spans="1:81" x14ac:dyDescent="0.25">
      <c r="A328">
        <f t="shared" si="263"/>
        <v>570000</v>
      </c>
      <c r="B328">
        <f t="shared" si="243"/>
        <v>570</v>
      </c>
      <c r="C328">
        <f t="shared" si="212"/>
        <v>4.8320761118216389</v>
      </c>
      <c r="D328">
        <f t="shared" si="213"/>
        <v>1.3623394985196891</v>
      </c>
      <c r="F328">
        <f t="shared" si="214"/>
        <v>5.8379531050445783E-5</v>
      </c>
      <c r="G328">
        <f t="shared" si="215"/>
        <v>2.8754872781341042E-3</v>
      </c>
      <c r="H328">
        <f t="shared" si="216"/>
        <v>-3.138717162721866</v>
      </c>
      <c r="J328">
        <f t="shared" si="217"/>
        <v>15</v>
      </c>
      <c r="M328">
        <f t="shared" si="218"/>
        <v>3.1983871560811957E-3</v>
      </c>
      <c r="N328">
        <f t="shared" si="219"/>
        <v>-1.5707963250000001</v>
      </c>
      <c r="O328">
        <f t="shared" si="220"/>
        <v>94.268163311572607</v>
      </c>
      <c r="P328">
        <f t="shared" si="221"/>
        <v>1.5601880925736227</v>
      </c>
      <c r="Q328">
        <f t="shared" si="222"/>
        <v>146.55493894089773</v>
      </c>
      <c r="R328">
        <f t="shared" si="223"/>
        <v>1.5639728941140116</v>
      </c>
      <c r="S328">
        <f t="shared" si="224"/>
        <v>0.20695038258058632</v>
      </c>
      <c r="T328">
        <f t="shared" si="225"/>
        <v>-1.3623394985196891</v>
      </c>
      <c r="U328">
        <f t="shared" si="226"/>
        <v>0.32445576563530226</v>
      </c>
      <c r="V328">
        <f t="shared" si="227"/>
        <v>-1.2403600164121082</v>
      </c>
      <c r="X328">
        <f t="shared" si="244"/>
        <v>-38.023922113479649</v>
      </c>
      <c r="Y328">
        <f t="shared" si="228"/>
        <v>-161.90140155196158</v>
      </c>
      <c r="Z328">
        <f t="shared" si="245"/>
        <v>18.098598448038416</v>
      </c>
      <c r="AC328">
        <v>1</v>
      </c>
      <c r="AD328">
        <f t="shared" si="229"/>
        <v>94.262859144720011</v>
      </c>
      <c r="AE328">
        <f t="shared" si="230"/>
        <v>-5.063917143315344E-2</v>
      </c>
      <c r="AF328">
        <f t="shared" si="231"/>
        <v>1.7369865761849998E-2</v>
      </c>
      <c r="AG328">
        <f t="shared" si="246"/>
        <v>553.61934577166585</v>
      </c>
      <c r="AH328">
        <f t="shared" si="247"/>
        <v>-1671.5630021166755</v>
      </c>
      <c r="AJ328">
        <f t="shared" si="232"/>
        <v>18000</v>
      </c>
      <c r="AK328">
        <f t="shared" si="233"/>
        <v>85094.435154960011</v>
      </c>
      <c r="AL328">
        <v>1</v>
      </c>
      <c r="AM328">
        <f t="shared" si="234"/>
        <v>146.55152721131998</v>
      </c>
      <c r="AN328">
        <f t="shared" si="248"/>
        <v>581.45618051362999</v>
      </c>
      <c r="AO328">
        <f t="shared" si="249"/>
        <v>-118.8561057734301</v>
      </c>
      <c r="AQ328">
        <f t="shared" si="235"/>
        <v>7.6946693639047678E-3</v>
      </c>
      <c r="AR328">
        <f t="shared" si="236"/>
        <v>-8.7719230748514345</v>
      </c>
      <c r="AT328">
        <f t="shared" si="261"/>
        <v>-14658.562151516029</v>
      </c>
      <c r="AU328">
        <f t="shared" si="262"/>
        <v>-4869.1684384808541</v>
      </c>
      <c r="AV328">
        <f t="shared" si="250"/>
        <v>-2.8208873846708129</v>
      </c>
      <c r="AW328">
        <f t="shared" si="251"/>
        <v>133.75084623388472</v>
      </c>
      <c r="AX328">
        <f t="shared" si="252"/>
        <v>-7201.7037487673661</v>
      </c>
      <c r="AY328">
        <f t="shared" si="260"/>
        <v>-1.5522263500016495</v>
      </c>
      <c r="BA328">
        <f t="shared" si="237"/>
        <v>2.144415425683226</v>
      </c>
      <c r="BB328">
        <f t="shared" si="253"/>
        <v>6.6261784525521294</v>
      </c>
      <c r="BC328">
        <f t="shared" si="254"/>
        <v>-1.2686610346691634</v>
      </c>
      <c r="BD328">
        <f t="shared" si="238"/>
        <v>-252.68892300230249</v>
      </c>
      <c r="BF328">
        <f t="shared" si="239"/>
        <v>-40.844108996793082</v>
      </c>
      <c r="BG328">
        <f t="shared" si="240"/>
        <v>-174.46786609869397</v>
      </c>
      <c r="BH328">
        <f t="shared" si="255"/>
        <v>5.5321339013060253</v>
      </c>
      <c r="BI328">
        <f t="shared" si="256"/>
        <v>5.5321339013060253</v>
      </c>
      <c r="BJ328">
        <f t="shared" si="241"/>
        <v>0</v>
      </c>
      <c r="BK328">
        <f t="shared" si="257"/>
        <v>0</v>
      </c>
      <c r="BM328">
        <f t="shared" si="258"/>
        <v>-47.470287449345207</v>
      </c>
      <c r="BN328">
        <f t="shared" si="242"/>
        <v>-101.77894309639152</v>
      </c>
      <c r="BQ328" s="56">
        <f t="shared" si="259"/>
        <v>23.528139252837267</v>
      </c>
      <c r="BR328" s="59"/>
      <c r="BS328" s="59"/>
      <c r="BT328" s="59">
        <v>151356.125</v>
      </c>
      <c r="BU328" s="59">
        <v>10.0764</v>
      </c>
      <c r="BV328" s="59">
        <v>-136.34200000000001</v>
      </c>
      <c r="BY328" s="59"/>
      <c r="BZ328" s="59"/>
      <c r="CA328" s="59"/>
      <c r="CC328" s="59"/>
    </row>
    <row r="329" spans="1:81" x14ac:dyDescent="0.25">
      <c r="A329">
        <f t="shared" si="263"/>
        <v>575000</v>
      </c>
      <c r="B329">
        <f t="shared" si="243"/>
        <v>575</v>
      </c>
      <c r="C329">
        <f t="shared" ref="C329:C392" si="264">SQRT((A329/Fesr)^2+1)</f>
        <v>4.8726549477631842</v>
      </c>
      <c r="D329">
        <f t="shared" ref="D329:D392" si="265">ATAN(A329/Fesr)</f>
        <v>1.364100763107464</v>
      </c>
      <c r="F329">
        <f t="shared" ref="F329:F392" si="266">(Ro/(Ro+Rdcr))/SQRT((A329/(Q*Fo))^2+(1-(A329^2/Fo^2))^2)</f>
        <v>5.736859496257197E-5</v>
      </c>
      <c r="G329">
        <f t="shared" ref="G329:G392" si="267">-ATAN(A329*Fo/(Q*(Fo^2-A329^2)))</f>
        <v>2.8504802785248627E-3</v>
      </c>
      <c r="H329">
        <f t="shared" ref="H329:H392" si="268">IF(G329&gt;0,G329-Pi,G329)</f>
        <v>-3.1387421697214752</v>
      </c>
      <c r="J329">
        <f t="shared" ref="J329:J392" si="269">Vin/Vramp</f>
        <v>15</v>
      </c>
      <c r="M329">
        <f t="shared" ref="M329:M392" si="270">1/(2*Pi*_Rfb1*(Cc1ea_u+Cc2ea_u)*A329)</f>
        <v>3.1705750938544027E-3</v>
      </c>
      <c r="N329">
        <f t="shared" ref="N329:N392" si="271">-Pi/2</f>
        <v>-1.5707963250000001</v>
      </c>
      <c r="O329">
        <f t="shared" ref="O329:O392" si="272">SQRT(1+(A329/Fz1_u)^2)</f>
        <v>95.094984376424037</v>
      </c>
      <c r="P329">
        <f t="shared" ref="P329:P392" si="273">ATAN2(Fz1_u,A329)</f>
        <v>1.560280331258199</v>
      </c>
      <c r="Q329">
        <f t="shared" ref="Q329:Q392" si="274">SQRT(1+(A329/Fz2_u)^2)</f>
        <v>147.84044898674566</v>
      </c>
      <c r="R329">
        <f t="shared" ref="R329:R392" si="275">ATAN2(Fz2_u,A329)</f>
        <v>1.5640322264935023</v>
      </c>
      <c r="S329">
        <f t="shared" ref="S329:S392" si="276">1/SQRT(1+(A329/Fp1_u)^2)</f>
        <v>0.20522692674125328</v>
      </c>
      <c r="T329">
        <f t="shared" ref="T329:T392" si="277">-ATAN2(Fp1_u,A329)</f>
        <v>-1.364100763107464</v>
      </c>
      <c r="U329">
        <f t="shared" ref="U329:U392" si="278">1/SQRT(1+(A329/Fp2_u)^2)</f>
        <v>0.32192795808088215</v>
      </c>
      <c r="V329">
        <f t="shared" ref="V329:V392" si="279">-ATAN2(Fp2_u,A329)</f>
        <v>-1.2430311769190758</v>
      </c>
      <c r="X329">
        <f t="shared" si="244"/>
        <v>-38.167738089523965</v>
      </c>
      <c r="Y329">
        <f t="shared" ref="Y329:Y392" si="280">(180/Pi)*(D329+H329+N329+P329+R329+T329+V329)</f>
        <v>-162.04719618884803</v>
      </c>
      <c r="Z329">
        <f t="shared" si="245"/>
        <v>17.952803811151966</v>
      </c>
      <c r="AC329">
        <v>1</v>
      </c>
      <c r="AD329">
        <f t="shared" ref="AD329:AD392" si="281">Rcea1_u*Cc1ea_u*A329*2*Pi</f>
        <v>95.089726330199994</v>
      </c>
      <c r="AE329">
        <f t="shared" ref="AE329:AE392" si="282">-Rcea1_u*Cc1ea_u*Cc2ea_u*(A329*2*Pi)^2</f>
        <v>-5.1531474469333198E-2</v>
      </c>
      <c r="AF329">
        <f t="shared" ref="AF329:AF392" si="283">(Cc2ea_u+Cc1ea_u)*A329*2*Pi</f>
        <v>1.7522233005374997E-2</v>
      </c>
      <c r="AG329">
        <f t="shared" si="246"/>
        <v>545.02654613473021</v>
      </c>
      <c r="AH329">
        <f t="shared" si="247"/>
        <v>-1659.9494789464607</v>
      </c>
      <c r="AJ329">
        <f t="shared" ref="AJ329:AJ392" si="284">_Rfb1</f>
        <v>18000</v>
      </c>
      <c r="AK329">
        <f t="shared" ref="AK329:AK392" si="285">_Rfb1*Rcea2_u*Cc3ea_u*A329*2*Pi</f>
        <v>85840.877568600001</v>
      </c>
      <c r="AL329">
        <v>1</v>
      </c>
      <c r="AM329">
        <f t="shared" ref="AM329:AM392" si="286">(_Rfb1+Rcea2_u)*Cc3ea_u*A329*2*Pi</f>
        <v>147.83706692369998</v>
      </c>
      <c r="AN329">
        <f t="shared" si="248"/>
        <v>581.44213779870711</v>
      </c>
      <c r="AO329">
        <f t="shared" si="249"/>
        <v>-117.82266940665947</v>
      </c>
      <c r="AQ329">
        <f t="shared" ref="AQ329:AQ392" si="287">Eadcg/(1+(Eadcg*A329/GBP)^2)</f>
        <v>7.5614309554397309E-3</v>
      </c>
      <c r="AR329">
        <f t="shared" ref="AR329:AR392" si="288">-(A329*Eadcg*Eadcg/GBP)/(1+(Eadcg*A329/GBP)^2)</f>
        <v>-8.6956455987556911</v>
      </c>
      <c r="AT329">
        <f t="shared" si="261"/>
        <v>-14430.211200160113</v>
      </c>
      <c r="AU329">
        <f t="shared" si="262"/>
        <v>-4751.9092804760539</v>
      </c>
      <c r="AV329">
        <f t="shared" si="250"/>
        <v>-2.8234739342524509</v>
      </c>
      <c r="AW329">
        <f t="shared" si="251"/>
        <v>142.54905589800205</v>
      </c>
      <c r="AX329">
        <f t="shared" si="252"/>
        <v>-7142.0624437736769</v>
      </c>
      <c r="AY329">
        <f t="shared" si="260"/>
        <v>-1.5508398880656675</v>
      </c>
      <c r="BA329">
        <f t="shared" ref="BA329:BA392" si="289">SQRT(AT329^2+AU329^2)/SQRT(AW329^2+AX329^2)</f>
        <v>2.1267611631055128</v>
      </c>
      <c r="BB329">
        <f t="shared" si="253"/>
        <v>6.5543744208156376</v>
      </c>
      <c r="BC329">
        <f t="shared" si="254"/>
        <v>-1.2726340461867833</v>
      </c>
      <c r="BD329">
        <f t="shared" ref="BD329:BD392" si="290">BC329*180/Pi-180</f>
        <v>-252.9165597944791</v>
      </c>
      <c r="BF329">
        <f t="shared" ref="BF329:BF392" si="291">20*LOG(BA329*J329*F329*C329)</f>
        <v>-40.995002960721621</v>
      </c>
      <c r="BG329">
        <f t="shared" ref="BG329:BG392" si="292">(180/Pi)*(D329+H329+BC329)</f>
        <v>-174.59602265880744</v>
      </c>
      <c r="BH329">
        <f t="shared" si="255"/>
        <v>5.403977341192558</v>
      </c>
      <c r="BI329">
        <f t="shared" si="256"/>
        <v>5.403977341192558</v>
      </c>
      <c r="BJ329">
        <f t="shared" ref="BJ329:BJ392" si="293">SUM((BF330&lt;0)*(BF329&gt;0))*A329</f>
        <v>0</v>
      </c>
      <c r="BK329">
        <f t="shared" si="257"/>
        <v>0</v>
      </c>
      <c r="BM329">
        <f t="shared" si="258"/>
        <v>-47.549377381537269</v>
      </c>
      <c r="BN329">
        <f t="shared" ref="BN329:BN392" si="294">(H329+D329)*180/Pi</f>
        <v>-101.67946286432839</v>
      </c>
      <c r="BQ329" s="56">
        <f t="shared" si="259"/>
        <v>23.456335221100773</v>
      </c>
      <c r="BR329" s="59"/>
      <c r="BS329" s="59"/>
      <c r="BT329" s="59">
        <v>154881.66200000001</v>
      </c>
      <c r="BU329" s="59">
        <v>10.266</v>
      </c>
      <c r="BV329" s="59">
        <v>-136.816</v>
      </c>
      <c r="BY329" s="59"/>
      <c r="BZ329" s="59"/>
      <c r="CA329" s="59"/>
      <c r="CC329" s="59"/>
    </row>
    <row r="330" spans="1:81" x14ac:dyDescent="0.25">
      <c r="A330">
        <f t="shared" si="263"/>
        <v>580000</v>
      </c>
      <c r="B330">
        <f t="shared" ref="B330:B393" si="295">A330/1000</f>
        <v>580</v>
      </c>
      <c r="C330">
        <f t="shared" si="264"/>
        <v>4.9132486492359186</v>
      </c>
      <c r="D330">
        <f t="shared" si="265"/>
        <v>1.3658329295424603</v>
      </c>
      <c r="F330">
        <f t="shared" si="266"/>
        <v>5.6383692753909019E-5</v>
      </c>
      <c r="G330">
        <f t="shared" si="267"/>
        <v>2.8259045046061335E-3</v>
      </c>
      <c r="H330">
        <f t="shared" si="268"/>
        <v>-3.1387667454953943</v>
      </c>
      <c r="J330">
        <f t="shared" si="269"/>
        <v>15</v>
      </c>
      <c r="M330">
        <f t="shared" si="270"/>
        <v>3.1432425499418647E-3</v>
      </c>
      <c r="N330">
        <f t="shared" si="271"/>
        <v>-1.5707963250000001</v>
      </c>
      <c r="O330">
        <f t="shared" si="272"/>
        <v>95.921806236393337</v>
      </c>
      <c r="P330">
        <f t="shared" si="273"/>
        <v>1.5603709797949812</v>
      </c>
      <c r="Q330">
        <f t="shared" si="274"/>
        <v>149.12595954406814</v>
      </c>
      <c r="R330">
        <f t="shared" si="275"/>
        <v>1.5640905359473349</v>
      </c>
      <c r="S330">
        <f t="shared" si="276"/>
        <v>0.20353132344635452</v>
      </c>
      <c r="T330">
        <f t="shared" si="277"/>
        <v>-1.3658329295424603</v>
      </c>
      <c r="U330">
        <f t="shared" si="278"/>
        <v>0.31943700728469127</v>
      </c>
      <c r="V330">
        <f t="shared" si="279"/>
        <v>-1.2456610191889572</v>
      </c>
      <c r="X330">
        <f t="shared" ref="X330:X393" si="296">20*LOG(C330*J330*O330*Q330*F330*M330*S330*U330)</f>
        <v>-38.310430052187101</v>
      </c>
      <c r="Y330">
        <f t="shared" si="280"/>
        <v>-162.19074847579819</v>
      </c>
      <c r="Z330">
        <f t="shared" ref="Z330:Z393" si="297">Y330+180</f>
        <v>17.809251524201812</v>
      </c>
      <c r="AC330">
        <v>1</v>
      </c>
      <c r="AD330">
        <f t="shared" si="281"/>
        <v>95.916593515680006</v>
      </c>
      <c r="AE330">
        <f t="shared" si="282"/>
        <v>-5.2431570545130243E-2</v>
      </c>
      <c r="AF330">
        <f t="shared" si="283"/>
        <v>1.76746002489E-2</v>
      </c>
      <c r="AG330">
        <f t="shared" ref="AG330:AG359" si="298">AC330*AE330/(AE330^2+AF330^2)+AD330*AF330/(AE330^2+AF330^2)</f>
        <v>536.62477886158297</v>
      </c>
      <c r="AH330">
        <f t="shared" ref="AH330:AH359" si="299">AD330*AE330/(AE330^2+AF330^2)-AC330*AF330/(AE330^2+AF330^2)</f>
        <v>-1648.471792223947</v>
      </c>
      <c r="AJ330">
        <f t="shared" si="284"/>
        <v>18000</v>
      </c>
      <c r="AK330">
        <f t="shared" si="285"/>
        <v>86587.319982240006</v>
      </c>
      <c r="AL330">
        <v>1</v>
      </c>
      <c r="AM330">
        <f t="shared" si="286"/>
        <v>149.12260663607998</v>
      </c>
      <c r="AN330">
        <f t="shared" ref="AN330:AN359" si="300">AJ330*AL330/(AL330^2+AM330^2)+AK330*AM330/(AL330^2+AM330^2)</f>
        <v>581.42845666798871</v>
      </c>
      <c r="AO330">
        <f t="shared" ref="AO330:AO359" si="301">AK330*AL330/(AL330^2+AM330^2)-AJ330*AM330/(AL330^2+AM330^2)</f>
        <v>-116.80704848353702</v>
      </c>
      <c r="AQ330">
        <f t="shared" si="287"/>
        <v>7.431623490172793E-3</v>
      </c>
      <c r="AR330">
        <f t="shared" si="288"/>
        <v>-8.6206832486004394</v>
      </c>
      <c r="AT330">
        <f t="shared" si="261"/>
        <v>-14206.965171703327</v>
      </c>
      <c r="AU330">
        <f t="shared" si="262"/>
        <v>-4638.3230636099424</v>
      </c>
      <c r="AV330">
        <f t="shared" ref="AV330:AV393" si="302">ATAN2(AT330,AU330)</f>
        <v>-2.8260206242318042</v>
      </c>
      <c r="AW330">
        <f t="shared" ref="AW330:AW393" si="303">AG330-AH330*AO330/_Rfb2+AG330*AN330/_Rfb2+AN330-AO330*AR330+AQ330*AN330</f>
        <v>151.08845363027422</v>
      </c>
      <c r="AX330">
        <f t="shared" ref="AX330:AX393" si="304">AH330+AH330*AN330/_Rfb2+AG330*AO330/_Rfb2+AO330+AO330*AQ330+AN330*AR330</f>
        <v>-7083.3841895003134</v>
      </c>
      <c r="AY330">
        <f t="shared" si="260"/>
        <v>-1.5494695792451829</v>
      </c>
      <c r="BA330">
        <f t="shared" si="289"/>
        <v>2.1093820960420042</v>
      </c>
      <c r="BB330">
        <f t="shared" ref="BB330:BB393" si="305">20*LOG(BA330)</f>
        <v>6.4831051099362957</v>
      </c>
      <c r="BC330">
        <f t="shared" ref="BC330:BC393" si="306">AV330-AY330</f>
        <v>-1.2765510449866213</v>
      </c>
      <c r="BD330">
        <f t="shared" si="290"/>
        <v>-253.14098729432405</v>
      </c>
      <c r="BF330">
        <f t="shared" si="291"/>
        <v>-41.144624523539377</v>
      </c>
      <c r="BG330">
        <f t="shared" si="292"/>
        <v>-174.72261242052494</v>
      </c>
      <c r="BH330">
        <f t="shared" ref="BH330:BH393" si="307">IF(BG330&gt;180,BG330-180,BG330+180)</f>
        <v>5.2773875794750609</v>
      </c>
      <c r="BI330">
        <f t="shared" ref="BI330:BI393" si="308">IF(BH330&gt;180,BH330-360,BH330)</f>
        <v>5.2773875794750609</v>
      </c>
      <c r="BJ330">
        <f t="shared" si="293"/>
        <v>0</v>
      </c>
      <c r="BK330">
        <f t="shared" ref="BK330:BK393" si="309">IF(BJ330&gt;0,BI330,0)</f>
        <v>0</v>
      </c>
      <c r="BM330">
        <f t="shared" ref="BM330:BM393" si="310">20*LOG(J330*F330*C330)</f>
        <v>-47.627729633475667</v>
      </c>
      <c r="BN330">
        <f t="shared" si="294"/>
        <v>-101.5816251262009</v>
      </c>
      <c r="BQ330" s="56">
        <f t="shared" ref="BQ330:BQ393" si="311">20*LOG(BA330*7)</f>
        <v>23.385065910221435</v>
      </c>
      <c r="BR330" s="59"/>
      <c r="BS330" s="59"/>
      <c r="BT330" s="59">
        <v>158489.31899999999</v>
      </c>
      <c r="BU330" s="59">
        <v>10.4788</v>
      </c>
      <c r="BV330" s="59">
        <v>-137.47</v>
      </c>
      <c r="BY330" s="59"/>
      <c r="BZ330" s="59"/>
      <c r="CA330" s="59"/>
      <c r="CC330" s="59"/>
    </row>
    <row r="331" spans="1:81" x14ac:dyDescent="0.25">
      <c r="A331">
        <f t="shared" si="263"/>
        <v>585000</v>
      </c>
      <c r="B331">
        <f t="shared" si="295"/>
        <v>585</v>
      </c>
      <c r="C331">
        <f t="shared" si="264"/>
        <v>4.9538568507991787</v>
      </c>
      <c r="D331">
        <f t="shared" si="265"/>
        <v>1.3675367028784295</v>
      </c>
      <c r="F331">
        <f t="shared" si="266"/>
        <v>5.542393811473556E-5</v>
      </c>
      <c r="G331">
        <f t="shared" si="267"/>
        <v>2.8017488969284748E-3</v>
      </c>
      <c r="H331">
        <f t="shared" si="268"/>
        <v>-3.1387909011030719</v>
      </c>
      <c r="J331">
        <f t="shared" si="269"/>
        <v>15</v>
      </c>
      <c r="M331">
        <f t="shared" si="270"/>
        <v>3.1163772290021909E-3</v>
      </c>
      <c r="N331">
        <f t="shared" si="271"/>
        <v>-1.5707963250000001</v>
      </c>
      <c r="O331">
        <f t="shared" si="272"/>
        <v>96.748628871095065</v>
      </c>
      <c r="P331">
        <f t="shared" si="273"/>
        <v>1.5604600789511063</v>
      </c>
      <c r="Q331">
        <f t="shared" si="274"/>
        <v>150.411470599751</v>
      </c>
      <c r="R331">
        <f t="shared" si="275"/>
        <v>1.5641478487028067</v>
      </c>
      <c r="S331">
        <f t="shared" si="276"/>
        <v>0.20186291815006238</v>
      </c>
      <c r="T331">
        <f t="shared" si="277"/>
        <v>-1.3675367028784295</v>
      </c>
      <c r="U331">
        <f t="shared" si="278"/>
        <v>0.31698216646442762</v>
      </c>
      <c r="V331">
        <f t="shared" si="279"/>
        <v>-1.2482504589997727</v>
      </c>
      <c r="X331">
        <f t="shared" si="296"/>
        <v>-38.452014636965245</v>
      </c>
      <c r="Y331">
        <f t="shared" si="280"/>
        <v>-162.3321076781892</v>
      </c>
      <c r="Z331">
        <f t="shared" si="297"/>
        <v>17.667892321810797</v>
      </c>
      <c r="AC331">
        <v>1</v>
      </c>
      <c r="AD331">
        <f t="shared" si="281"/>
        <v>96.743460701160004</v>
      </c>
      <c r="AE331">
        <f t="shared" si="282"/>
        <v>-5.333945966054459E-2</v>
      </c>
      <c r="AF331">
        <f t="shared" si="283"/>
        <v>1.7826967492424999E-2</v>
      </c>
      <c r="AG331">
        <f t="shared" si="298"/>
        <v>528.40865727802156</v>
      </c>
      <c r="AH331">
        <f t="shared" si="299"/>
        <v>-1637.1282592827304</v>
      </c>
      <c r="AJ331">
        <f t="shared" si="284"/>
        <v>18000</v>
      </c>
      <c r="AK331">
        <f t="shared" si="285"/>
        <v>87333.76239588001</v>
      </c>
      <c r="AL331">
        <v>1</v>
      </c>
      <c r="AM331">
        <f t="shared" si="286"/>
        <v>150.40814634846001</v>
      </c>
      <c r="AN331">
        <f t="shared" si="300"/>
        <v>581.41512481351731</v>
      </c>
      <c r="AO331">
        <f t="shared" si="301"/>
        <v>-115.80878627964573</v>
      </c>
      <c r="AQ331">
        <f t="shared" si="287"/>
        <v>7.3051301737671317E-3</v>
      </c>
      <c r="AR331">
        <f t="shared" si="288"/>
        <v>-8.5470023033075435</v>
      </c>
      <c r="AT331">
        <f t="shared" si="261"/>
        <v>-13988.678908873004</v>
      </c>
      <c r="AU331">
        <f t="shared" si="262"/>
        <v>-4528.2694458881106</v>
      </c>
      <c r="AV331">
        <f t="shared" si="302"/>
        <v>-2.828528332991882</v>
      </c>
      <c r="AW331">
        <f t="shared" si="303"/>
        <v>159.37904048989247</v>
      </c>
      <c r="AX331">
        <f t="shared" si="304"/>
        <v>-7025.6460960860986</v>
      </c>
      <c r="AY331">
        <f t="shared" ref="AY331:AY394" si="312">ATAN2(AW331,AX331)</f>
        <v>-1.5481148955548063</v>
      </c>
      <c r="BA331">
        <f t="shared" si="289"/>
        <v>2.0922721086822227</v>
      </c>
      <c r="BB331">
        <f t="shared" si="305"/>
        <v>6.4123633134098927</v>
      </c>
      <c r="BC331">
        <f t="shared" si="306"/>
        <v>-1.2804134374370757</v>
      </c>
      <c r="BD331">
        <f t="shared" si="290"/>
        <v>-253.36228608081115</v>
      </c>
      <c r="BF331">
        <f t="shared" si="291"/>
        <v>-41.292994827258688</v>
      </c>
      <c r="BG331">
        <f t="shared" si="292"/>
        <v>-174.84767619987562</v>
      </c>
      <c r="BH331">
        <f t="shared" si="307"/>
        <v>5.1523238001243783</v>
      </c>
      <c r="BI331">
        <f t="shared" si="308"/>
        <v>5.1523238001243783</v>
      </c>
      <c r="BJ331">
        <f t="shared" si="293"/>
        <v>0</v>
      </c>
      <c r="BK331">
        <f t="shared" si="309"/>
        <v>0</v>
      </c>
      <c r="BM331">
        <f t="shared" si="310"/>
        <v>-47.705358140668579</v>
      </c>
      <c r="BN331">
        <f t="shared" si="294"/>
        <v>-101.48539011906449</v>
      </c>
      <c r="BQ331" s="56">
        <f t="shared" si="311"/>
        <v>23.314324113695029</v>
      </c>
      <c r="BR331" s="59"/>
      <c r="BS331" s="59"/>
      <c r="BT331" s="59">
        <v>162181.01</v>
      </c>
      <c r="BU331" s="59">
        <v>10.741899999999999</v>
      </c>
      <c r="BV331" s="59">
        <v>-137.46899999999999</v>
      </c>
      <c r="BY331" s="59"/>
      <c r="BZ331" s="59"/>
      <c r="CA331" s="59"/>
      <c r="CC331" s="59"/>
    </row>
    <row r="332" spans="1:81" x14ac:dyDescent="0.25">
      <c r="A332">
        <f t="shared" si="263"/>
        <v>590000</v>
      </c>
      <c r="B332">
        <f t="shared" si="295"/>
        <v>590</v>
      </c>
      <c r="C332">
        <f t="shared" si="264"/>
        <v>4.9944791987688921</v>
      </c>
      <c r="D332">
        <f t="shared" si="265"/>
        <v>1.3692127659027686</v>
      </c>
      <c r="F332">
        <f t="shared" si="266"/>
        <v>5.4488482134864704E-5</v>
      </c>
      <c r="G332">
        <f t="shared" si="267"/>
        <v>2.7780027710386326E-3</v>
      </c>
      <c r="H332">
        <f t="shared" si="268"/>
        <v>-3.1388146472289615</v>
      </c>
      <c r="J332">
        <f t="shared" si="269"/>
        <v>15</v>
      </c>
      <c r="M332">
        <f t="shared" si="270"/>
        <v>3.0899672524852227E-3</v>
      </c>
      <c r="N332">
        <f t="shared" si="271"/>
        <v>-1.5707963250000001</v>
      </c>
      <c r="O332">
        <f t="shared" si="272"/>
        <v>97.575452260834737</v>
      </c>
      <c r="P332">
        <f t="shared" si="273"/>
        <v>1.5605476681120196</v>
      </c>
      <c r="Q332">
        <f t="shared" si="274"/>
        <v>151.69698214112461</v>
      </c>
      <c r="R332">
        <f t="shared" si="275"/>
        <v>1.5642041900982191</v>
      </c>
      <c r="S332">
        <f t="shared" si="276"/>
        <v>0.20022107615274359</v>
      </c>
      <c r="T332">
        <f t="shared" si="277"/>
        <v>-1.3692127659027686</v>
      </c>
      <c r="U332">
        <f t="shared" si="278"/>
        <v>0.31456270711719098</v>
      </c>
      <c r="V332">
        <f t="shared" si="279"/>
        <v>-1.2508003863740709</v>
      </c>
      <c r="X332">
        <f t="shared" si="296"/>
        <v>-38.592508128766482</v>
      </c>
      <c r="Y332">
        <f t="shared" si="280"/>
        <v>-162.47132169433323</v>
      </c>
      <c r="Z332">
        <f t="shared" si="297"/>
        <v>17.528678305666773</v>
      </c>
      <c r="AC332">
        <v>1</v>
      </c>
      <c r="AD332">
        <f t="shared" si="281"/>
        <v>97.570327886640001</v>
      </c>
      <c r="AE332">
        <f t="shared" si="282"/>
        <v>-5.4255141815576204E-2</v>
      </c>
      <c r="AF332">
        <f t="shared" si="283"/>
        <v>1.7979334735950002E-2</v>
      </c>
      <c r="AG332">
        <f t="shared" si="298"/>
        <v>520.37297403240473</v>
      </c>
      <c r="AH332">
        <f t="shared" si="299"/>
        <v>-1625.9171950711584</v>
      </c>
      <c r="AJ332">
        <f t="shared" si="284"/>
        <v>18000</v>
      </c>
      <c r="AK332">
        <f t="shared" si="285"/>
        <v>88080.204809520001</v>
      </c>
      <c r="AL332">
        <v>1</v>
      </c>
      <c r="AM332">
        <f t="shared" si="286"/>
        <v>151.69368606084001</v>
      </c>
      <c r="AN332">
        <f t="shared" si="300"/>
        <v>581.40213044659492</v>
      </c>
      <c r="AO332">
        <f t="shared" si="301"/>
        <v>-114.82744154932925</v>
      </c>
      <c r="AQ332">
        <f t="shared" si="287"/>
        <v>7.1818391397305802E-3</v>
      </c>
      <c r="AR332">
        <f t="shared" si="288"/>
        <v>-8.4745701848820847</v>
      </c>
      <c r="AT332">
        <f t="shared" si="261"/>
        <v>-13775.212149444984</v>
      </c>
      <c r="AU332">
        <f t="shared" si="262"/>
        <v>-4421.6143665029595</v>
      </c>
      <c r="AV332">
        <f t="shared" si="302"/>
        <v>-2.8309979144276025</v>
      </c>
      <c r="AW332">
        <f t="shared" si="303"/>
        <v>167.43034442618369</v>
      </c>
      <c r="AX332">
        <f t="shared" si="304"/>
        <v>-6968.8259911063697</v>
      </c>
      <c r="AY332">
        <f t="shared" si="312"/>
        <v>-1.5467753309335059</v>
      </c>
      <c r="BA332">
        <f t="shared" si="289"/>
        <v>2.0754252538780076</v>
      </c>
      <c r="BB332">
        <f t="shared" si="305"/>
        <v>6.3421419389414826</v>
      </c>
      <c r="BC332">
        <f t="shared" si="306"/>
        <v>-1.2842225834940966</v>
      </c>
      <c r="BD332">
        <f t="shared" si="290"/>
        <v>-253.58053407367674</v>
      </c>
      <c r="BF332">
        <f t="shared" si="291"/>
        <v>-41.44013450405982</v>
      </c>
      <c r="BG332">
        <f t="shared" si="292"/>
        <v>-174.97125340793372</v>
      </c>
      <c r="BH332">
        <f t="shared" si="307"/>
        <v>5.0287465920662839</v>
      </c>
      <c r="BI332">
        <f t="shared" si="308"/>
        <v>5.0287465920662839</v>
      </c>
      <c r="BJ332">
        <f t="shared" si="293"/>
        <v>0</v>
      </c>
      <c r="BK332">
        <f t="shared" si="309"/>
        <v>0</v>
      </c>
      <c r="BM332">
        <f t="shared" si="310"/>
        <v>-47.782276443001308</v>
      </c>
      <c r="BN332">
        <f t="shared" si="294"/>
        <v>-101.39071933425701</v>
      </c>
      <c r="BQ332" s="56">
        <f t="shared" si="311"/>
        <v>23.244102739226619</v>
      </c>
      <c r="BR332" s="59"/>
      <c r="BS332" s="59"/>
      <c r="BT332" s="59">
        <v>165958.69099999999</v>
      </c>
      <c r="BU332" s="59">
        <v>11.0235</v>
      </c>
      <c r="BV332" s="59">
        <v>-138.31200000000001</v>
      </c>
      <c r="BY332" s="59"/>
      <c r="BZ332" s="59"/>
      <c r="CA332" s="59"/>
      <c r="CC332" s="59"/>
    </row>
    <row r="333" spans="1:81" x14ac:dyDescent="0.25">
      <c r="A333">
        <f t="shared" si="263"/>
        <v>595000</v>
      </c>
      <c r="B333">
        <f t="shared" si="295"/>
        <v>595</v>
      </c>
      <c r="C333">
        <f t="shared" si="264"/>
        <v>5.0351153507535651</v>
      </c>
      <c r="D333">
        <f t="shared" si="265"/>
        <v>1.3708617799953235</v>
      </c>
      <c r="F333">
        <f t="shared" si="266"/>
        <v>5.3576511425698527E-5</v>
      </c>
      <c r="G333">
        <f t="shared" si="267"/>
        <v>2.7546558017184381E-3</v>
      </c>
      <c r="H333">
        <f t="shared" si="268"/>
        <v>-3.1388379941982816</v>
      </c>
      <c r="J333">
        <f t="shared" si="269"/>
        <v>15</v>
      </c>
      <c r="M333">
        <f t="shared" si="270"/>
        <v>3.064001141119801E-3</v>
      </c>
      <c r="N333">
        <f t="shared" si="271"/>
        <v>-1.5707963250000001</v>
      </c>
      <c r="O333">
        <f t="shared" si="272"/>
        <v>98.402276386579786</v>
      </c>
      <c r="P333">
        <f t="shared" si="273"/>
        <v>1.5606337853395185</v>
      </c>
      <c r="Q333">
        <f t="shared" si="274"/>
        <v>152.9824941559452</v>
      </c>
      <c r="R333">
        <f t="shared" si="275"/>
        <v>1.5642595846202276</v>
      </c>
      <c r="S333">
        <f t="shared" si="276"/>
        <v>0.19860518187539403</v>
      </c>
      <c r="T333">
        <f t="shared" si="277"/>
        <v>-1.3708617799953235</v>
      </c>
      <c r="U333">
        <f t="shared" si="278"/>
        <v>0.31217791853902943</v>
      </c>
      <c r="V333">
        <f t="shared" si="279"/>
        <v>-1.2533116664345929</v>
      </c>
      <c r="X333">
        <f t="shared" si="296"/>
        <v>-38.731926471304952</v>
      </c>
      <c r="Y333">
        <f t="shared" si="280"/>
        <v>-162.60843709994137</v>
      </c>
      <c r="Z333">
        <f t="shared" si="297"/>
        <v>17.391562900058631</v>
      </c>
      <c r="AC333">
        <v>1</v>
      </c>
      <c r="AD333">
        <f t="shared" si="281"/>
        <v>98.397195072119999</v>
      </c>
      <c r="AE333">
        <f t="shared" si="282"/>
        <v>-5.5178617010225126E-2</v>
      </c>
      <c r="AF333">
        <f t="shared" si="283"/>
        <v>1.8131701979475001E-2</v>
      </c>
      <c r="AG333">
        <f t="shared" si="298"/>
        <v>512.51269441857971</v>
      </c>
      <c r="AH333">
        <f t="shared" si="299"/>
        <v>-1614.8369144466353</v>
      </c>
      <c r="AJ333">
        <f t="shared" si="284"/>
        <v>18000</v>
      </c>
      <c r="AK333">
        <f t="shared" si="285"/>
        <v>88826.647223160006</v>
      </c>
      <c r="AL333">
        <v>1</v>
      </c>
      <c r="AM333">
        <f t="shared" si="286"/>
        <v>152.97922577321998</v>
      </c>
      <c r="AN333">
        <f t="shared" si="300"/>
        <v>581.38946227171402</v>
      </c>
      <c r="AO333">
        <f t="shared" si="301"/>
        <v>-113.86258787549393</v>
      </c>
      <c r="AQ333">
        <f t="shared" si="287"/>
        <v>7.0616432020032469E-3</v>
      </c>
      <c r="AR333">
        <f t="shared" si="288"/>
        <v>-8.4033554103838632</v>
      </c>
      <c r="AT333">
        <f t="shared" si="261"/>
        <v>-13566.429340118235</v>
      </c>
      <c r="AU333">
        <f t="shared" si="262"/>
        <v>-4318.2297256520287</v>
      </c>
      <c r="AV333">
        <f t="shared" si="302"/>
        <v>-2.8334301987482191</v>
      </c>
      <c r="AW333">
        <f t="shared" si="303"/>
        <v>175.25144651212943</v>
      </c>
      <c r="AX333">
        <f t="shared" si="304"/>
        <v>-6912.9023915243524</v>
      </c>
      <c r="AY333">
        <f t="shared" si="312"/>
        <v>-1.5454504001680831</v>
      </c>
      <c r="BA333">
        <f t="shared" si="289"/>
        <v>2.058835747935865</v>
      </c>
      <c r="BB333">
        <f t="shared" si="305"/>
        <v>6.2724340075379832</v>
      </c>
      <c r="BC333">
        <f t="shared" si="306"/>
        <v>-1.287979798580136</v>
      </c>
      <c r="BD333">
        <f t="shared" si="290"/>
        <v>-253.79580664107567</v>
      </c>
      <c r="BF333">
        <f t="shared" si="291"/>
        <v>-41.586063692076209</v>
      </c>
      <c r="BG333">
        <f t="shared" si="292"/>
        <v>-175.09338211017166</v>
      </c>
      <c r="BH333">
        <f t="shared" si="307"/>
        <v>4.9066178898283397</v>
      </c>
      <c r="BI333">
        <f t="shared" si="308"/>
        <v>4.9066178898283397</v>
      </c>
      <c r="BJ333">
        <f t="shared" si="293"/>
        <v>0</v>
      </c>
      <c r="BK333">
        <f t="shared" si="309"/>
        <v>0</v>
      </c>
      <c r="BM333">
        <f t="shared" si="310"/>
        <v>-47.858497699614198</v>
      </c>
      <c r="BN333">
        <f t="shared" si="294"/>
        <v>-101.29757546909605</v>
      </c>
      <c r="BQ333" s="56">
        <f t="shared" si="311"/>
        <v>23.17439480782312</v>
      </c>
      <c r="BR333" s="59"/>
      <c r="BS333" s="59"/>
      <c r="BT333" s="59">
        <v>169824.36499999999</v>
      </c>
      <c r="BU333" s="59">
        <v>11.234299999999999</v>
      </c>
      <c r="BV333" s="59">
        <v>-140.114</v>
      </c>
      <c r="BY333" s="59"/>
      <c r="BZ333" s="59"/>
      <c r="CA333" s="59"/>
      <c r="CC333" s="59"/>
    </row>
    <row r="334" spans="1:81" x14ac:dyDescent="0.25">
      <c r="A334">
        <f t="shared" si="263"/>
        <v>600000</v>
      </c>
      <c r="B334">
        <f t="shared" si="295"/>
        <v>600</v>
      </c>
      <c r="C334">
        <f t="shared" si="264"/>
        <v>5.0757649752118219</v>
      </c>
      <c r="D334">
        <f t="shared" si="265"/>
        <v>1.3724843859483908</v>
      </c>
      <c r="F334">
        <f t="shared" si="266"/>
        <v>5.2687246351384373E-5</v>
      </c>
      <c r="G334">
        <f t="shared" si="267"/>
        <v>2.7316980080120483E-3</v>
      </c>
      <c r="H334">
        <f t="shared" si="268"/>
        <v>-3.1388609519919881</v>
      </c>
      <c r="J334">
        <f t="shared" si="269"/>
        <v>15</v>
      </c>
      <c r="M334">
        <f t="shared" si="270"/>
        <v>3.0384677982771358E-3</v>
      </c>
      <c r="N334">
        <f t="shared" si="271"/>
        <v>-1.5707963250000001</v>
      </c>
      <c r="O334">
        <f t="shared" si="272"/>
        <v>99.229101229931956</v>
      </c>
      <c r="P334">
        <f t="shared" si="273"/>
        <v>1.5607184674268912</v>
      </c>
      <c r="Q334">
        <f t="shared" si="274"/>
        <v>154.26800663237714</v>
      </c>
      <c r="R334">
        <f t="shared" si="275"/>
        <v>1.5643140559393247</v>
      </c>
      <c r="S334">
        <f t="shared" si="276"/>
        <v>0.19701463816461839</v>
      </c>
      <c r="T334">
        <f t="shared" si="277"/>
        <v>-1.3724843859483906</v>
      </c>
      <c r="U334">
        <f t="shared" si="278"/>
        <v>0.30982710735540953</v>
      </c>
      <c r="V334">
        <f t="shared" si="279"/>
        <v>-1.2557851402281113</v>
      </c>
      <c r="X334">
        <f t="shared" si="296"/>
        <v>-38.870285276191794</v>
      </c>
      <c r="Y334">
        <f t="shared" si="280"/>
        <v>-162.74349919099123</v>
      </c>
      <c r="Z334">
        <f t="shared" si="297"/>
        <v>17.25650080900877</v>
      </c>
      <c r="AC334">
        <v>1</v>
      </c>
      <c r="AD334">
        <f t="shared" si="281"/>
        <v>99.224062257600011</v>
      </c>
      <c r="AE334">
        <f t="shared" si="282"/>
        <v>-5.6109885244491342E-2</v>
      </c>
      <c r="AF334">
        <f t="shared" si="283"/>
        <v>1.8284069223E-2</v>
      </c>
      <c r="AG334">
        <f t="shared" si="298"/>
        <v>504.8229499621844</v>
      </c>
      <c r="AH334">
        <f t="shared" si="299"/>
        <v>-1603.8857342693927</v>
      </c>
      <c r="AJ334">
        <f t="shared" si="284"/>
        <v>18000</v>
      </c>
      <c r="AK334">
        <f t="shared" si="285"/>
        <v>89573.08963680001</v>
      </c>
      <c r="AL334">
        <v>1</v>
      </c>
      <c r="AM334">
        <f t="shared" si="286"/>
        <v>154.26476548559998</v>
      </c>
      <c r="AN334">
        <f t="shared" si="300"/>
        <v>581.37710946200332</v>
      </c>
      <c r="AO334">
        <f t="shared" si="301"/>
        <v>-112.91381305191143</v>
      </c>
      <c r="AQ334">
        <f t="shared" si="287"/>
        <v>6.9444396219169296E-3</v>
      </c>
      <c r="AR334">
        <f t="shared" si="288"/>
        <v>-8.3333275463003158</v>
      </c>
      <c r="AT334">
        <f t="shared" si="261"/>
        <v>-13362.199458009467</v>
      </c>
      <c r="AU334">
        <f t="shared" si="262"/>
        <v>-4217.9930825665451</v>
      </c>
      <c r="AV334">
        <f t="shared" si="302"/>
        <v>-2.8358259932505807</v>
      </c>
      <c r="AW334">
        <f t="shared" si="303"/>
        <v>182.85100552133915</v>
      </c>
      <c r="AX334">
        <f t="shared" si="304"/>
        <v>-6857.8544769675837</v>
      </c>
      <c r="AY334">
        <f t="shared" si="312"/>
        <v>-1.5441396378769026</v>
      </c>
      <c r="BA334">
        <f t="shared" si="289"/>
        <v>2.0424979655649089</v>
      </c>
      <c r="BB334">
        <f t="shared" si="305"/>
        <v>6.2032326524917654</v>
      </c>
      <c r="BC334">
        <f t="shared" si="306"/>
        <v>-1.2916863553736782</v>
      </c>
      <c r="BD334">
        <f t="shared" si="290"/>
        <v>-254.00817670211381</v>
      </c>
      <c r="BF334">
        <f t="shared" si="291"/>
        <v>-41.730802050597873</v>
      </c>
      <c r="BG334">
        <f t="shared" si="292"/>
        <v>-175.2140990828679</v>
      </c>
      <c r="BH334">
        <f t="shared" si="307"/>
        <v>4.7859009171320963</v>
      </c>
      <c r="BI334">
        <f t="shared" si="308"/>
        <v>4.7859009171320963</v>
      </c>
      <c r="BJ334">
        <f t="shared" si="293"/>
        <v>0</v>
      </c>
      <c r="BK334">
        <f t="shared" si="309"/>
        <v>0</v>
      </c>
      <c r="BM334">
        <f t="shared" si="310"/>
        <v>-47.934034703089651</v>
      </c>
      <c r="BN334">
        <f t="shared" si="294"/>
        <v>-101.20592238075406</v>
      </c>
      <c r="BQ334" s="56">
        <f t="shared" si="311"/>
        <v>23.105193452776902</v>
      </c>
      <c r="BR334" s="59"/>
      <c r="BS334" s="59"/>
      <c r="BT334" s="59">
        <v>173780.08300000001</v>
      </c>
      <c r="BU334" s="59">
        <v>11.3918</v>
      </c>
      <c r="BV334" s="59">
        <v>-141.173</v>
      </c>
      <c r="BY334" s="59"/>
      <c r="BZ334" s="59"/>
      <c r="CA334" s="59"/>
      <c r="CC334" s="59"/>
    </row>
    <row r="335" spans="1:81" x14ac:dyDescent="0.25">
      <c r="A335">
        <f t="shared" si="263"/>
        <v>605000</v>
      </c>
      <c r="B335">
        <f t="shared" si="295"/>
        <v>605</v>
      </c>
      <c r="C335">
        <f t="shared" si="264"/>
        <v>5.1164277510303773</v>
      </c>
      <c r="D335">
        <f t="shared" si="265"/>
        <v>1.3740812047499114</v>
      </c>
      <c r="F335">
        <f t="shared" si="266"/>
        <v>5.1819939361888479E-5</v>
      </c>
      <c r="G335">
        <f t="shared" si="267"/>
        <v>2.7091197389959025E-3</v>
      </c>
      <c r="H335">
        <f t="shared" si="268"/>
        <v>-3.1388835302610043</v>
      </c>
      <c r="J335">
        <f t="shared" si="269"/>
        <v>15</v>
      </c>
      <c r="M335">
        <f t="shared" si="270"/>
        <v>3.0133564941591433E-3</v>
      </c>
      <c r="N335">
        <f t="shared" si="271"/>
        <v>-1.5707963250000001</v>
      </c>
      <c r="O335">
        <f t="shared" si="272"/>
        <v>100.05592677310112</v>
      </c>
      <c r="P335">
        <f t="shared" si="273"/>
        <v>1.5608017499513263</v>
      </c>
      <c r="Q335">
        <f t="shared" si="274"/>
        <v>155.55351955897598</v>
      </c>
      <c r="R335">
        <f t="shared" si="275"/>
        <v>1.5643676269435611</v>
      </c>
      <c r="S335">
        <f t="shared" si="276"/>
        <v>0.19544886562672836</v>
      </c>
      <c r="T335">
        <f t="shared" si="277"/>
        <v>-1.3740812047499111</v>
      </c>
      <c r="U335">
        <f t="shared" si="278"/>
        <v>0.30750959706262521</v>
      </c>
      <c r="V335">
        <f t="shared" si="279"/>
        <v>-1.2582216255187</v>
      </c>
      <c r="X335">
        <f t="shared" si="296"/>
        <v>-39.007599831734446</v>
      </c>
      <c r="Y335">
        <f t="shared" si="280"/>
        <v>-162.87655202505869</v>
      </c>
      <c r="Z335">
        <f t="shared" si="297"/>
        <v>17.123447974941314</v>
      </c>
      <c r="AC335">
        <v>1</v>
      </c>
      <c r="AD335">
        <f t="shared" si="281"/>
        <v>100.05092944307999</v>
      </c>
      <c r="AE335">
        <f t="shared" si="282"/>
        <v>-5.7048946518374839E-2</v>
      </c>
      <c r="AF335">
        <f t="shared" si="283"/>
        <v>1.8436436466525E-2</v>
      </c>
      <c r="AG335">
        <f t="shared" si="298"/>
        <v>497.29903226018104</v>
      </c>
      <c r="AH335">
        <f t="shared" si="299"/>
        <v>-1593.0619753105964</v>
      </c>
      <c r="AJ335">
        <f t="shared" si="284"/>
        <v>18000</v>
      </c>
      <c r="AK335">
        <f t="shared" si="285"/>
        <v>90319.532050440001</v>
      </c>
      <c r="AL335">
        <v>1</v>
      </c>
      <c r="AM335">
        <f t="shared" si="286"/>
        <v>155.55030519797998</v>
      </c>
      <c r="AN335">
        <f t="shared" si="300"/>
        <v>581.36506163608931</v>
      </c>
      <c r="AO335">
        <f t="shared" si="301"/>
        <v>-111.98071849614162</v>
      </c>
      <c r="AQ335">
        <f t="shared" si="287"/>
        <v>6.8301298885800913E-3</v>
      </c>
      <c r="AR335">
        <f t="shared" si="288"/>
        <v>-8.264457165181911</v>
      </c>
      <c r="AT335">
        <f t="shared" si="261"/>
        <v>-13162.395839450704</v>
      </c>
      <c r="AU335">
        <f t="shared" si="262"/>
        <v>-4120.787370612612</v>
      </c>
      <c r="AV335">
        <f t="shared" si="302"/>
        <v>-2.8381860830643326</v>
      </c>
      <c r="AW335">
        <f t="shared" si="303"/>
        <v>190.23728096522831</v>
      </c>
      <c r="AX335">
        <f t="shared" si="304"/>
        <v>-6803.6620642552662</v>
      </c>
      <c r="AY335">
        <f t="shared" si="312"/>
        <v>-1.5428425975501301</v>
      </c>
      <c r="BA335">
        <f t="shared" si="289"/>
        <v>2.0264064349779307</v>
      </c>
      <c r="BB335">
        <f t="shared" si="305"/>
        <v>6.1345311182689501</v>
      </c>
      <c r="BC335">
        <f t="shared" si="306"/>
        <v>-1.2953434855142025</v>
      </c>
      <c r="BD335">
        <f t="shared" si="290"/>
        <v>-254.21771482453539</v>
      </c>
      <c r="BF335">
        <f t="shared" si="291"/>
        <v>-41.874368774717297</v>
      </c>
      <c r="BG335">
        <f t="shared" si="292"/>
        <v>-175.33343986673546</v>
      </c>
      <c r="BH335">
        <f t="shared" si="307"/>
        <v>4.6665601332645394</v>
      </c>
      <c r="BI335">
        <f t="shared" si="308"/>
        <v>4.6665601332645394</v>
      </c>
      <c r="BJ335">
        <f t="shared" si="293"/>
        <v>0</v>
      </c>
      <c r="BK335">
        <f t="shared" si="309"/>
        <v>0</v>
      </c>
      <c r="BM335">
        <f t="shared" si="310"/>
        <v>-48.00889989298625</v>
      </c>
      <c r="BN335">
        <f t="shared" si="294"/>
        <v>-101.11572504220007</v>
      </c>
      <c r="BQ335" s="56">
        <f t="shared" si="311"/>
        <v>23.036491918554084</v>
      </c>
      <c r="BR335" s="59"/>
      <c r="BS335" s="59"/>
      <c r="BT335" s="59">
        <v>177827.94099999999</v>
      </c>
      <c r="BU335" s="59">
        <v>11.612500000000001</v>
      </c>
      <c r="BV335" s="59">
        <v>-141.86199999999999</v>
      </c>
      <c r="BY335" s="59"/>
      <c r="BZ335" s="59"/>
      <c r="CA335" s="59"/>
      <c r="CC335" s="59"/>
    </row>
    <row r="336" spans="1:81" x14ac:dyDescent="0.25">
      <c r="A336">
        <f t="shared" si="263"/>
        <v>610000</v>
      </c>
      <c r="B336">
        <f t="shared" si="295"/>
        <v>610</v>
      </c>
      <c r="C336">
        <f t="shared" si="264"/>
        <v>5.1571033671213433</v>
      </c>
      <c r="D336">
        <f t="shared" si="265"/>
        <v>1.3756528383317386</v>
      </c>
      <c r="F336">
        <f t="shared" si="266"/>
        <v>5.0973873421330555E-5</v>
      </c>
      <c r="G336">
        <f t="shared" si="267"/>
        <v>2.6869116602487586E-3</v>
      </c>
      <c r="H336">
        <f t="shared" si="268"/>
        <v>-3.1389057383397514</v>
      </c>
      <c r="J336">
        <f t="shared" si="269"/>
        <v>15</v>
      </c>
      <c r="M336">
        <f t="shared" si="270"/>
        <v>2.9886568507643957E-3</v>
      </c>
      <c r="N336">
        <f t="shared" si="271"/>
        <v>-1.5707963250000001</v>
      </c>
      <c r="O336">
        <f t="shared" si="272"/>
        <v>100.88275299888041</v>
      </c>
      <c r="P336">
        <f t="shared" si="273"/>
        <v>1.5608836673237401</v>
      </c>
      <c r="Q336">
        <f t="shared" si="274"/>
        <v>156.83903292467244</v>
      </c>
      <c r="R336">
        <f t="shared" si="275"/>
        <v>1.5644203197706119</v>
      </c>
      <c r="S336">
        <f t="shared" si="276"/>
        <v>0.19390730198960365</v>
      </c>
      <c r="T336">
        <f t="shared" si="277"/>
        <v>-1.3756528383317386</v>
      </c>
      <c r="U336">
        <f t="shared" si="278"/>
        <v>0.30522472758012409</v>
      </c>
      <c r="V336">
        <f t="shared" si="279"/>
        <v>-1.2606219175516433</v>
      </c>
      <c r="X336">
        <f t="shared" si="296"/>
        <v>-39.143885111455397</v>
      </c>
      <c r="Y336">
        <f t="shared" si="280"/>
        <v>-163.00763846116956</v>
      </c>
      <c r="Z336">
        <f t="shared" si="297"/>
        <v>16.992361538830437</v>
      </c>
      <c r="AC336">
        <v>1</v>
      </c>
      <c r="AD336">
        <f t="shared" si="281"/>
        <v>100.87779662856001</v>
      </c>
      <c r="AE336">
        <f t="shared" si="282"/>
        <v>-5.7995800831875631E-2</v>
      </c>
      <c r="AF336">
        <f t="shared" si="283"/>
        <v>1.8588803710049999E-2</v>
      </c>
      <c r="AG336">
        <f t="shared" si="298"/>
        <v>489.93638706379681</v>
      </c>
      <c r="AH336">
        <f t="shared" si="299"/>
        <v>-1582.3639639885992</v>
      </c>
      <c r="AJ336">
        <f t="shared" si="284"/>
        <v>18000</v>
      </c>
      <c r="AK336">
        <f t="shared" si="285"/>
        <v>91065.974464080005</v>
      </c>
      <c r="AL336">
        <v>1</v>
      </c>
      <c r="AM336">
        <f t="shared" si="286"/>
        <v>156.83584491036001</v>
      </c>
      <c r="AN336">
        <f t="shared" si="300"/>
        <v>581.35330883627933</v>
      </c>
      <c r="AO336">
        <f t="shared" si="301"/>
        <v>-111.06291869131958</v>
      </c>
      <c r="AQ336">
        <f t="shared" si="287"/>
        <v>6.7186195118116689E-3</v>
      </c>
      <c r="AR336">
        <f t="shared" si="288"/>
        <v>-8.1967158044102355</v>
      </c>
      <c r="AT336">
        <f t="shared" si="261"/>
        <v>-12966.896015784905</v>
      </c>
      <c r="AU336">
        <f t="shared" si="262"/>
        <v>-4026.5006284047154</v>
      </c>
      <c r="AV336">
        <f t="shared" si="302"/>
        <v>-2.8405112318701176</v>
      </c>
      <c r="AW336">
        <f t="shared" si="303"/>
        <v>197.41815469808458</v>
      </c>
      <c r="AX336">
        <f t="shared" si="304"/>
        <v>-6750.3055831072934</v>
      </c>
      <c r="AY336">
        <f t="shared" si="312"/>
        <v>-1.541558850642986</v>
      </c>
      <c r="BA336">
        <f t="shared" si="289"/>
        <v>2.0105558331428934</v>
      </c>
      <c r="BB336">
        <f t="shared" si="305"/>
        <v>6.0663227593150717</v>
      </c>
      <c r="BC336">
        <f t="shared" si="306"/>
        <v>-1.2989523812271315</v>
      </c>
      <c r="BD336">
        <f t="shared" si="290"/>
        <v>-254.42448931782536</v>
      </c>
      <c r="BF336">
        <f t="shared" si="291"/>
        <v>-42.01678260944044</v>
      </c>
      <c r="BG336">
        <f t="shared" si="292"/>
        <v>-175.45143881792754</v>
      </c>
      <c r="BH336">
        <f t="shared" si="307"/>
        <v>4.5485611820724614</v>
      </c>
      <c r="BI336">
        <f t="shared" si="308"/>
        <v>4.5485611820724614</v>
      </c>
      <c r="BJ336">
        <f t="shared" si="293"/>
        <v>0</v>
      </c>
      <c r="BK336">
        <f t="shared" si="309"/>
        <v>0</v>
      </c>
      <c r="BM336">
        <f t="shared" si="310"/>
        <v>-48.083105368755511</v>
      </c>
      <c r="BN336">
        <f t="shared" si="294"/>
        <v>-101.02694950010222</v>
      </c>
      <c r="BQ336" s="56">
        <f t="shared" si="311"/>
        <v>22.968283559600206</v>
      </c>
      <c r="BR336" s="59"/>
      <c r="BS336" s="59"/>
      <c r="BT336" s="59">
        <v>181970.08600000001</v>
      </c>
      <c r="BU336" s="59">
        <v>11.8933</v>
      </c>
      <c r="BV336" s="59">
        <v>-143.41399999999999</v>
      </c>
      <c r="BY336" s="59"/>
      <c r="BZ336" s="59"/>
      <c r="CA336" s="59"/>
      <c r="CC336" s="59"/>
    </row>
    <row r="337" spans="1:81" x14ac:dyDescent="0.25">
      <c r="A337">
        <f t="shared" si="263"/>
        <v>615000</v>
      </c>
      <c r="B337">
        <f t="shared" si="295"/>
        <v>615</v>
      </c>
      <c r="C337">
        <f t="shared" si="264"/>
        <v>5.1977915220378614</v>
      </c>
      <c r="D337">
        <f t="shared" si="265"/>
        <v>1.3771998702847505</v>
      </c>
      <c r="F337">
        <f t="shared" si="266"/>
        <v>5.0148360525408099E-5</v>
      </c>
      <c r="G337">
        <f t="shared" si="267"/>
        <v>2.6650647409819572E-3</v>
      </c>
      <c r="H337">
        <f t="shared" si="268"/>
        <v>-3.1389275852590184</v>
      </c>
      <c r="J337">
        <f t="shared" si="269"/>
        <v>15</v>
      </c>
      <c r="M337">
        <f t="shared" si="270"/>
        <v>2.9643588275874498E-3</v>
      </c>
      <c r="N337">
        <f t="shared" si="271"/>
        <v>-1.5707963250000001</v>
      </c>
      <c r="O337">
        <f t="shared" si="272"/>
        <v>101.70957989062239</v>
      </c>
      <c r="P337">
        <f t="shared" si="273"/>
        <v>1.5609642528361782</v>
      </c>
      <c r="Q337">
        <f t="shared" si="274"/>
        <v>158.12454671875733</v>
      </c>
      <c r="R337">
        <f t="shared" si="275"/>
        <v>1.5644721558382766</v>
      </c>
      <c r="S337">
        <f t="shared" si="276"/>
        <v>0.19238940149102737</v>
      </c>
      <c r="T337">
        <f t="shared" si="277"/>
        <v>-1.3771998702847505</v>
      </c>
      <c r="U337">
        <f t="shared" si="278"/>
        <v>0.30297185481369943</v>
      </c>
      <c r="V337">
        <f t="shared" si="279"/>
        <v>-1.2629867897891442</v>
      </c>
      <c r="X337">
        <f t="shared" si="296"/>
        <v>-39.279155782340858</v>
      </c>
      <c r="Y337">
        <f t="shared" si="280"/>
        <v>-163.13680019822664</v>
      </c>
      <c r="Z337">
        <f t="shared" si="297"/>
        <v>16.863199801773362</v>
      </c>
      <c r="AC337">
        <v>1</v>
      </c>
      <c r="AD337">
        <f t="shared" si="281"/>
        <v>101.70466381403999</v>
      </c>
      <c r="AE337">
        <f t="shared" si="282"/>
        <v>-5.8950448184993717E-2</v>
      </c>
      <c r="AF337">
        <f t="shared" si="283"/>
        <v>1.8741170953574998E-2</v>
      </c>
      <c r="AG337">
        <f t="shared" si="298"/>
        <v>482.73060859533967</v>
      </c>
      <c r="AH337">
        <f t="shared" si="299"/>
        <v>-1571.7900339461396</v>
      </c>
      <c r="AJ337">
        <f t="shared" si="284"/>
        <v>18000</v>
      </c>
      <c r="AK337">
        <f t="shared" si="285"/>
        <v>91812.41687772001</v>
      </c>
      <c r="AL337">
        <v>1</v>
      </c>
      <c r="AM337">
        <f t="shared" si="286"/>
        <v>158.12138462273998</v>
      </c>
      <c r="AN337">
        <f t="shared" si="300"/>
        <v>581.34184150797955</v>
      </c>
      <c r="AO337">
        <f t="shared" si="301"/>
        <v>-110.16004065516502</v>
      </c>
      <c r="AQ337">
        <f t="shared" si="287"/>
        <v>6.6098178268108754E-3</v>
      </c>
      <c r="AR337">
        <f t="shared" si="288"/>
        <v>-8.1300759269773764</v>
      </c>
      <c r="AT337">
        <f t="shared" si="261"/>
        <v>-12775.581555866222</v>
      </c>
      <c r="AU337">
        <f t="shared" si="262"/>
        <v>-3935.0257459424902</v>
      </c>
      <c r="AV337">
        <f t="shared" si="302"/>
        <v>-2.8428021825918055</v>
      </c>
      <c r="AW337">
        <f t="shared" si="303"/>
        <v>204.40115118944098</v>
      </c>
      <c r="AX337">
        <f t="shared" si="304"/>
        <v>-6697.7660529701297</v>
      </c>
      <c r="AY337">
        <f t="shared" si="312"/>
        <v>-1.5402879857187528</v>
      </c>
      <c r="BA337">
        <f t="shared" si="289"/>
        <v>1.994940981181859</v>
      </c>
      <c r="BB337">
        <f t="shared" si="305"/>
        <v>5.9986010387892925</v>
      </c>
      <c r="BC337">
        <f t="shared" si="306"/>
        <v>-1.3025141968730527</v>
      </c>
      <c r="BD337">
        <f t="shared" si="290"/>
        <v>-254.62856632197349</v>
      </c>
      <c r="BF337">
        <f t="shared" si="291"/>
        <v>-42.158061863285148</v>
      </c>
      <c r="BG337">
        <f t="shared" si="292"/>
        <v>-175.56812915656573</v>
      </c>
      <c r="BH337">
        <f t="shared" si="307"/>
        <v>4.4318708434342682</v>
      </c>
      <c r="BI337">
        <f t="shared" si="308"/>
        <v>4.4318708434342682</v>
      </c>
      <c r="BJ337">
        <f t="shared" si="293"/>
        <v>0</v>
      </c>
      <c r="BK337">
        <f t="shared" si="309"/>
        <v>0</v>
      </c>
      <c r="BM337">
        <f t="shared" si="310"/>
        <v>-48.156662902074444</v>
      </c>
      <c r="BN337">
        <f t="shared" si="294"/>
        <v>-100.93956283459227</v>
      </c>
      <c r="BQ337" s="56">
        <f t="shared" si="311"/>
        <v>22.900561839074427</v>
      </c>
      <c r="BR337" s="59"/>
      <c r="BS337" s="59"/>
      <c r="BT337" s="59">
        <v>186208.71400000001</v>
      </c>
      <c r="BU337" s="59">
        <v>12.027799999999999</v>
      </c>
      <c r="BV337" s="59">
        <v>-144.279</v>
      </c>
      <c r="BY337" s="59"/>
      <c r="BZ337" s="59"/>
      <c r="CA337" s="59"/>
      <c r="CC337" s="59"/>
    </row>
    <row r="338" spans="1:81" x14ac:dyDescent="0.25">
      <c r="A338">
        <f t="shared" si="263"/>
        <v>620000</v>
      </c>
      <c r="B338">
        <f t="shared" si="295"/>
        <v>620</v>
      </c>
      <c r="C338">
        <f t="shared" si="264"/>
        <v>5.2384919236071035</v>
      </c>
      <c r="D338">
        <f t="shared" si="265"/>
        <v>1.3787228665424807</v>
      </c>
      <c r="F338">
        <f t="shared" si="266"/>
        <v>4.9342740302184913E-5</v>
      </c>
      <c r="G338">
        <f t="shared" si="267"/>
        <v>2.6435702417926285E-3</v>
      </c>
      <c r="H338">
        <f t="shared" si="268"/>
        <v>-3.1389490797582074</v>
      </c>
      <c r="J338">
        <f t="shared" si="269"/>
        <v>15</v>
      </c>
      <c r="M338">
        <f t="shared" si="270"/>
        <v>2.9404527080101315E-3</v>
      </c>
      <c r="N338">
        <f t="shared" si="271"/>
        <v>-1.5707963250000001</v>
      </c>
      <c r="O338">
        <f t="shared" si="272"/>
        <v>102.53640743221665</v>
      </c>
      <c r="P338">
        <f t="shared" si="273"/>
        <v>1.5610435387069233</v>
      </c>
      <c r="Q338">
        <f t="shared" si="274"/>
        <v>159.41006093086682</v>
      </c>
      <c r="R338">
        <f t="shared" si="275"/>
        <v>1.5645231558735035</v>
      </c>
      <c r="S338">
        <f t="shared" si="276"/>
        <v>0.19089463429227232</v>
      </c>
      <c r="T338">
        <f t="shared" si="277"/>
        <v>-1.3787228665424807</v>
      </c>
      <c r="U338">
        <f t="shared" si="278"/>
        <v>0.30075035022947205</v>
      </c>
      <c r="V338">
        <f t="shared" si="279"/>
        <v>-1.2653169946189462</v>
      </c>
      <c r="X338">
        <f t="shared" si="296"/>
        <v>-39.413426212829592</v>
      </c>
      <c r="Y338">
        <f t="shared" si="280"/>
        <v>-163.26407781206478</v>
      </c>
      <c r="Z338">
        <f t="shared" si="297"/>
        <v>16.735922187935216</v>
      </c>
      <c r="AC338">
        <v>1</v>
      </c>
      <c r="AD338">
        <f t="shared" si="281"/>
        <v>102.53153099952002</v>
      </c>
      <c r="AE338">
        <f t="shared" si="282"/>
        <v>-5.9912888577729091E-2</v>
      </c>
      <c r="AF338">
        <f t="shared" si="283"/>
        <v>1.8893538197100001E-2</v>
      </c>
      <c r="AG338">
        <f t="shared" si="298"/>
        <v>475.67743408967277</v>
      </c>
      <c r="AH338">
        <f t="shared" si="299"/>
        <v>-1561.3385274803909</v>
      </c>
      <c r="AJ338">
        <f t="shared" si="284"/>
        <v>18000</v>
      </c>
      <c r="AK338">
        <f t="shared" si="285"/>
        <v>92558.859291360015</v>
      </c>
      <c r="AL338">
        <v>1</v>
      </c>
      <c r="AM338">
        <f t="shared" si="286"/>
        <v>159.40692433511998</v>
      </c>
      <c r="AN338">
        <f t="shared" si="300"/>
        <v>581.3306504802714</v>
      </c>
      <c r="AO338">
        <f t="shared" si="301"/>
        <v>-109.27172343467709</v>
      </c>
      <c r="AQ338">
        <f t="shared" si="287"/>
        <v>6.5036378098089166E-3</v>
      </c>
      <c r="AR338">
        <f t="shared" si="288"/>
        <v>-8.0645108841630559</v>
      </c>
      <c r="AT338">
        <f t="shared" si="261"/>
        <v>-12588.337914983113</v>
      </c>
      <c r="AU338">
        <f t="shared" si="262"/>
        <v>-3846.2602248481539</v>
      </c>
      <c r="AV338">
        <f t="shared" si="302"/>
        <v>-2.8450596580637417</v>
      </c>
      <c r="AW338">
        <f t="shared" si="303"/>
        <v>211.19345655557402</v>
      </c>
      <c r="AX338">
        <f t="shared" si="304"/>
        <v>-6646.0250608989072</v>
      </c>
      <c r="AY338">
        <f t="shared" si="312"/>
        <v>-1.5390296076385006</v>
      </c>
      <c r="BA338">
        <f t="shared" si="289"/>
        <v>1.9795568399141947</v>
      </c>
      <c r="BB338">
        <f t="shared" si="305"/>
        <v>5.9313595272374027</v>
      </c>
      <c r="BC338">
        <f t="shared" si="306"/>
        <v>-1.3060300504252411</v>
      </c>
      <c r="BD338">
        <f t="shared" si="290"/>
        <v>-254.83000989213016</v>
      </c>
      <c r="BF338">
        <f t="shared" si="291"/>
        <v>-42.298224421387886</v>
      </c>
      <c r="BG338">
        <f t="shared" si="292"/>
        <v>-175.68354301292823</v>
      </c>
      <c r="BH338">
        <f t="shared" si="307"/>
        <v>4.3164569870717742</v>
      </c>
      <c r="BI338">
        <f t="shared" si="308"/>
        <v>4.3164569870717742</v>
      </c>
      <c r="BJ338">
        <f t="shared" si="293"/>
        <v>0</v>
      </c>
      <c r="BK338">
        <f t="shared" si="309"/>
        <v>0</v>
      </c>
      <c r="BM338">
        <f t="shared" si="310"/>
        <v>-48.229583948625283</v>
      </c>
      <c r="BN338">
        <f t="shared" si="294"/>
        <v>-100.85353312079806</v>
      </c>
      <c r="BQ338" s="56">
        <f t="shared" si="311"/>
        <v>22.833320327522539</v>
      </c>
      <c r="BR338" s="59"/>
      <c r="BS338" s="59"/>
      <c r="BT338" s="59">
        <v>190546.07199999999</v>
      </c>
      <c r="BU338" s="59">
        <v>12.182600000000001</v>
      </c>
      <c r="BV338" s="59">
        <v>-145.40799999999999</v>
      </c>
      <c r="BY338" s="59"/>
      <c r="BZ338" s="59"/>
      <c r="CA338" s="59"/>
      <c r="CC338" s="59"/>
    </row>
    <row r="339" spans="1:81" x14ac:dyDescent="0.25">
      <c r="A339">
        <f t="shared" si="263"/>
        <v>625000</v>
      </c>
      <c r="B339">
        <f t="shared" si="295"/>
        <v>625</v>
      </c>
      <c r="C339">
        <f t="shared" si="264"/>
        <v>5.2792042885797557</v>
      </c>
      <c r="D339">
        <f t="shared" si="265"/>
        <v>1.3802223760348469</v>
      </c>
      <c r="F339">
        <f t="shared" si="266"/>
        <v>4.8556378690929798E-5</v>
      </c>
      <c r="G339">
        <f t="shared" si="267"/>
        <v>2.6224197030049394E-3</v>
      </c>
      <c r="H339">
        <f t="shared" si="268"/>
        <v>-3.1389702302969953</v>
      </c>
      <c r="J339">
        <f t="shared" si="269"/>
        <v>15</v>
      </c>
      <c r="M339">
        <f t="shared" si="270"/>
        <v>2.9169290863460505E-3</v>
      </c>
      <c r="N339">
        <f t="shared" si="271"/>
        <v>-1.5707963250000001</v>
      </c>
      <c r="O339">
        <f t="shared" si="272"/>
        <v>103.36323560806818</v>
      </c>
      <c r="P339">
        <f t="shared" si="273"/>
        <v>1.5611215561234353</v>
      </c>
      <c r="Q339">
        <f t="shared" si="274"/>
        <v>160.69557555096864</v>
      </c>
      <c r="R339">
        <f t="shared" si="275"/>
        <v>1.5645733399400228</v>
      </c>
      <c r="S339">
        <f t="shared" si="276"/>
        <v>0.18942248591577548</v>
      </c>
      <c r="T339">
        <f t="shared" si="277"/>
        <v>-1.3802223760348467</v>
      </c>
      <c r="U339">
        <f t="shared" si="278"/>
        <v>0.298559600438562</v>
      </c>
      <c r="V339">
        <f t="shared" si="279"/>
        <v>-1.2676132640369389</v>
      </c>
      <c r="X339">
        <f t="shared" si="296"/>
        <v>-39.546710480551354</v>
      </c>
      <c r="Y339">
        <f t="shared" si="280"/>
        <v>-163.38951079118598</v>
      </c>
      <c r="Z339">
        <f t="shared" si="297"/>
        <v>16.610489208814016</v>
      </c>
      <c r="AC339">
        <v>1</v>
      </c>
      <c r="AD339">
        <f t="shared" si="281"/>
        <v>103.358398185</v>
      </c>
      <c r="AE339">
        <f t="shared" si="282"/>
        <v>-6.088312201008176E-2</v>
      </c>
      <c r="AF339">
        <f t="shared" si="283"/>
        <v>1.9045905440625E-2</v>
      </c>
      <c r="AG339">
        <f t="shared" si="298"/>
        <v>468.77273855143113</v>
      </c>
      <c r="AH339">
        <f t="shared" si="299"/>
        <v>-1551.0077968368596</v>
      </c>
      <c r="AJ339">
        <f t="shared" si="284"/>
        <v>18000</v>
      </c>
      <c r="AK339">
        <f t="shared" si="285"/>
        <v>93305.301705000005</v>
      </c>
      <c r="AL339">
        <v>1</v>
      </c>
      <c r="AM339">
        <f t="shared" si="286"/>
        <v>160.69246404749998</v>
      </c>
      <c r="AN339">
        <f t="shared" si="300"/>
        <v>581.31972694757121</v>
      </c>
      <c r="AO339">
        <f t="shared" si="301"/>
        <v>-108.39761762507759</v>
      </c>
      <c r="AQ339">
        <f t="shared" si="287"/>
        <v>6.3999959040026214E-3</v>
      </c>
      <c r="AR339">
        <f t="shared" si="288"/>
        <v>-7.9999948800032765</v>
      </c>
      <c r="AT339">
        <f t="shared" si="261"/>
        <v>-12405.054289933401</v>
      </c>
      <c r="AU339">
        <f t="shared" si="262"/>
        <v>-3760.1059518433958</v>
      </c>
      <c r="AV339">
        <f t="shared" si="302"/>
        <v>-2.8472843616739634</v>
      </c>
      <c r="AW339">
        <f t="shared" si="303"/>
        <v>217.80193643497518</v>
      </c>
      <c r="AX339">
        <f t="shared" si="304"/>
        <v>-6595.0647404388837</v>
      </c>
      <c r="AY339">
        <f t="shared" si="312"/>
        <v>-1.5377833367946918</v>
      </c>
      <c r="BA339">
        <f t="shared" si="289"/>
        <v>1.9643985055407402</v>
      </c>
      <c r="BB339">
        <f t="shared" si="305"/>
        <v>5.8645919012127381</v>
      </c>
      <c r="BC339">
        <f t="shared" si="306"/>
        <v>-1.3095010248792716</v>
      </c>
      <c r="BD339">
        <f t="shared" si="290"/>
        <v>-255.02888207937104</v>
      </c>
      <c r="BF339">
        <f t="shared" si="291"/>
        <v>-42.437287758138844</v>
      </c>
      <c r="BG339">
        <f t="shared" si="292"/>
        <v>-175.79771147142691</v>
      </c>
      <c r="BH339">
        <f t="shared" si="307"/>
        <v>4.2022885285730922</v>
      </c>
      <c r="BI339">
        <f t="shared" si="308"/>
        <v>4.2022885285730922</v>
      </c>
      <c r="BJ339">
        <f t="shared" si="293"/>
        <v>0</v>
      </c>
      <c r="BK339">
        <f t="shared" si="309"/>
        <v>0</v>
      </c>
      <c r="BM339">
        <f t="shared" si="310"/>
        <v>-48.301879659351584</v>
      </c>
      <c r="BN339">
        <f t="shared" si="294"/>
        <v>-100.76882939205586</v>
      </c>
      <c r="BQ339" s="56">
        <f t="shared" si="311"/>
        <v>22.766552701497872</v>
      </c>
      <c r="BR339" s="59"/>
      <c r="BS339" s="59"/>
      <c r="BT339" s="59">
        <v>194984.46</v>
      </c>
      <c r="BU339" s="59">
        <v>12.458399999999999</v>
      </c>
      <c r="BV339" s="59">
        <v>-146.886</v>
      </c>
      <c r="BY339" s="59"/>
      <c r="BZ339" s="59"/>
      <c r="CA339" s="59"/>
      <c r="CC339" s="59"/>
    </row>
    <row r="340" spans="1:81" x14ac:dyDescent="0.25">
      <c r="A340">
        <f t="shared" si="263"/>
        <v>630000</v>
      </c>
      <c r="B340">
        <f t="shared" si="295"/>
        <v>630</v>
      </c>
      <c r="C340">
        <f t="shared" si="264"/>
        <v>5.3199283422951051</v>
      </c>
      <c r="D340">
        <f t="shared" si="265"/>
        <v>1.3816989313134669</v>
      </c>
      <c r="F340">
        <f t="shared" si="266"/>
        <v>4.7788666694068615E-5</v>
      </c>
      <c r="G340">
        <f t="shared" si="267"/>
        <v>2.6016049335667001E-3</v>
      </c>
      <c r="H340">
        <f t="shared" si="268"/>
        <v>-3.1389910450664336</v>
      </c>
      <c r="J340">
        <f t="shared" si="269"/>
        <v>15</v>
      </c>
      <c r="M340">
        <f t="shared" si="270"/>
        <v>2.8937788555020343E-3</v>
      </c>
      <c r="N340">
        <f t="shared" si="271"/>
        <v>-1.5707963250000001</v>
      </c>
      <c r="O340">
        <f t="shared" si="272"/>
        <v>104.19006440307705</v>
      </c>
      <c r="P340">
        <f t="shared" si="273"/>
        <v>1.5611983352832512</v>
      </c>
      <c r="Q340">
        <f t="shared" si="274"/>
        <v>161.98109056934916</v>
      </c>
      <c r="R340">
        <f t="shared" si="275"/>
        <v>1.5646227274646614</v>
      </c>
      <c r="S340">
        <f t="shared" si="276"/>
        <v>0.18797245670579535</v>
      </c>
      <c r="T340">
        <f t="shared" si="277"/>
        <v>-1.3816989313134669</v>
      </c>
      <c r="U340">
        <f t="shared" si="278"/>
        <v>0.29639900679232994</v>
      </c>
      <c r="V340">
        <f t="shared" si="279"/>
        <v>-1.2698763103047777</v>
      </c>
      <c r="X340">
        <f t="shared" si="296"/>
        <v>-39.679022379824275</v>
      </c>
      <c r="Y340">
        <f t="shared" si="280"/>
        <v>-163.51313757122321</v>
      </c>
      <c r="Z340">
        <f t="shared" si="297"/>
        <v>16.486862428776789</v>
      </c>
      <c r="AC340">
        <v>1</v>
      </c>
      <c r="AD340">
        <f t="shared" si="281"/>
        <v>104.18526537048</v>
      </c>
      <c r="AE340">
        <f t="shared" si="282"/>
        <v>-6.1861148482051702E-2</v>
      </c>
      <c r="AF340">
        <f t="shared" si="283"/>
        <v>1.9198272684149999E-2</v>
      </c>
      <c r="AG340">
        <f t="shared" si="298"/>
        <v>462.01252971938129</v>
      </c>
      <c r="AH340">
        <f t="shared" si="299"/>
        <v>-1540.7962053774029</v>
      </c>
      <c r="AJ340">
        <f t="shared" si="284"/>
        <v>18000</v>
      </c>
      <c r="AK340">
        <f t="shared" si="285"/>
        <v>94051.744118639996</v>
      </c>
      <c r="AL340">
        <v>1</v>
      </c>
      <c r="AM340">
        <f t="shared" si="286"/>
        <v>161.97800375987998</v>
      </c>
      <c r="AN340">
        <f t="shared" si="300"/>
        <v>581.30906245230426</v>
      </c>
      <c r="AO340">
        <f t="shared" si="301"/>
        <v>-107.5373849116549</v>
      </c>
      <c r="AQ340">
        <f t="shared" si="287"/>
        <v>6.2988118551197689E-3</v>
      </c>
      <c r="AR340">
        <f t="shared" si="288"/>
        <v>-7.9365029374509088</v>
      </c>
      <c r="AT340">
        <f t="shared" si="261"/>
        <v>-12225.62347999156</v>
      </c>
      <c r="AU340">
        <f t="shared" si="262"/>
        <v>-3676.4689846617498</v>
      </c>
      <c r="AV340">
        <f t="shared" si="302"/>
        <v>-2.8494769779843039</v>
      </c>
      <c r="AW340">
        <f t="shared" si="303"/>
        <v>224.23315278628465</v>
      </c>
      <c r="AX340">
        <f t="shared" si="304"/>
        <v>-6544.8677514529936</v>
      </c>
      <c r="AY340">
        <f t="shared" si="312"/>
        <v>-1.5365488083860159</v>
      </c>
      <c r="BA340">
        <f t="shared" si="289"/>
        <v>1.9494612054655391</v>
      </c>
      <c r="BB340">
        <f t="shared" si="305"/>
        <v>5.7982919418534227</v>
      </c>
      <c r="BC340">
        <f t="shared" si="306"/>
        <v>-1.312928169598288</v>
      </c>
      <c r="BD340">
        <f t="shared" si="290"/>
        <v>-255.22524300777565</v>
      </c>
      <c r="BF340">
        <f t="shared" si="291"/>
        <v>-42.575268949364826</v>
      </c>
      <c r="BG340">
        <f t="shared" si="292"/>
        <v>-175.91066461249383</v>
      </c>
      <c r="BH340">
        <f t="shared" si="307"/>
        <v>4.0893353875061678</v>
      </c>
      <c r="BI340">
        <f t="shared" si="308"/>
        <v>4.0893353875061678</v>
      </c>
      <c r="BJ340">
        <f t="shared" si="293"/>
        <v>0</v>
      </c>
      <c r="BK340">
        <f t="shared" si="309"/>
        <v>0</v>
      </c>
      <c r="BM340">
        <f t="shared" si="310"/>
        <v>-48.373560891218254</v>
      </c>
      <c r="BN340">
        <f t="shared" si="294"/>
        <v>-100.68542160471821</v>
      </c>
      <c r="BQ340" s="56">
        <f t="shared" si="311"/>
        <v>22.700252742138559</v>
      </c>
      <c r="BR340" s="59"/>
      <c r="BS340" s="59"/>
      <c r="BT340" s="59">
        <v>199526.231</v>
      </c>
      <c r="BU340" s="59">
        <v>12.6511</v>
      </c>
      <c r="BV340" s="59">
        <v>-147.23699999999999</v>
      </c>
      <c r="BY340" s="59"/>
      <c r="BZ340" s="59"/>
      <c r="CA340" s="59"/>
      <c r="CC340" s="59"/>
    </row>
    <row r="341" spans="1:81" x14ac:dyDescent="0.25">
      <c r="A341">
        <f t="shared" si="263"/>
        <v>635000</v>
      </c>
      <c r="B341">
        <f t="shared" si="295"/>
        <v>635</v>
      </c>
      <c r="C341">
        <f t="shared" si="264"/>
        <v>5.3606638183609716</v>
      </c>
      <c r="D341">
        <f t="shared" si="265"/>
        <v>1.3831530491499719</v>
      </c>
      <c r="F341">
        <f t="shared" si="266"/>
        <v>4.7039019197661854E-5</v>
      </c>
      <c r="G341">
        <f t="shared" si="267"/>
        <v>2.5811180004707101E-3</v>
      </c>
      <c r="H341">
        <f t="shared" si="268"/>
        <v>-3.1390115319995293</v>
      </c>
      <c r="J341">
        <f t="shared" si="269"/>
        <v>15</v>
      </c>
      <c r="M341">
        <f t="shared" si="270"/>
        <v>2.8709931952224906E-3</v>
      </c>
      <c r="N341">
        <f t="shared" si="271"/>
        <v>-1.5707963250000001</v>
      </c>
      <c r="O341">
        <f t="shared" si="272"/>
        <v>105.0168938026188</v>
      </c>
      <c r="P341">
        <f t="shared" si="273"/>
        <v>1.5612739054329503</v>
      </c>
      <c r="Q341">
        <f t="shared" si="274"/>
        <v>163.26660597660052</v>
      </c>
      <c r="R341">
        <f t="shared" si="275"/>
        <v>1.564671337262417</v>
      </c>
      <c r="S341">
        <f t="shared" si="276"/>
        <v>0.18654406131100218</v>
      </c>
      <c r="T341">
        <f t="shared" si="277"/>
        <v>-1.3831530491499719</v>
      </c>
      <c r="U341">
        <f t="shared" si="278"/>
        <v>0.29426798498805279</v>
      </c>
      <c r="V341">
        <f t="shared" si="279"/>
        <v>-1.2721068265835018</v>
      </c>
      <c r="X341">
        <f t="shared" si="296"/>
        <v>-39.810375428920004</v>
      </c>
      <c r="Y341">
        <f t="shared" si="280"/>
        <v>-163.63499556818084</v>
      </c>
      <c r="Z341">
        <f t="shared" si="297"/>
        <v>16.365004431819159</v>
      </c>
      <c r="AC341">
        <v>1</v>
      </c>
      <c r="AD341">
        <f t="shared" si="281"/>
        <v>105.01213255596001</v>
      </c>
      <c r="AE341">
        <f t="shared" si="282"/>
        <v>-6.2846967993638939E-2</v>
      </c>
      <c r="AF341">
        <f t="shared" si="283"/>
        <v>1.9350639927674999E-2</v>
      </c>
      <c r="AG341">
        <f t="shared" si="298"/>
        <v>455.39294322960831</v>
      </c>
      <c r="AH341">
        <f t="shared" si="299"/>
        <v>-1530.7021286318316</v>
      </c>
      <c r="AJ341">
        <f t="shared" si="284"/>
        <v>18000</v>
      </c>
      <c r="AK341">
        <f t="shared" si="285"/>
        <v>94798.186532280015</v>
      </c>
      <c r="AL341">
        <v>1</v>
      </c>
      <c r="AM341">
        <f t="shared" si="286"/>
        <v>163.26354347225998</v>
      </c>
      <c r="AN341">
        <f t="shared" si="300"/>
        <v>581.29864886853011</v>
      </c>
      <c r="AO341">
        <f t="shared" si="301"/>
        <v>-106.69069763324762</v>
      </c>
      <c r="AQ341">
        <f t="shared" si="287"/>
        <v>6.2000085560118077E-3</v>
      </c>
      <c r="AR341">
        <f t="shared" si="288"/>
        <v>-7.874010866134995</v>
      </c>
      <c r="AT341">
        <f t="shared" si="261"/>
        <v>-12049.941753518637</v>
      </c>
      <c r="AU341">
        <f t="shared" si="262"/>
        <v>-3595.2593496453555</v>
      </c>
      <c r="AV341">
        <f t="shared" si="302"/>
        <v>-2.8516381733282716</v>
      </c>
      <c r="AW341">
        <f t="shared" si="303"/>
        <v>230.49337968126966</v>
      </c>
      <c r="AX341">
        <f t="shared" si="304"/>
        <v>-6495.4172608454865</v>
      </c>
      <c r="AY341">
        <f t="shared" si="312"/>
        <v>-1.5353256717309831</v>
      </c>
      <c r="BA341">
        <f t="shared" si="289"/>
        <v>1.9347402942516101</v>
      </c>
      <c r="BB341">
        <f t="shared" si="305"/>
        <v>5.7324535334232953</v>
      </c>
      <c r="BC341">
        <f t="shared" si="306"/>
        <v>-1.3163125015972885</v>
      </c>
      <c r="BD341">
        <f t="shared" si="290"/>
        <v>-255.41915094801101</v>
      </c>
      <c r="BF341">
        <f t="shared" si="291"/>
        <v>-42.71218468407821</v>
      </c>
      <c r="BG341">
        <f t="shared" si="292"/>
        <v>-176.02243155249047</v>
      </c>
      <c r="BH341">
        <f t="shared" si="307"/>
        <v>3.9775684475095261</v>
      </c>
      <c r="BI341">
        <f t="shared" si="308"/>
        <v>3.9775684475095261</v>
      </c>
      <c r="BJ341">
        <f t="shared" si="293"/>
        <v>0</v>
      </c>
      <c r="BK341">
        <f t="shared" si="309"/>
        <v>0</v>
      </c>
      <c r="BM341">
        <f t="shared" si="310"/>
        <v>-48.444638217501499</v>
      </c>
      <c r="BN341">
        <f t="shared" si="294"/>
        <v>-100.60328060447948</v>
      </c>
      <c r="BQ341" s="56">
        <f t="shared" si="311"/>
        <v>22.634414333708431</v>
      </c>
      <c r="BR341" s="59"/>
      <c r="BS341" s="59"/>
      <c r="BT341" s="59">
        <v>204173.79399999999</v>
      </c>
      <c r="BU341" s="59">
        <v>12.903600000000001</v>
      </c>
      <c r="BV341" s="59">
        <v>-148.923</v>
      </c>
      <c r="BY341" s="59"/>
      <c r="BZ341" s="59"/>
      <c r="CA341" s="59"/>
      <c r="CC341" s="59"/>
    </row>
    <row r="342" spans="1:81" x14ac:dyDescent="0.25">
      <c r="A342">
        <f t="shared" si="263"/>
        <v>640000</v>
      </c>
      <c r="B342">
        <f t="shared" si="295"/>
        <v>640</v>
      </c>
      <c r="C342">
        <f t="shared" si="264"/>
        <v>5.4014104583477041</v>
      </c>
      <c r="D342">
        <f t="shared" si="265"/>
        <v>1.3845852311086446</v>
      </c>
      <c r="F342">
        <f t="shared" si="266"/>
        <v>4.6306873856141474E-5</v>
      </c>
      <c r="G342">
        <f t="shared" si="267"/>
        <v>2.5609512186721434E-3</v>
      </c>
      <c r="H342">
        <f t="shared" si="268"/>
        <v>-3.139031698781328</v>
      </c>
      <c r="J342">
        <f t="shared" si="269"/>
        <v>15</v>
      </c>
      <c r="M342">
        <f t="shared" si="270"/>
        <v>2.8485635608848149E-3</v>
      </c>
      <c r="N342">
        <f t="shared" si="271"/>
        <v>-1.5707963250000001</v>
      </c>
      <c r="O342">
        <f t="shared" si="272"/>
        <v>105.84372379252602</v>
      </c>
      <c r="P342">
        <f t="shared" si="273"/>
        <v>1.5613482949052944</v>
      </c>
      <c r="Q342">
        <f t="shared" si="274"/>
        <v>164.55212176360888</v>
      </c>
      <c r="R342">
        <f t="shared" si="275"/>
        <v>1.5647191875603548</v>
      </c>
      <c r="S342">
        <f t="shared" si="276"/>
        <v>0.18513682818800281</v>
      </c>
      <c r="T342">
        <f t="shared" si="277"/>
        <v>-1.3845852311086444</v>
      </c>
      <c r="U342">
        <f t="shared" si="278"/>
        <v>0.29216596468488254</v>
      </c>
      <c r="V342">
        <f t="shared" si="279"/>
        <v>-1.2743054875440996</v>
      </c>
      <c r="X342">
        <f t="shared" si="296"/>
        <v>-39.940782877104866</v>
      </c>
      <c r="Y342">
        <f t="shared" si="280"/>
        <v>-163.75512121049812</v>
      </c>
      <c r="Z342">
        <f t="shared" si="297"/>
        <v>16.244878789501882</v>
      </c>
      <c r="AC342">
        <v>1</v>
      </c>
      <c r="AD342">
        <f t="shared" si="281"/>
        <v>105.83899974144001</v>
      </c>
      <c r="AE342">
        <f t="shared" si="282"/>
        <v>-6.3840580544843484E-2</v>
      </c>
      <c r="AF342">
        <f t="shared" si="283"/>
        <v>1.9503007171199998E-2</v>
      </c>
      <c r="AG342">
        <f t="shared" si="298"/>
        <v>448.91023796953402</v>
      </c>
      <c r="AH342">
        <f t="shared" si="299"/>
        <v>-1520.7239552419253</v>
      </c>
      <c r="AJ342">
        <f t="shared" si="284"/>
        <v>18000</v>
      </c>
      <c r="AK342">
        <f t="shared" si="285"/>
        <v>95544.628945920005</v>
      </c>
      <c r="AL342">
        <v>1</v>
      </c>
      <c r="AM342">
        <f t="shared" si="286"/>
        <v>164.54908318463998</v>
      </c>
      <c r="AN342">
        <f t="shared" si="300"/>
        <v>581.28847838645868</v>
      </c>
      <c r="AO342">
        <f t="shared" si="301"/>
        <v>-105.85723836618442</v>
      </c>
      <c r="AQ342">
        <f t="shared" si="287"/>
        <v>6.1035118997119749E-3</v>
      </c>
      <c r="AR342">
        <f t="shared" si="288"/>
        <v>-7.8124952316313285</v>
      </c>
      <c r="AT342">
        <f t="shared" ref="AT342:AT405" si="313">-AR342*AH342+AG342*AQ342</f>
        <v>-11877.908719975725</v>
      </c>
      <c r="AU342">
        <f t="shared" ref="AU342:AU405" si="314">AQ342*AH342+AG342*AR342</f>
        <v>-3516.3908503244656</v>
      </c>
      <c r="AV342">
        <f t="shared" si="302"/>
        <v>-2.8537685963875439</v>
      </c>
      <c r="AW342">
        <f t="shared" si="303"/>
        <v>236.58861816008741</v>
      </c>
      <c r="AX342">
        <f t="shared" si="304"/>
        <v>-6446.6969241347651</v>
      </c>
      <c r="AY342">
        <f t="shared" si="312"/>
        <v>-1.5341135896179647</v>
      </c>
      <c r="BA342">
        <f t="shared" si="289"/>
        <v>1.9202312497072285</v>
      </c>
      <c r="BB342">
        <f t="shared" si="305"/>
        <v>5.6670706618233391</v>
      </c>
      <c r="BC342">
        <f t="shared" si="306"/>
        <v>-1.3196550067695791</v>
      </c>
      <c r="BD342">
        <f t="shared" si="290"/>
        <v>-255.61066238760276</v>
      </c>
      <c r="BF342">
        <f t="shared" si="291"/>
        <v>-42.84805127580946</v>
      </c>
      <c r="BG342">
        <f t="shared" si="292"/>
        <v>-176.13304048174649</v>
      </c>
      <c r="BH342">
        <f t="shared" si="307"/>
        <v>3.866959518253509</v>
      </c>
      <c r="BI342">
        <f t="shared" si="308"/>
        <v>3.866959518253509</v>
      </c>
      <c r="BJ342">
        <f t="shared" si="293"/>
        <v>0</v>
      </c>
      <c r="BK342">
        <f t="shared" si="309"/>
        <v>0</v>
      </c>
      <c r="BM342">
        <f t="shared" si="310"/>
        <v>-48.515121937632806</v>
      </c>
      <c r="BN342">
        <f t="shared" si="294"/>
        <v>-100.52237809414375</v>
      </c>
      <c r="BQ342" s="56">
        <f t="shared" si="311"/>
        <v>22.569031462108477</v>
      </c>
      <c r="BR342" s="59"/>
      <c r="BS342" s="59"/>
      <c r="BT342" s="59">
        <v>208929.61300000001</v>
      </c>
      <c r="BU342" s="59">
        <v>13.1541</v>
      </c>
      <c r="BV342" s="59">
        <v>-149.92099999999999</v>
      </c>
      <c r="BY342" s="59"/>
      <c r="BZ342" s="59"/>
      <c r="CA342" s="59"/>
      <c r="CC342" s="59"/>
    </row>
    <row r="343" spans="1:81" x14ac:dyDescent="0.25">
      <c r="A343">
        <f t="shared" si="263"/>
        <v>645000</v>
      </c>
      <c r="B343">
        <f t="shared" si="295"/>
        <v>645</v>
      </c>
      <c r="C343">
        <f t="shared" si="264"/>
        <v>5.4421680114955384</v>
      </c>
      <c r="D343">
        <f t="shared" si="265"/>
        <v>1.3859959640946389</v>
      </c>
      <c r="F343">
        <f t="shared" si="266"/>
        <v>4.5591690037336513E-5</v>
      </c>
      <c r="G343">
        <f t="shared" si="267"/>
        <v>2.5410971414750283E-3</v>
      </c>
      <c r="H343">
        <f t="shared" si="268"/>
        <v>-3.139051552858525</v>
      </c>
      <c r="J343">
        <f t="shared" si="269"/>
        <v>15</v>
      </c>
      <c r="M343">
        <f t="shared" si="270"/>
        <v>2.8264816728159406E-3</v>
      </c>
      <c r="N343">
        <f t="shared" si="271"/>
        <v>-1.5707963250000001</v>
      </c>
      <c r="O343">
        <f t="shared" si="272"/>
        <v>106.67055435907047</v>
      </c>
      <c r="P343">
        <f t="shared" si="273"/>
        <v>1.5614215311546409</v>
      </c>
      <c r="Q343">
        <f t="shared" si="274"/>
        <v>165.83763792154309</v>
      </c>
      <c r="R343">
        <f t="shared" si="275"/>
        <v>1.564766296020395</v>
      </c>
      <c r="S343">
        <f t="shared" si="276"/>
        <v>0.18375029912485089</v>
      </c>
      <c r="T343">
        <f t="shared" si="277"/>
        <v>-1.3859959640946389</v>
      </c>
      <c r="U343">
        <f t="shared" si="278"/>
        <v>0.29009238912992474</v>
      </c>
      <c r="V343">
        <f t="shared" si="279"/>
        <v>-1.2764729499559284</v>
      </c>
      <c r="X343">
        <f t="shared" si="296"/>
        <v>-40.070257711465374</v>
      </c>
      <c r="Y343">
        <f t="shared" si="280"/>
        <v>-163.87354996997942</v>
      </c>
      <c r="Z343">
        <f t="shared" si="297"/>
        <v>16.126450030020578</v>
      </c>
      <c r="AC343">
        <v>1</v>
      </c>
      <c r="AD343">
        <f t="shared" si="281"/>
        <v>106.66586692691999</v>
      </c>
      <c r="AE343">
        <f t="shared" si="282"/>
        <v>-6.4841986135665303E-2</v>
      </c>
      <c r="AF343">
        <f t="shared" si="283"/>
        <v>1.9655374414724997E-2</v>
      </c>
      <c r="AG343">
        <f t="shared" si="298"/>
        <v>442.56079161504715</v>
      </c>
      <c r="AH343">
        <f t="shared" si="299"/>
        <v>-1510.8600878060377</v>
      </c>
      <c r="AJ343">
        <f t="shared" si="284"/>
        <v>18000</v>
      </c>
      <c r="AK343">
        <f t="shared" si="285"/>
        <v>96291.07135956001</v>
      </c>
      <c r="AL343">
        <v>1</v>
      </c>
      <c r="AM343">
        <f t="shared" si="286"/>
        <v>165.83462289701998</v>
      </c>
      <c r="AN343">
        <f t="shared" si="300"/>
        <v>581.27854349780546</v>
      </c>
      <c r="AO343">
        <f t="shared" si="301"/>
        <v>-105.03669952757016</v>
      </c>
      <c r="AQ343">
        <f t="shared" si="287"/>
        <v>6.0092506404358873E-3</v>
      </c>
      <c r="AR343">
        <f t="shared" si="288"/>
        <v>-7.7519333261622938</v>
      </c>
      <c r="AT343">
        <f t="shared" si="313"/>
        <v>-11709.427207111667</v>
      </c>
      <c r="AU343">
        <f t="shared" si="314"/>
        <v>-3439.7808863237078</v>
      </c>
      <c r="AV343">
        <f t="shared" si="302"/>
        <v>-2.8558688787479087</v>
      </c>
      <c r="AW343">
        <f t="shared" si="303"/>
        <v>242.5246102110944</v>
      </c>
      <c r="AX343">
        <f t="shared" si="304"/>
        <v>-6398.690867831353</v>
      </c>
      <c r="AY343">
        <f t="shared" si="312"/>
        <v>-1.5329122376895166</v>
      </c>
      <c r="BA343">
        <f t="shared" si="289"/>
        <v>1.9059296690991219</v>
      </c>
      <c r="BB343">
        <f t="shared" si="305"/>
        <v>5.6021374130796122</v>
      </c>
      <c r="BC343">
        <f t="shared" si="306"/>
        <v>-1.3229566410583922</v>
      </c>
      <c r="BD343">
        <f t="shared" si="290"/>
        <v>-255.79983209806358</v>
      </c>
      <c r="BF343">
        <f t="shared" si="291"/>
        <v>-42.982884673540326</v>
      </c>
      <c r="BG343">
        <f t="shared" si="292"/>
        <v>-176.24251870082838</v>
      </c>
      <c r="BH343">
        <f t="shared" si="307"/>
        <v>3.7574812991716158</v>
      </c>
      <c r="BI343">
        <f t="shared" si="308"/>
        <v>3.7574812991716158</v>
      </c>
      <c r="BJ343">
        <f t="shared" si="293"/>
        <v>0</v>
      </c>
      <c r="BK343">
        <f t="shared" si="309"/>
        <v>0</v>
      </c>
      <c r="BM343">
        <f t="shared" si="310"/>
        <v>-48.585022086619929</v>
      </c>
      <c r="BN343">
        <f t="shared" si="294"/>
        <v>-100.44268660276484</v>
      </c>
      <c r="BQ343" s="56">
        <f t="shared" si="311"/>
        <v>22.504098213364749</v>
      </c>
      <c r="BR343" s="59"/>
      <c r="BS343" s="59"/>
      <c r="BT343" s="59">
        <v>213796.209</v>
      </c>
      <c r="BU343" s="59">
        <v>13.368399999999999</v>
      </c>
      <c r="BV343" s="59">
        <v>-151.101</v>
      </c>
      <c r="BY343" s="59"/>
      <c r="BZ343" s="59"/>
      <c r="CA343" s="59"/>
      <c r="CC343" s="59"/>
    </row>
    <row r="344" spans="1:81" x14ac:dyDescent="0.25">
      <c r="A344">
        <f t="shared" si="263"/>
        <v>650000</v>
      </c>
      <c r="B344">
        <f t="shared" si="295"/>
        <v>650</v>
      </c>
      <c r="C344">
        <f t="shared" si="264"/>
        <v>5.4829362344346562</v>
      </c>
      <c r="D344">
        <f t="shared" si="265"/>
        <v>1.3873857208789737</v>
      </c>
      <c r="F344">
        <f t="shared" si="266"/>
        <v>4.4892947824091745E-5</v>
      </c>
      <c r="G344">
        <f t="shared" si="267"/>
        <v>2.5215485513625747E-3</v>
      </c>
      <c r="H344">
        <f t="shared" si="268"/>
        <v>-3.1390711014486374</v>
      </c>
      <c r="J344">
        <f t="shared" si="269"/>
        <v>15</v>
      </c>
      <c r="M344">
        <f t="shared" si="270"/>
        <v>2.8047395061019716E-3</v>
      </c>
      <c r="N344">
        <f t="shared" si="271"/>
        <v>-1.5707963250000001</v>
      </c>
      <c r="O344">
        <f t="shared" si="272"/>
        <v>107.49738548894631</v>
      </c>
      <c r="P344">
        <f t="shared" si="273"/>
        <v>1.5614936407907214</v>
      </c>
      <c r="Q344">
        <f t="shared" si="274"/>
        <v>167.12315444184355</v>
      </c>
      <c r="R344">
        <f t="shared" si="275"/>
        <v>1.5648126797610469</v>
      </c>
      <c r="S344">
        <f t="shared" si="276"/>
        <v>0.18238402878364129</v>
      </c>
      <c r="T344">
        <f t="shared" si="277"/>
        <v>-1.3873857208789737</v>
      </c>
      <c r="U344">
        <f t="shared" si="278"/>
        <v>0.28804671479426452</v>
      </c>
      <c r="V344">
        <f t="shared" si="279"/>
        <v>-1.2786098532538661</v>
      </c>
      <c r="X344">
        <f t="shared" si="296"/>
        <v>-40.198812663525587</v>
      </c>
      <c r="Y344">
        <f t="shared" si="280"/>
        <v>-163.99031639163414</v>
      </c>
      <c r="Z344">
        <f t="shared" si="297"/>
        <v>16.009683608365862</v>
      </c>
      <c r="AC344">
        <v>1</v>
      </c>
      <c r="AD344">
        <f t="shared" si="281"/>
        <v>107.49273411240002</v>
      </c>
      <c r="AE344">
        <f t="shared" si="282"/>
        <v>-6.5851184766104423E-2</v>
      </c>
      <c r="AF344">
        <f t="shared" si="283"/>
        <v>1.980774165825E-2</v>
      </c>
      <c r="AG344">
        <f t="shared" si="298"/>
        <v>436.34109634332083</v>
      </c>
      <c r="AH344">
        <f t="shared" si="299"/>
        <v>-1501.1089436318675</v>
      </c>
      <c r="AJ344">
        <f t="shared" si="284"/>
        <v>18000</v>
      </c>
      <c r="AK344">
        <f t="shared" si="285"/>
        <v>97037.5137732</v>
      </c>
      <c r="AL344">
        <v>1</v>
      </c>
      <c r="AM344">
        <f t="shared" si="286"/>
        <v>167.12016260939998</v>
      </c>
      <c r="AN344">
        <f t="shared" si="300"/>
        <v>581.26883698192955</v>
      </c>
      <c r="AO344">
        <f t="shared" si="301"/>
        <v>-104.22878299687773</v>
      </c>
      <c r="AQ344">
        <f t="shared" si="287"/>
        <v>5.9171562620377151E-3</v>
      </c>
      <c r="AR344">
        <f t="shared" si="288"/>
        <v>-7.6923031406490292</v>
      </c>
      <c r="AT344">
        <f t="shared" si="313"/>
        <v>-11544.403143105148</v>
      </c>
      <c r="AU344">
        <f t="shared" si="314"/>
        <v>-3365.3502819817795</v>
      </c>
      <c r="AV344">
        <f t="shared" si="302"/>
        <v>-2.8579396354354287</v>
      </c>
      <c r="AW344">
        <f t="shared" si="303"/>
        <v>248.30685193290719</v>
      </c>
      <c r="AX344">
        <f t="shared" si="304"/>
        <v>-6351.3836725795554</v>
      </c>
      <c r="AY344">
        <f t="shared" si="312"/>
        <v>-1.5317213038589732</v>
      </c>
      <c r="BA344">
        <f t="shared" si="289"/>
        <v>1.8918312654890086</v>
      </c>
      <c r="BB344">
        <f t="shared" si="305"/>
        <v>5.5376479718131977</v>
      </c>
      <c r="BC344">
        <f t="shared" si="306"/>
        <v>-1.3262183315764555</v>
      </c>
      <c r="BD344">
        <f t="shared" si="290"/>
        <v>-255.98671319903997</v>
      </c>
      <c r="BF344">
        <f t="shared" si="291"/>
        <v>-43.116700472253335</v>
      </c>
      <c r="BG344">
        <f t="shared" si="292"/>
        <v>-176.3508926551319</v>
      </c>
      <c r="BH344">
        <f t="shared" si="307"/>
        <v>3.6491073448680993</v>
      </c>
      <c r="BI344">
        <f t="shared" si="308"/>
        <v>3.6491073448680993</v>
      </c>
      <c r="BJ344">
        <f t="shared" si="293"/>
        <v>0</v>
      </c>
      <c r="BK344">
        <f t="shared" si="309"/>
        <v>0</v>
      </c>
      <c r="BM344">
        <f t="shared" si="310"/>
        <v>-48.654348444066535</v>
      </c>
      <c r="BN344">
        <f t="shared" si="294"/>
        <v>-100.36417945609195</v>
      </c>
      <c r="BQ344" s="56">
        <f t="shared" si="311"/>
        <v>22.439608772098335</v>
      </c>
      <c r="BR344" s="59"/>
      <c r="BS344" s="59"/>
      <c r="BT344" s="59">
        <v>218776.16200000001</v>
      </c>
      <c r="BU344" s="59">
        <v>13.6015</v>
      </c>
      <c r="BV344" s="59">
        <v>-153.08699999999999</v>
      </c>
      <c r="BY344" s="59"/>
      <c r="BZ344" s="59"/>
      <c r="CA344" s="59"/>
      <c r="CC344" s="59"/>
    </row>
    <row r="345" spans="1:81" x14ac:dyDescent="0.25">
      <c r="A345">
        <f t="shared" si="263"/>
        <v>655000</v>
      </c>
      <c r="B345">
        <f t="shared" si="295"/>
        <v>655</v>
      </c>
      <c r="C345">
        <f t="shared" si="264"/>
        <v>5.5237148909172991</v>
      </c>
      <c r="D345">
        <f t="shared" si="265"/>
        <v>1.38875496060142</v>
      </c>
      <c r="F345">
        <f t="shared" si="266"/>
        <v>4.4210147069035849E-5</v>
      </c>
      <c r="G345">
        <f t="shared" si="267"/>
        <v>2.5022984512476061E-3</v>
      </c>
      <c r="H345">
        <f t="shared" si="268"/>
        <v>-3.1390903515487527</v>
      </c>
      <c r="J345">
        <f t="shared" si="269"/>
        <v>15</v>
      </c>
      <c r="M345">
        <f t="shared" si="270"/>
        <v>2.7833292808645523E-3</v>
      </c>
      <c r="N345">
        <f t="shared" si="271"/>
        <v>-1.5707963250000001</v>
      </c>
      <c r="O345">
        <f t="shared" si="272"/>
        <v>108.32421716925394</v>
      </c>
      <c r="P345">
        <f t="shared" si="273"/>
        <v>1.5615646496108742</v>
      </c>
      <c r="Q345">
        <f t="shared" si="274"/>
        <v>168.40867131621215</v>
      </c>
      <c r="R345">
        <f t="shared" si="275"/>
        <v>1.5648583553781481</v>
      </c>
      <c r="S345">
        <f t="shared" si="276"/>
        <v>0.18103758426132938</v>
      </c>
      <c r="T345">
        <f t="shared" si="277"/>
        <v>-1.38875496060142</v>
      </c>
      <c r="U345">
        <f t="shared" si="278"/>
        <v>0.28602841101875692</v>
      </c>
      <c r="V345">
        <f t="shared" si="279"/>
        <v>-1.2807168200850225</v>
      </c>
      <c r="X345">
        <f t="shared" si="296"/>
        <v>-40.326460215663829</v>
      </c>
      <c r="Y345">
        <f t="shared" si="280"/>
        <v>-164.10545412246731</v>
      </c>
      <c r="Z345">
        <f t="shared" si="297"/>
        <v>15.894545877532693</v>
      </c>
      <c r="AC345">
        <v>1</v>
      </c>
      <c r="AD345">
        <f t="shared" si="281"/>
        <v>108.31960129788</v>
      </c>
      <c r="AE345">
        <f t="shared" si="282"/>
        <v>-6.6868176436160831E-2</v>
      </c>
      <c r="AF345">
        <f t="shared" si="283"/>
        <v>1.9960108901774999E-2</v>
      </c>
      <c r="AG345">
        <f t="shared" si="298"/>
        <v>430.24775471417234</v>
      </c>
      <c r="AH345">
        <f t="shared" si="299"/>
        <v>-1491.4689554044451</v>
      </c>
      <c r="AJ345">
        <f t="shared" si="284"/>
        <v>18000</v>
      </c>
      <c r="AK345">
        <f t="shared" si="285"/>
        <v>97783.956186840005</v>
      </c>
      <c r="AL345">
        <v>1</v>
      </c>
      <c r="AM345">
        <f t="shared" si="286"/>
        <v>168.40570232177998</v>
      </c>
      <c r="AN345">
        <f t="shared" si="300"/>
        <v>581.2593518927124</v>
      </c>
      <c r="AO345">
        <f t="shared" si="301"/>
        <v>-103.43319975486671</v>
      </c>
      <c r="AQ345">
        <f t="shared" si="287"/>
        <v>5.8271628534684143E-3</v>
      </c>
      <c r="AR345">
        <f t="shared" si="288"/>
        <v>-7.6335833380436231</v>
      </c>
      <c r="AT345">
        <f t="shared" si="313"/>
        <v>-11382.745443450642</v>
      </c>
      <c r="AU345">
        <f t="shared" si="314"/>
        <v>-3293.0231241108199</v>
      </c>
      <c r="AV345">
        <f t="shared" si="302"/>
        <v>-2.8599814654335893</v>
      </c>
      <c r="AW345">
        <f t="shared" si="303"/>
        <v>253.94060593225143</v>
      </c>
      <c r="AX345">
        <f t="shared" si="304"/>
        <v>-6304.7603570239044</v>
      </c>
      <c r="AY345">
        <f t="shared" si="312"/>
        <v>-1.5305404877574129</v>
      </c>
      <c r="BA345">
        <f t="shared" si="289"/>
        <v>1.8779318641898717</v>
      </c>
      <c r="BB345">
        <f t="shared" si="305"/>
        <v>5.4735966196969645</v>
      </c>
      <c r="BC345">
        <f t="shared" si="306"/>
        <v>-1.3294409776761764</v>
      </c>
      <c r="BD345">
        <f t="shared" si="290"/>
        <v>-256.17135721962927</v>
      </c>
      <c r="BF345">
        <f t="shared" si="291"/>
        <v>-43.249513923113525</v>
      </c>
      <c r="BG345">
        <f t="shared" si="292"/>
        <v>-176.4581879678868</v>
      </c>
      <c r="BH345">
        <f t="shared" si="307"/>
        <v>3.5418120321131994</v>
      </c>
      <c r="BI345">
        <f t="shared" si="308"/>
        <v>3.5418120321131994</v>
      </c>
      <c r="BJ345">
        <f t="shared" si="293"/>
        <v>0</v>
      </c>
      <c r="BK345">
        <f t="shared" si="309"/>
        <v>0</v>
      </c>
      <c r="BM345">
        <f t="shared" si="310"/>
        <v>-48.723110542810488</v>
      </c>
      <c r="BN345">
        <f t="shared" si="294"/>
        <v>-100.28683074825753</v>
      </c>
      <c r="BQ345" s="56">
        <f t="shared" si="311"/>
        <v>22.375557419982101</v>
      </c>
      <c r="BR345" s="59"/>
      <c r="BS345" s="59"/>
      <c r="BT345" s="59">
        <v>223872.114</v>
      </c>
      <c r="BU345" s="59">
        <v>13.8704</v>
      </c>
      <c r="BV345" s="59">
        <v>-154.70699999999999</v>
      </c>
      <c r="BY345" s="59"/>
      <c r="BZ345" s="59"/>
      <c r="CA345" s="59"/>
      <c r="CC345" s="59"/>
    </row>
    <row r="346" spans="1:81" x14ac:dyDescent="0.25">
      <c r="A346">
        <f t="shared" si="263"/>
        <v>660000</v>
      </c>
      <c r="B346">
        <f t="shared" si="295"/>
        <v>660</v>
      </c>
      <c r="C346">
        <f t="shared" si="264"/>
        <v>5.5645037515613511</v>
      </c>
      <c r="D346">
        <f t="shared" si="265"/>
        <v>1.3901041292523444</v>
      </c>
      <c r="F346">
        <f t="shared" si="266"/>
        <v>4.3542806499289983E-5</v>
      </c>
      <c r="G346">
        <f t="shared" si="267"/>
        <v>2.4833400561208229E-3</v>
      </c>
      <c r="H346">
        <f t="shared" si="268"/>
        <v>-3.1391093099438794</v>
      </c>
      <c r="J346">
        <f t="shared" si="269"/>
        <v>15</v>
      </c>
      <c r="M346">
        <f t="shared" si="270"/>
        <v>2.7622434529792142E-3</v>
      </c>
      <c r="N346">
        <f t="shared" si="271"/>
        <v>-1.5707963250000001</v>
      </c>
      <c r="O346">
        <f t="shared" si="272"/>
        <v>109.15104938748459</v>
      </c>
      <c r="P346">
        <f t="shared" si="273"/>
        <v>1.5616345826308102</v>
      </c>
      <c r="Q346">
        <f t="shared" si="274"/>
        <v>169.6941885366021</v>
      </c>
      <c r="R346">
        <f t="shared" si="275"/>
        <v>1.564903338964662</v>
      </c>
      <c r="S346">
        <f t="shared" si="276"/>
        <v>0.17971054466796055</v>
      </c>
      <c r="T346">
        <f t="shared" si="277"/>
        <v>-1.3901041292523444</v>
      </c>
      <c r="U346">
        <f t="shared" si="278"/>
        <v>0.28403695966939491</v>
      </c>
      <c r="V346">
        <f t="shared" si="279"/>
        <v>-1.2827944568358236</v>
      </c>
      <c r="X346">
        <f t="shared" si="296"/>
        <v>-40.453212607335907</v>
      </c>
      <c r="Y346">
        <f t="shared" si="280"/>
        <v>-164.21899593926074</v>
      </c>
      <c r="Z346">
        <f t="shared" si="297"/>
        <v>15.781004060739264</v>
      </c>
      <c r="AC346">
        <v>1</v>
      </c>
      <c r="AD346">
        <f t="shared" si="281"/>
        <v>109.14646848336</v>
      </c>
      <c r="AE346">
        <f t="shared" si="282"/>
        <v>-6.7892961145834527E-2</v>
      </c>
      <c r="AF346">
        <f t="shared" si="283"/>
        <v>2.0112476145300002E-2</v>
      </c>
      <c r="AG346">
        <f t="shared" si="298"/>
        <v>424.27747571309658</v>
      </c>
      <c r="AH346">
        <f t="shared" si="299"/>
        <v>-1481.9385717758639</v>
      </c>
      <c r="AJ346">
        <f t="shared" si="284"/>
        <v>18000</v>
      </c>
      <c r="AK346">
        <f t="shared" si="285"/>
        <v>98530.39860048001</v>
      </c>
      <c r="AL346">
        <v>1</v>
      </c>
      <c r="AM346">
        <f t="shared" si="286"/>
        <v>169.69124203415998</v>
      </c>
      <c r="AN346">
        <f t="shared" si="300"/>
        <v>581.25008154612613</v>
      </c>
      <c r="AO346">
        <f t="shared" si="301"/>
        <v>-102.64966953891094</v>
      </c>
      <c r="AQ346">
        <f t="shared" si="287"/>
        <v>5.7392069908132511E-3</v>
      </c>
      <c r="AR346">
        <f t="shared" si="288"/>
        <v>-7.5757532278734914</v>
      </c>
      <c r="AT346">
        <f t="shared" si="313"/>
        <v>-11224.365902386575</v>
      </c>
      <c r="AU346">
        <f t="shared" si="314"/>
        <v>-3222.7266083586001</v>
      </c>
      <c r="AV346">
        <f t="shared" si="302"/>
        <v>-2.8619949521821599</v>
      </c>
      <c r="AW346">
        <f t="shared" si="303"/>
        <v>259.43091300724774</v>
      </c>
      <c r="AX346">
        <f t="shared" si="304"/>
        <v>-6258.8063623637199</v>
      </c>
      <c r="AY346">
        <f t="shared" si="312"/>
        <v>-1.5293695002092362</v>
      </c>
      <c r="BA346">
        <f t="shared" si="289"/>
        <v>1.8642273993384426</v>
      </c>
      <c r="BB346">
        <f t="shared" si="305"/>
        <v>5.4099777339036557</v>
      </c>
      <c r="BC346">
        <f t="shared" si="306"/>
        <v>-1.3326254519729237</v>
      </c>
      <c r="BD346">
        <f t="shared" si="290"/>
        <v>-256.35381415700925</v>
      </c>
      <c r="BF346">
        <f t="shared" si="291"/>
        <v>-43.381339943296588</v>
      </c>
      <c r="BG346">
        <f t="shared" si="292"/>
        <v>-176.56442947165746</v>
      </c>
      <c r="BH346">
        <f t="shared" si="307"/>
        <v>3.435570528342538</v>
      </c>
      <c r="BI346">
        <f t="shared" si="308"/>
        <v>3.435570528342538</v>
      </c>
      <c r="BJ346">
        <f t="shared" si="293"/>
        <v>0</v>
      </c>
      <c r="BK346">
        <f t="shared" si="309"/>
        <v>0</v>
      </c>
      <c r="BM346">
        <f t="shared" si="310"/>
        <v>-48.791317677200247</v>
      </c>
      <c r="BN346">
        <f t="shared" si="294"/>
        <v>-100.21061531464821</v>
      </c>
      <c r="BQ346" s="56">
        <f t="shared" si="311"/>
        <v>22.311938534188794</v>
      </c>
      <c r="BR346" s="59"/>
      <c r="BS346" s="59"/>
      <c r="BT346" s="59">
        <v>229086.76500000001</v>
      </c>
      <c r="BU346" s="59">
        <v>14.1297</v>
      </c>
      <c r="BV346" s="59">
        <v>-156.46</v>
      </c>
      <c r="BY346" s="59"/>
      <c r="BZ346" s="59"/>
      <c r="CA346" s="59"/>
      <c r="CC346" s="59"/>
    </row>
    <row r="347" spans="1:81" x14ac:dyDescent="0.25">
      <c r="A347">
        <f t="shared" si="263"/>
        <v>665000</v>
      </c>
      <c r="B347">
        <f t="shared" si="295"/>
        <v>665</v>
      </c>
      <c r="C347">
        <f t="shared" si="264"/>
        <v>5.6053025936048293</v>
      </c>
      <c r="D347">
        <f t="shared" si="265"/>
        <v>1.3914336601345194</v>
      </c>
      <c r="F347">
        <f t="shared" si="266"/>
        <v>4.2890462868123818E-5</v>
      </c>
      <c r="G347">
        <f t="shared" si="267"/>
        <v>2.4646667850759477E-3</v>
      </c>
      <c r="H347">
        <f t="shared" si="268"/>
        <v>-3.1391279832149244</v>
      </c>
      <c r="J347">
        <f t="shared" si="269"/>
        <v>15</v>
      </c>
      <c r="M347">
        <f t="shared" si="270"/>
        <v>2.7414747052124538E-3</v>
      </c>
      <c r="N347">
        <f t="shared" si="271"/>
        <v>-1.5707963250000001</v>
      </c>
      <c r="O347">
        <f t="shared" si="272"/>
        <v>109.97788213150569</v>
      </c>
      <c r="P347">
        <f t="shared" si="273"/>
        <v>1.5617034641139946</v>
      </c>
      <c r="Q347">
        <f t="shared" si="274"/>
        <v>170.97970609520877</v>
      </c>
      <c r="R347">
        <f t="shared" si="275"/>
        <v>1.5649476461295813</v>
      </c>
      <c r="S347">
        <f t="shared" si="276"/>
        <v>0.17840250072153369</v>
      </c>
      <c r="T347">
        <f t="shared" si="277"/>
        <v>-1.3914336601345192</v>
      </c>
      <c r="U347">
        <f t="shared" si="278"/>
        <v>0.28207185480205904</v>
      </c>
      <c r="V347">
        <f t="shared" si="279"/>
        <v>-1.2848433541402293</v>
      </c>
      <c r="X347">
        <f t="shared" si="296"/>
        <v>-40.579081841111474</v>
      </c>
      <c r="Y347">
        <f t="shared" si="280"/>
        <v>-164.33097377538232</v>
      </c>
      <c r="Z347">
        <f t="shared" si="297"/>
        <v>15.669026224617681</v>
      </c>
      <c r="AC347">
        <v>1</v>
      </c>
      <c r="AD347">
        <f t="shared" si="281"/>
        <v>109.97333566884001</v>
      </c>
      <c r="AE347">
        <f t="shared" si="282"/>
        <v>-6.892553889512551E-2</v>
      </c>
      <c r="AF347">
        <f t="shared" si="283"/>
        <v>2.0264843388825001E-2</v>
      </c>
      <c r="AG347">
        <f t="shared" si="298"/>
        <v>418.42707094936389</v>
      </c>
      <c r="AH347">
        <f t="shared" si="299"/>
        <v>-1472.5162578828115</v>
      </c>
      <c r="AJ347">
        <f t="shared" si="284"/>
        <v>18000</v>
      </c>
      <c r="AK347">
        <f t="shared" si="285"/>
        <v>99276.84101412</v>
      </c>
      <c r="AL347">
        <v>1</v>
      </c>
      <c r="AM347">
        <f t="shared" si="286"/>
        <v>170.97678174653998</v>
      </c>
      <c r="AN347">
        <f t="shared" si="300"/>
        <v>581.24101950845716</v>
      </c>
      <c r="AO347">
        <f t="shared" si="301"/>
        <v>-101.87792051387143</v>
      </c>
      <c r="AQ347">
        <f t="shared" si="287"/>
        <v>5.6532276255143732E-3</v>
      </c>
      <c r="AR347">
        <f t="shared" si="288"/>
        <v>-7.5187927419341163</v>
      </c>
      <c r="AT347">
        <f t="shared" si="313"/>
        <v>-11069.179088672516</v>
      </c>
      <c r="AU347">
        <f t="shared" si="314"/>
        <v>-3154.3908936709108</v>
      </c>
      <c r="AV347">
        <f t="shared" si="302"/>
        <v>-2.8639806640584649</v>
      </c>
      <c r="AW347">
        <f t="shared" si="303"/>
        <v>264.78260316224572</v>
      </c>
      <c r="AX347">
        <f t="shared" si="304"/>
        <v>-6213.5075375613069</v>
      </c>
      <c r="AY347">
        <f t="shared" si="312"/>
        <v>-1.5282080627346932</v>
      </c>
      <c r="BA347">
        <f t="shared" si="289"/>
        <v>1.8507139105803385</v>
      </c>
      <c r="BB347">
        <f t="shared" si="305"/>
        <v>5.3467857855491294</v>
      </c>
      <c r="BC347">
        <f t="shared" si="306"/>
        <v>-1.3357726013237716</v>
      </c>
      <c r="BD347">
        <f t="shared" si="290"/>
        <v>-256.5341325325162</v>
      </c>
      <c r="BF347">
        <f t="shared" si="291"/>
        <v>-43.512193125477793</v>
      </c>
      <c r="BG347">
        <f t="shared" si="292"/>
        <v>-176.66964123841828</v>
      </c>
      <c r="BH347">
        <f t="shared" si="307"/>
        <v>3.3303587615817207</v>
      </c>
      <c r="BI347">
        <f t="shared" si="308"/>
        <v>3.3303587615817207</v>
      </c>
      <c r="BJ347">
        <f t="shared" si="293"/>
        <v>0</v>
      </c>
      <c r="BK347">
        <f t="shared" si="309"/>
        <v>0</v>
      </c>
      <c r="BM347">
        <f t="shared" si="310"/>
        <v>-48.858978911026924</v>
      </c>
      <c r="BN347">
        <f t="shared" si="294"/>
        <v>-100.13550870590204</v>
      </c>
      <c r="BQ347" s="56">
        <f t="shared" si="311"/>
        <v>22.248746585834269</v>
      </c>
      <c r="BR347" s="59"/>
      <c r="BS347" s="59"/>
      <c r="BT347" s="59">
        <v>234422.88200000001</v>
      </c>
      <c r="BU347" s="59">
        <v>14.451599999999999</v>
      </c>
      <c r="BV347" s="59">
        <v>-158.77500000000001</v>
      </c>
      <c r="BY347" s="59"/>
      <c r="BZ347" s="59"/>
      <c r="CA347" s="59"/>
      <c r="CC347" s="59"/>
    </row>
    <row r="348" spans="1:81" x14ac:dyDescent="0.25">
      <c r="A348">
        <f t="shared" si="263"/>
        <v>670000</v>
      </c>
      <c r="B348">
        <f t="shared" si="295"/>
        <v>670</v>
      </c>
      <c r="C348">
        <f t="shared" si="264"/>
        <v>5.6461112006707364</v>
      </c>
      <c r="D348">
        <f t="shared" si="265"/>
        <v>1.3927439743058465</v>
      </c>
      <c r="F348">
        <f t="shared" si="266"/>
        <v>4.2252670150766322E-5</v>
      </c>
      <c r="G348">
        <f t="shared" si="267"/>
        <v>2.4462722536920515E-3</v>
      </c>
      <c r="H348">
        <f t="shared" si="268"/>
        <v>-3.1391463777463082</v>
      </c>
      <c r="J348">
        <f t="shared" si="269"/>
        <v>15</v>
      </c>
      <c r="M348">
        <f t="shared" si="270"/>
        <v>2.7210159387556442E-3</v>
      </c>
      <c r="N348">
        <f t="shared" si="271"/>
        <v>-1.5707963250000001</v>
      </c>
      <c r="O348">
        <f t="shared" si="272"/>
        <v>110.80471538954677</v>
      </c>
      <c r="P348">
        <f t="shared" si="273"/>
        <v>1.5617713175997088</v>
      </c>
      <c r="Q348">
        <f t="shared" si="274"/>
        <v>172.26522398446033</v>
      </c>
      <c r="R348">
        <f t="shared" si="275"/>
        <v>1.5649912920159845</v>
      </c>
      <c r="S348">
        <f t="shared" si="276"/>
        <v>0.1771130543587601</v>
      </c>
      <c r="T348">
        <f t="shared" si="277"/>
        <v>-1.3927439743058465</v>
      </c>
      <c r="U348">
        <f t="shared" si="278"/>
        <v>0.28013260233645265</v>
      </c>
      <c r="V348">
        <f t="shared" si="279"/>
        <v>-1.2868640873698309</v>
      </c>
      <c r="X348">
        <f t="shared" si="296"/>
        <v>-40.704079688530243</v>
      </c>
      <c r="Y348">
        <f t="shared" si="280"/>
        <v>-164.4414187466603</v>
      </c>
      <c r="Z348">
        <f t="shared" si="297"/>
        <v>15.558581253339696</v>
      </c>
      <c r="AC348">
        <v>1</v>
      </c>
      <c r="AD348">
        <f t="shared" si="281"/>
        <v>110.80020285432001</v>
      </c>
      <c r="AE348">
        <f t="shared" si="282"/>
        <v>-6.9965909684033795E-2</v>
      </c>
      <c r="AF348">
        <f t="shared" si="283"/>
        <v>2.041721063235E-2</v>
      </c>
      <c r="AG348">
        <f t="shared" si="298"/>
        <v>412.69345100284312</v>
      </c>
      <c r="AH348">
        <f t="shared" si="299"/>
        <v>-1463.2004957975314</v>
      </c>
      <c r="AJ348">
        <f t="shared" si="284"/>
        <v>18000</v>
      </c>
      <c r="AK348">
        <f t="shared" si="285"/>
        <v>100023.28342776</v>
      </c>
      <c r="AL348">
        <v>1</v>
      </c>
      <c r="AM348">
        <f t="shared" si="286"/>
        <v>172.26232145891998</v>
      </c>
      <c r="AN348">
        <f t="shared" si="300"/>
        <v>581.23215958514027</v>
      </c>
      <c r="AO348">
        <f t="shared" si="301"/>
        <v>-101.11768895770265</v>
      </c>
      <c r="AQ348">
        <f t="shared" si="287"/>
        <v>5.5691659784105714E-3</v>
      </c>
      <c r="AR348">
        <f t="shared" si="288"/>
        <v>-7.4626824110701655</v>
      </c>
      <c r="AT348">
        <f t="shared" si="313"/>
        <v>-10917.102245530545</v>
      </c>
      <c r="AU348">
        <f t="shared" si="314"/>
        <v>-3087.9489643835536</v>
      </c>
      <c r="AV348">
        <f t="shared" si="302"/>
        <v>-2.8659391548417354</v>
      </c>
      <c r="AW348">
        <f t="shared" si="303"/>
        <v>270.00030599702819</v>
      </c>
      <c r="AX348">
        <f t="shared" si="304"/>
        <v>-6168.8501251712805</v>
      </c>
      <c r="AY348">
        <f t="shared" si="312"/>
        <v>-1.527055907077816</v>
      </c>
      <c r="BA348">
        <f t="shared" si="289"/>
        <v>1.8373875398643911</v>
      </c>
      <c r="BB348">
        <f t="shared" si="305"/>
        <v>5.2840153381343127</v>
      </c>
      <c r="BC348">
        <f t="shared" si="306"/>
        <v>-1.3388832477639194</v>
      </c>
      <c r="BD348">
        <f t="shared" si="290"/>
        <v>-256.71235944529775</v>
      </c>
      <c r="BF348">
        <f t="shared" si="291"/>
        <v>-43.642087746995095</v>
      </c>
      <c r="BG348">
        <f t="shared" si="292"/>
        <v>-176.77384660827639</v>
      </c>
      <c r="BH348">
        <f t="shared" si="307"/>
        <v>3.2261533917236136</v>
      </c>
      <c r="BI348">
        <f t="shared" si="308"/>
        <v>3.2261533917236136</v>
      </c>
      <c r="BJ348">
        <f t="shared" si="293"/>
        <v>0</v>
      </c>
      <c r="BK348">
        <f t="shared" si="309"/>
        <v>0</v>
      </c>
      <c r="BM348">
        <f t="shared" si="310"/>
        <v>-48.926103085129412</v>
      </c>
      <c r="BN348">
        <f t="shared" si="294"/>
        <v>-100.06148716297865</v>
      </c>
      <c r="BQ348" s="56">
        <f t="shared" si="311"/>
        <v>22.185976138419448</v>
      </c>
      <c r="BR348" s="59"/>
      <c r="BS348" s="59"/>
      <c r="BT348" s="59">
        <v>239883.29199999999</v>
      </c>
      <c r="BU348" s="59">
        <v>14.4628</v>
      </c>
      <c r="BV348" s="59">
        <v>-161.529</v>
      </c>
      <c r="BY348" s="59"/>
      <c r="BZ348" s="59"/>
      <c r="CA348" s="59"/>
      <c r="CC348" s="59"/>
    </row>
    <row r="349" spans="1:81" x14ac:dyDescent="0.25">
      <c r="A349">
        <f t="shared" si="263"/>
        <v>675000</v>
      </c>
      <c r="B349">
        <f t="shared" si="295"/>
        <v>675</v>
      </c>
      <c r="C349">
        <f t="shared" si="264"/>
        <v>5.6869293625417816</v>
      </c>
      <c r="D349">
        <f t="shared" si="265"/>
        <v>1.3940354810038995</v>
      </c>
      <c r="F349">
        <f t="shared" si="266"/>
        <v>4.1628998781764253E-5</v>
      </c>
      <c r="G349">
        <f t="shared" si="267"/>
        <v>2.4281502667545486E-3</v>
      </c>
      <c r="H349">
        <f t="shared" si="268"/>
        <v>-3.1391644997332455</v>
      </c>
      <c r="J349">
        <f t="shared" si="269"/>
        <v>15</v>
      </c>
      <c r="M349">
        <f t="shared" si="270"/>
        <v>2.7008602651352322E-3</v>
      </c>
      <c r="N349">
        <f t="shared" si="271"/>
        <v>-1.5707963250000001</v>
      </c>
      <c r="O349">
        <f t="shared" si="272"/>
        <v>111.6315491501861</v>
      </c>
      <c r="P349">
        <f t="shared" si="273"/>
        <v>1.5618381659298692</v>
      </c>
      <c r="Q349">
        <f t="shared" si="274"/>
        <v>173.55074219700938</v>
      </c>
      <c r="R349">
        <f t="shared" si="275"/>
        <v>1.565034291318292</v>
      </c>
      <c r="S349">
        <f t="shared" si="276"/>
        <v>0.17584181836101592</v>
      </c>
      <c r="T349">
        <f t="shared" si="277"/>
        <v>-1.3940354810038995</v>
      </c>
      <c r="U349">
        <f t="shared" si="278"/>
        <v>0.27821871973901896</v>
      </c>
      <c r="V349">
        <f t="shared" si="279"/>
        <v>-1.2888572171065309</v>
      </c>
      <c r="X349">
        <f t="shared" si="296"/>
        <v>-40.828217695784275</v>
      </c>
      <c r="Y349">
        <f t="shared" si="280"/>
        <v>-164.55036117635768</v>
      </c>
      <c r="Z349">
        <f t="shared" si="297"/>
        <v>15.449638823642317</v>
      </c>
      <c r="AC349">
        <v>1</v>
      </c>
      <c r="AD349">
        <f t="shared" si="281"/>
        <v>111.6270700398</v>
      </c>
      <c r="AE349">
        <f t="shared" si="282"/>
        <v>-7.1014073512559367E-2</v>
      </c>
      <c r="AF349">
        <f t="shared" si="283"/>
        <v>2.0569577875875E-2</v>
      </c>
      <c r="AG349">
        <f t="shared" si="298"/>
        <v>407.07362191345374</v>
      </c>
      <c r="AH349">
        <f t="shared" si="299"/>
        <v>-1453.9897849174295</v>
      </c>
      <c r="AJ349">
        <f t="shared" si="284"/>
        <v>18000</v>
      </c>
      <c r="AK349">
        <f t="shared" si="285"/>
        <v>100769.72584140001</v>
      </c>
      <c r="AL349">
        <v>1</v>
      </c>
      <c r="AM349">
        <f t="shared" si="286"/>
        <v>173.54786117129999</v>
      </c>
      <c r="AN349">
        <f t="shared" si="300"/>
        <v>581.22349581016999</v>
      </c>
      <c r="AO349">
        <f t="shared" si="301"/>
        <v>-100.36871896102868</v>
      </c>
      <c r="AQ349">
        <f t="shared" si="287"/>
        <v>5.4869654392507876E-3</v>
      </c>
      <c r="AR349">
        <f t="shared" si="288"/>
        <v>-7.4074033429885633</v>
      </c>
      <c r="AT349">
        <f t="shared" si="313"/>
        <v>-10768.055194573919</v>
      </c>
      <c r="AU349">
        <f t="shared" si="314"/>
        <v>-3023.3364995030452</v>
      </c>
      <c r="AV349">
        <f t="shared" si="302"/>
        <v>-2.8678709641611948</v>
      </c>
      <c r="AW349">
        <f t="shared" si="303"/>
        <v>275.08846051018787</v>
      </c>
      <c r="AX349">
        <f t="shared" si="304"/>
        <v>-6124.8207477604101</v>
      </c>
      <c r="AY349">
        <f t="shared" si="312"/>
        <v>-1.5259127747583001</v>
      </c>
      <c r="BA349">
        <f t="shared" si="289"/>
        <v>1.8242445283427435</v>
      </c>
      <c r="BB349">
        <f t="shared" si="305"/>
        <v>5.2216610459890491</v>
      </c>
      <c r="BC349">
        <f t="shared" si="306"/>
        <v>-1.3419581894028947</v>
      </c>
      <c r="BD349">
        <f t="shared" si="290"/>
        <v>-256.88854062366136</v>
      </c>
      <c r="BF349">
        <f t="shared" si="291"/>
        <v>-43.771037778699188</v>
      </c>
      <c r="BG349">
        <f t="shared" si="292"/>
        <v>-176.87706821691324</v>
      </c>
      <c r="BH349">
        <f t="shared" si="307"/>
        <v>3.1229317830867558</v>
      </c>
      <c r="BI349">
        <f t="shared" si="308"/>
        <v>3.1229317830867558</v>
      </c>
      <c r="BJ349">
        <f t="shared" si="293"/>
        <v>0</v>
      </c>
      <c r="BK349">
        <f t="shared" si="309"/>
        <v>0</v>
      </c>
      <c r="BM349">
        <f t="shared" si="310"/>
        <v>-48.992698824688233</v>
      </c>
      <c r="BN349">
        <f t="shared" si="294"/>
        <v>-99.988527593251874</v>
      </c>
      <c r="BQ349" s="56">
        <f t="shared" si="311"/>
        <v>22.123621846274183</v>
      </c>
      <c r="BR349" s="59"/>
      <c r="BS349" s="59"/>
      <c r="BT349" s="59">
        <v>245470.89199999999</v>
      </c>
      <c r="BU349" s="59">
        <v>14.575900000000001</v>
      </c>
      <c r="BV349" s="59">
        <v>-163.59700000000001</v>
      </c>
      <c r="BY349" s="59"/>
      <c r="BZ349" s="59"/>
      <c r="CA349" s="59"/>
      <c r="CC349" s="59"/>
    </row>
    <row r="350" spans="1:81" x14ac:dyDescent="0.25">
      <c r="A350">
        <f t="shared" si="263"/>
        <v>680000</v>
      </c>
      <c r="B350">
        <f t="shared" si="295"/>
        <v>680</v>
      </c>
      <c r="C350">
        <f t="shared" si="264"/>
        <v>5.7277568749445056</v>
      </c>
      <c r="D350">
        <f t="shared" si="265"/>
        <v>1.3953085780531365</v>
      </c>
      <c r="F350">
        <f t="shared" si="266"/>
        <v>4.101903493145309E-5</v>
      </c>
      <c r="G350">
        <f t="shared" si="267"/>
        <v>2.4102948112973994E-3</v>
      </c>
      <c r="H350">
        <f t="shared" si="268"/>
        <v>-3.1391823551887028</v>
      </c>
      <c r="J350">
        <f t="shared" si="269"/>
        <v>15</v>
      </c>
      <c r="M350">
        <f t="shared" si="270"/>
        <v>2.681000998479826E-3</v>
      </c>
      <c r="N350">
        <f t="shared" si="271"/>
        <v>-1.5707963250000001</v>
      </c>
      <c r="O350">
        <f t="shared" si="272"/>
        <v>112.45838340233786</v>
      </c>
      <c r="P350">
        <f t="shared" si="273"/>
        <v>1.5619040312746613</v>
      </c>
      <c r="Q350">
        <f t="shared" si="274"/>
        <v>174.8362607257246</v>
      </c>
      <c r="R350">
        <f t="shared" si="275"/>
        <v>1.565076658298759</v>
      </c>
      <c r="S350">
        <f t="shared" si="276"/>
        <v>0.17458841599481975</v>
      </c>
      <c r="T350">
        <f t="shared" si="277"/>
        <v>-1.3953085780531365</v>
      </c>
      <c r="U350">
        <f t="shared" si="278"/>
        <v>0.27632973571463937</v>
      </c>
      <c r="V350">
        <f t="shared" si="279"/>
        <v>-1.2908232895984877</v>
      </c>
      <c r="X350">
        <f t="shared" si="296"/>
        <v>-40.951507189232181</v>
      </c>
      <c r="Y350">
        <f t="shared" si="280"/>
        <v>-164.65783061928113</v>
      </c>
      <c r="Z350">
        <f t="shared" si="297"/>
        <v>15.342169380718872</v>
      </c>
      <c r="AC350">
        <v>1</v>
      </c>
      <c r="AD350">
        <f t="shared" si="281"/>
        <v>112.45393722528001</v>
      </c>
      <c r="AE350">
        <f t="shared" si="282"/>
        <v>-7.2070030380702227E-2</v>
      </c>
      <c r="AF350">
        <f t="shared" si="283"/>
        <v>2.0721945119399999E-2</v>
      </c>
      <c r="AG350">
        <f t="shared" si="298"/>
        <v>401.56468180739745</v>
      </c>
      <c r="AH350">
        <f t="shared" si="299"/>
        <v>-1444.8826422981617</v>
      </c>
      <c r="AJ350">
        <f t="shared" si="284"/>
        <v>18000</v>
      </c>
      <c r="AK350">
        <f t="shared" si="285"/>
        <v>101516.16825504</v>
      </c>
      <c r="AL350">
        <v>1</v>
      </c>
      <c r="AM350">
        <f t="shared" si="286"/>
        <v>174.83340088367999</v>
      </c>
      <c r="AN350">
        <f t="shared" si="300"/>
        <v>581.21502243605573</v>
      </c>
      <c r="AO350">
        <f t="shared" si="301"/>
        <v>-99.630762139970017</v>
      </c>
      <c r="AQ350">
        <f t="shared" si="287"/>
        <v>5.4065714713605797E-3</v>
      </c>
      <c r="AR350">
        <f t="shared" si="288"/>
        <v>-7.3529372010503886</v>
      </c>
      <c r="AT350">
        <f t="shared" si="313"/>
        <v>-10621.960243553571</v>
      </c>
      <c r="AU350">
        <f t="shared" si="314"/>
        <v>-2960.4917487628882</v>
      </c>
      <c r="AV350">
        <f t="shared" si="302"/>
        <v>-2.8697766179284865</v>
      </c>
      <c r="AW350">
        <f t="shared" si="303"/>
        <v>280.05132435368216</v>
      </c>
      <c r="AX350">
        <f t="shared" si="304"/>
        <v>-6081.4063948891016</v>
      </c>
      <c r="AY350">
        <f t="shared" si="312"/>
        <v>-1.5247784166459766</v>
      </c>
      <c r="BA350">
        <f t="shared" si="289"/>
        <v>1.8112812133733318</v>
      </c>
      <c r="BB350">
        <f t="shared" si="305"/>
        <v>5.1597176527205431</v>
      </c>
      <c r="BC350">
        <f t="shared" si="306"/>
        <v>-1.3449982012825099</v>
      </c>
      <c r="BD350">
        <f t="shared" si="290"/>
        <v>-257.06272047423198</v>
      </c>
      <c r="BF350">
        <f t="shared" si="291"/>
        <v>-43.899056893502923</v>
      </c>
      <c r="BG350">
        <f t="shared" si="292"/>
        <v>-176.97932802180884</v>
      </c>
      <c r="BH350">
        <f t="shared" si="307"/>
        <v>3.0206719781911602</v>
      </c>
      <c r="BI350">
        <f t="shared" si="308"/>
        <v>3.0206719781911602</v>
      </c>
      <c r="BJ350">
        <f t="shared" si="293"/>
        <v>0</v>
      </c>
      <c r="BK350">
        <f t="shared" si="309"/>
        <v>0</v>
      </c>
      <c r="BM350">
        <f t="shared" si="310"/>
        <v>-49.058774546223461</v>
      </c>
      <c r="BN350">
        <f t="shared" si="294"/>
        <v>-99.916607547576831</v>
      </c>
      <c r="BQ350" s="56">
        <f t="shared" si="311"/>
        <v>22.06167845300568</v>
      </c>
      <c r="BR350" s="59"/>
      <c r="BS350" s="59"/>
      <c r="BT350" s="59">
        <v>251188.64300000001</v>
      </c>
      <c r="BU350" s="59">
        <v>14.7446</v>
      </c>
      <c r="BV350" s="59">
        <v>-165.89599999999999</v>
      </c>
      <c r="BY350" s="59"/>
      <c r="BZ350" s="59"/>
      <c r="CA350" s="59"/>
      <c r="CC350" s="59"/>
    </row>
    <row r="351" spans="1:81" x14ac:dyDescent="0.25">
      <c r="A351">
        <f t="shared" si="263"/>
        <v>685000</v>
      </c>
      <c r="B351">
        <f t="shared" si="295"/>
        <v>685</v>
      </c>
      <c r="C351">
        <f t="shared" si="264"/>
        <v>5.76859353934233</v>
      </c>
      <c r="D351">
        <f t="shared" si="265"/>
        <v>1.3965636522555935</v>
      </c>
      <c r="F351">
        <f t="shared" si="266"/>
        <v>4.0422379819264643E-5</v>
      </c>
      <c r="G351">
        <f t="shared" si="267"/>
        <v>2.3927000499501406E-3</v>
      </c>
      <c r="H351">
        <f t="shared" si="268"/>
        <v>-3.1391999499500503</v>
      </c>
      <c r="J351">
        <f t="shared" si="269"/>
        <v>15</v>
      </c>
      <c r="M351">
        <f t="shared" si="270"/>
        <v>2.6614316481259584E-3</v>
      </c>
      <c r="N351">
        <f t="shared" si="271"/>
        <v>-1.5707963250000001</v>
      </c>
      <c r="O351">
        <f t="shared" si="272"/>
        <v>113.2852181352398</v>
      </c>
      <c r="P351">
        <f t="shared" si="273"/>
        <v>1.5619689351570505</v>
      </c>
      <c r="Q351">
        <f t="shared" si="274"/>
        <v>176.12177956368288</v>
      </c>
      <c r="R351">
        <f t="shared" si="275"/>
        <v>1.5651184068032475</v>
      </c>
      <c r="S351">
        <f t="shared" si="276"/>
        <v>0.17335248066619877</v>
      </c>
      <c r="T351">
        <f t="shared" si="277"/>
        <v>-1.3965636522555935</v>
      </c>
      <c r="U351">
        <f t="shared" si="278"/>
        <v>0.27446518990690594</v>
      </c>
      <c r="V351">
        <f t="shared" si="279"/>
        <v>-1.2927628371999744</v>
      </c>
      <c r="X351">
        <f t="shared" si="296"/>
        <v>-41.073959280751296</v>
      </c>
      <c r="Y351">
        <f t="shared" si="280"/>
        <v>-164.76385588505588</v>
      </c>
      <c r="Z351">
        <f t="shared" si="297"/>
        <v>15.236144114944125</v>
      </c>
      <c r="AC351">
        <v>1</v>
      </c>
      <c r="AD351">
        <f t="shared" si="281"/>
        <v>113.28080441076</v>
      </c>
      <c r="AE351">
        <f t="shared" si="282"/>
        <v>-7.3133780288462374E-2</v>
      </c>
      <c r="AF351">
        <f t="shared" si="283"/>
        <v>2.0874312362924998E-2</v>
      </c>
      <c r="AG351">
        <f t="shared" si="298"/>
        <v>396.16381765455634</v>
      </c>
      <c r="AH351">
        <f t="shared" si="299"/>
        <v>-1435.8776029346939</v>
      </c>
      <c r="AJ351">
        <f t="shared" si="284"/>
        <v>18000</v>
      </c>
      <c r="AK351">
        <f t="shared" si="285"/>
        <v>102262.61066868</v>
      </c>
      <c r="AL351">
        <v>1</v>
      </c>
      <c r="AM351">
        <f t="shared" si="286"/>
        <v>176.11894059605999</v>
      </c>
      <c r="AN351">
        <f t="shared" si="300"/>
        <v>581.20673392428694</v>
      </c>
      <c r="AO351">
        <f t="shared" si="301"/>
        <v>-98.903577361544691</v>
      </c>
      <c r="AQ351">
        <f t="shared" si="287"/>
        <v>5.327931521161745E-3</v>
      </c>
      <c r="AR351">
        <f t="shared" si="288"/>
        <v>-7.2992661839915902</v>
      </c>
      <c r="AT351">
        <f t="shared" si="313"/>
        <v>-10478.742097760491</v>
      </c>
      <c r="AU351">
        <f t="shared" si="314"/>
        <v>-2899.3554150681198</v>
      </c>
      <c r="AV351">
        <f t="shared" si="302"/>
        <v>-2.8716566287550513</v>
      </c>
      <c r="AW351">
        <f t="shared" si="303"/>
        <v>284.89298257299458</v>
      </c>
      <c r="AX351">
        <f t="shared" si="304"/>
        <v>-6038.5944106272382</v>
      </c>
      <c r="AY351">
        <f t="shared" si="312"/>
        <v>-1.5236525925565969</v>
      </c>
      <c r="BA351">
        <f t="shared" si="289"/>
        <v>1.7984940256214674</v>
      </c>
      <c r="BB351">
        <f t="shared" si="305"/>
        <v>5.0981799896689797</v>
      </c>
      <c r="BC351">
        <f t="shared" si="306"/>
        <v>-1.3480040361984544</v>
      </c>
      <c r="BD351">
        <f t="shared" si="290"/>
        <v>-257.23494212902551</v>
      </c>
      <c r="BF351">
        <f t="shared" si="291"/>
        <v>-44.026158474641797</v>
      </c>
      <c r="BG351">
        <f t="shared" si="292"/>
        <v>-177.08064732731148</v>
      </c>
      <c r="BH351">
        <f t="shared" si="307"/>
        <v>2.9193526726885182</v>
      </c>
      <c r="BI351">
        <f t="shared" si="308"/>
        <v>2.9193526726885182</v>
      </c>
      <c r="BJ351">
        <f t="shared" si="293"/>
        <v>0</v>
      </c>
      <c r="BK351">
        <f t="shared" si="309"/>
        <v>0</v>
      </c>
      <c r="BM351">
        <f t="shared" si="310"/>
        <v>-49.124338464310775</v>
      </c>
      <c r="BN351">
        <f t="shared" si="294"/>
        <v>-99.845705198286041</v>
      </c>
      <c r="BQ351" s="56">
        <f t="shared" si="311"/>
        <v>22.000140789954116</v>
      </c>
      <c r="BR351" s="59"/>
      <c r="BS351" s="59"/>
      <c r="BT351" s="59">
        <v>257039.57800000001</v>
      </c>
      <c r="BU351" s="59">
        <v>14.891</v>
      </c>
      <c r="BV351" s="59">
        <v>-168.07</v>
      </c>
      <c r="BY351" s="59"/>
      <c r="BZ351" s="59"/>
      <c r="CA351" s="59"/>
      <c r="CC351" s="59"/>
    </row>
    <row r="352" spans="1:81" x14ac:dyDescent="0.25">
      <c r="A352">
        <f t="shared" si="263"/>
        <v>690000</v>
      </c>
      <c r="B352">
        <f t="shared" si="295"/>
        <v>690</v>
      </c>
      <c r="C352">
        <f t="shared" si="264"/>
        <v>5.8094391627371307</v>
      </c>
      <c r="D352">
        <f t="shared" si="265"/>
        <v>1.3978010797658256</v>
      </c>
      <c r="F352">
        <f t="shared" si="266"/>
        <v>3.9838649061743398E-5</v>
      </c>
      <c r="G352">
        <f t="shared" si="267"/>
        <v>2.3753603145742343E-3</v>
      </c>
      <c r="H352">
        <f t="shared" si="268"/>
        <v>-3.1392172896854258</v>
      </c>
      <c r="J352">
        <f t="shared" si="269"/>
        <v>15</v>
      </c>
      <c r="M352">
        <f t="shared" si="270"/>
        <v>2.6421459115453356E-3</v>
      </c>
      <c r="N352">
        <f t="shared" si="271"/>
        <v>-1.5707963250000001</v>
      </c>
      <c r="O352">
        <f t="shared" si="272"/>
        <v>114.11205333844168</v>
      </c>
      <c r="P352">
        <f t="shared" si="273"/>
        <v>1.5620328984762297</v>
      </c>
      <c r="Q352">
        <f t="shared" si="274"/>
        <v>177.40729870416175</v>
      </c>
      <c r="R352">
        <f t="shared" si="275"/>
        <v>1.5651595502763116</v>
      </c>
      <c r="S352">
        <f t="shared" si="276"/>
        <v>0.17213365558833874</v>
      </c>
      <c r="T352">
        <f t="shared" si="277"/>
        <v>-1.3978010797658256</v>
      </c>
      <c r="U352">
        <f t="shared" si="278"/>
        <v>0.27262463260676484</v>
      </c>
      <c r="V352">
        <f t="shared" si="279"/>
        <v>-1.29467637879578</v>
      </c>
      <c r="X352">
        <f t="shared" si="296"/>
        <v>-41.195584872933154</v>
      </c>
      <c r="Y352">
        <f t="shared" si="280"/>
        <v>-164.86846506059899</v>
      </c>
      <c r="Z352">
        <f t="shared" si="297"/>
        <v>15.131534939401007</v>
      </c>
      <c r="AC352">
        <v>1</v>
      </c>
      <c r="AD352">
        <f t="shared" si="281"/>
        <v>114.10767159624</v>
      </c>
      <c r="AE352">
        <f t="shared" si="282"/>
        <v>-7.4205323235839782E-2</v>
      </c>
      <c r="AF352">
        <f t="shared" si="283"/>
        <v>2.1026679606450001E-2</v>
      </c>
      <c r="AG352">
        <f t="shared" si="298"/>
        <v>390.86830215167367</v>
      </c>
      <c r="AH352">
        <f t="shared" si="299"/>
        <v>-1426.9732199945092</v>
      </c>
      <c r="AJ352">
        <f t="shared" si="284"/>
        <v>18000</v>
      </c>
      <c r="AK352">
        <f t="shared" si="285"/>
        <v>103009.05308232001</v>
      </c>
      <c r="AL352">
        <v>1</v>
      </c>
      <c r="AM352">
        <f t="shared" si="286"/>
        <v>177.40448030843999</v>
      </c>
      <c r="AN352">
        <f t="shared" si="300"/>
        <v>581.19862493628193</v>
      </c>
      <c r="AO352">
        <f t="shared" si="301"/>
        <v>-98.186930481005575</v>
      </c>
      <c r="AQ352">
        <f t="shared" si="287"/>
        <v>5.2509949322647907E-3</v>
      </c>
      <c r="AR352">
        <f t="shared" si="288"/>
        <v>-7.2463730065254115</v>
      </c>
      <c r="AT352">
        <f t="shared" si="313"/>
        <v>-10338.327774929077</v>
      </c>
      <c r="AU352">
        <f t="shared" si="314"/>
        <v>-2839.8705429649754</v>
      </c>
      <c r="AV352">
        <f t="shared" si="302"/>
        <v>-2.8735114963550195</v>
      </c>
      <c r="AW352">
        <f t="shared" si="303"/>
        <v>289.61735586495178</v>
      </c>
      <c r="AX352">
        <f t="shared" si="304"/>
        <v>-5996.3724815787418</v>
      </c>
      <c r="AY352">
        <f t="shared" si="312"/>
        <v>-1.5225350708677332</v>
      </c>
      <c r="BA352">
        <f t="shared" si="289"/>
        <v>1.7858794862572891</v>
      </c>
      <c r="BB352">
        <f t="shared" si="305"/>
        <v>5.0370429743724943</v>
      </c>
      <c r="BC352">
        <f t="shared" si="306"/>
        <v>-1.3509764254872862</v>
      </c>
      <c r="BD352">
        <f t="shared" si="290"/>
        <v>-257.40524749054003</v>
      </c>
      <c r="BF352">
        <f t="shared" si="291"/>
        <v>-44.152355623656774</v>
      </c>
      <c r="BG352">
        <f t="shared" si="292"/>
        <v>-177.1810468086114</v>
      </c>
      <c r="BH352">
        <f t="shared" si="307"/>
        <v>2.8189531913886015</v>
      </c>
      <c r="BI352">
        <f t="shared" si="308"/>
        <v>2.8189531913886015</v>
      </c>
      <c r="BJ352">
        <f t="shared" si="293"/>
        <v>0</v>
      </c>
      <c r="BK352">
        <f t="shared" si="309"/>
        <v>0</v>
      </c>
      <c r="BM352">
        <f t="shared" si="310"/>
        <v>-49.189398598029271</v>
      </c>
      <c r="BN352">
        <f t="shared" si="294"/>
        <v>-99.775799318071364</v>
      </c>
      <c r="BQ352" s="56">
        <f t="shared" si="311"/>
        <v>21.939003774657628</v>
      </c>
      <c r="BR352" s="59"/>
      <c r="BS352" s="59"/>
      <c r="BT352" s="59">
        <v>263026.799</v>
      </c>
      <c r="BU352" s="59">
        <v>14.9779</v>
      </c>
      <c r="BV352" s="59">
        <v>-170.82400000000001</v>
      </c>
      <c r="BY352" s="59"/>
      <c r="BZ352" s="59"/>
      <c r="CA352" s="59"/>
      <c r="CC352" s="59"/>
    </row>
    <row r="353" spans="1:81" x14ac:dyDescent="0.25">
      <c r="A353">
        <f t="shared" si="263"/>
        <v>695000</v>
      </c>
      <c r="B353">
        <f t="shared" si="295"/>
        <v>695</v>
      </c>
      <c r="C353">
        <f t="shared" si="264"/>
        <v>5.8502935574789383</v>
      </c>
      <c r="D353">
        <f t="shared" si="265"/>
        <v>1.3990212264508202</v>
      </c>
      <c r="F353">
        <f t="shared" si="266"/>
        <v>3.9267472053281015E-5</v>
      </c>
      <c r="G353">
        <f t="shared" si="267"/>
        <v>2.3582701001741914E-3</v>
      </c>
      <c r="H353">
        <f t="shared" si="268"/>
        <v>-3.1392343798998259</v>
      </c>
      <c r="J353">
        <f t="shared" si="269"/>
        <v>15</v>
      </c>
      <c r="M353">
        <f t="shared" si="270"/>
        <v>2.6231376675773838E-3</v>
      </c>
      <c r="N353">
        <f t="shared" si="271"/>
        <v>-1.5707963250000001</v>
      </c>
      <c r="O353">
        <f t="shared" si="272"/>
        <v>114.93888900179391</v>
      </c>
      <c r="P353">
        <f t="shared" si="273"/>
        <v>1.562095941530053</v>
      </c>
      <c r="Q353">
        <f t="shared" si="274"/>
        <v>178.69281814063217</v>
      </c>
      <c r="R353">
        <f t="shared" si="275"/>
        <v>1.5652001017756321</v>
      </c>
      <c r="S353">
        <f t="shared" si="276"/>
        <v>0.17093159346194065</v>
      </c>
      <c r="T353">
        <f t="shared" si="277"/>
        <v>-1.3990212264508202</v>
      </c>
      <c r="U353">
        <f t="shared" si="278"/>
        <v>0.27080762446932466</v>
      </c>
      <c r="V353">
        <f t="shared" si="279"/>
        <v>-1.2965644202107462</v>
      </c>
      <c r="X353">
        <f t="shared" si="296"/>
        <v>-41.316394664127642</v>
      </c>
      <c r="Y353">
        <f t="shared" si="280"/>
        <v>-164.97168553182084</v>
      </c>
      <c r="Z353">
        <f t="shared" si="297"/>
        <v>15.028314468179161</v>
      </c>
      <c r="AC353">
        <v>1</v>
      </c>
      <c r="AD353">
        <f t="shared" si="281"/>
        <v>114.93453878172001</v>
      </c>
      <c r="AE353">
        <f t="shared" si="282"/>
        <v>-7.5284659222834518E-2</v>
      </c>
      <c r="AF353">
        <f t="shared" si="283"/>
        <v>2.1179046849975E-2</v>
      </c>
      <c r="AG353">
        <f t="shared" si="298"/>
        <v>385.67549072614736</v>
      </c>
      <c r="AH353">
        <f t="shared" si="299"/>
        <v>-1418.1680650068035</v>
      </c>
      <c r="AJ353">
        <f t="shared" si="284"/>
        <v>18000</v>
      </c>
      <c r="AK353">
        <f t="shared" si="285"/>
        <v>103755.49549596001</v>
      </c>
      <c r="AL353">
        <v>1</v>
      </c>
      <c r="AM353">
        <f t="shared" si="286"/>
        <v>178.69002002081999</v>
      </c>
      <c r="AN353">
        <f t="shared" si="300"/>
        <v>581.19069032478785</v>
      </c>
      <c r="AO353">
        <f t="shared" si="301"/>
        <v>-97.480594090513108</v>
      </c>
      <c r="AQ353">
        <f t="shared" si="287"/>
        <v>5.1757128638720232E-3</v>
      </c>
      <c r="AR353">
        <f t="shared" si="288"/>
        <v>-7.1942408807821119</v>
      </c>
      <c r="AT353">
        <f t="shared" si="313"/>
        <v>-10200.646523492978</v>
      </c>
      <c r="AU353">
        <f t="shared" si="314"/>
        <v>-2781.9824127949396</v>
      </c>
      <c r="AV353">
        <f t="shared" si="302"/>
        <v>-2.8753417079341728</v>
      </c>
      <c r="AW353">
        <f t="shared" si="303"/>
        <v>294.22820838303221</v>
      </c>
      <c r="AX353">
        <f t="shared" si="304"/>
        <v>-5954.7286253904467</v>
      </c>
      <c r="AY353">
        <f t="shared" si="312"/>
        <v>-1.521425628153676</v>
      </c>
      <c r="BA353">
        <f t="shared" si="289"/>
        <v>1.7734342042459232</v>
      </c>
      <c r="BB353">
        <f t="shared" si="305"/>
        <v>4.9763016090434284</v>
      </c>
      <c r="BC353">
        <f t="shared" si="306"/>
        <v>-1.3539160797804968</v>
      </c>
      <c r="BD353">
        <f t="shared" si="290"/>
        <v>-257.57367727496097</v>
      </c>
      <c r="BF353">
        <f t="shared" si="291"/>
        <v>-44.277661168110249</v>
      </c>
      <c r="BG353">
        <f t="shared" si="292"/>
        <v>-177.2805465346726</v>
      </c>
      <c r="BH353">
        <f t="shared" si="307"/>
        <v>2.7194534653274047</v>
      </c>
      <c r="BI353">
        <f t="shared" si="308"/>
        <v>2.7194534653274047</v>
      </c>
      <c r="BJ353">
        <f t="shared" si="293"/>
        <v>0</v>
      </c>
      <c r="BK353">
        <f t="shared" si="309"/>
        <v>0</v>
      </c>
      <c r="BM353">
        <f t="shared" si="310"/>
        <v>-49.253962777153674</v>
      </c>
      <c r="BN353">
        <f t="shared" si="294"/>
        <v>-99.706869259711624</v>
      </c>
      <c r="BQ353" s="56">
        <f t="shared" si="311"/>
        <v>21.878262409328567</v>
      </c>
      <c r="BR353" s="59"/>
      <c r="BS353" s="59"/>
      <c r="BT353" s="59">
        <v>269153.48</v>
      </c>
      <c r="BU353" s="59">
        <v>15.0854</v>
      </c>
      <c r="BV353" s="59">
        <v>-173.35300000000001</v>
      </c>
      <c r="BY353" s="59"/>
      <c r="BZ353" s="59"/>
      <c r="CA353" s="59"/>
      <c r="CC353" s="59"/>
    </row>
    <row r="354" spans="1:81" x14ac:dyDescent="0.25">
      <c r="A354">
        <f t="shared" si="263"/>
        <v>700000</v>
      </c>
      <c r="B354">
        <f t="shared" si="295"/>
        <v>700</v>
      </c>
      <c r="C354">
        <f t="shared" si="264"/>
        <v>5.8911565410833431</v>
      </c>
      <c r="D354">
        <f t="shared" si="265"/>
        <v>1.4002244482355757</v>
      </c>
      <c r="F354">
        <f t="shared" si="266"/>
        <v>3.8708491377705834E-5</v>
      </c>
      <c r="G354">
        <f t="shared" si="267"/>
        <v>2.3414240590697104E-3</v>
      </c>
      <c r="H354">
        <f t="shared" si="268"/>
        <v>-3.1392512259409306</v>
      </c>
      <c r="J354">
        <f t="shared" si="269"/>
        <v>15</v>
      </c>
      <c r="M354">
        <f t="shared" si="270"/>
        <v>2.6044009699518309E-3</v>
      </c>
      <c r="N354">
        <f t="shared" si="271"/>
        <v>-1.5707963250000001</v>
      </c>
      <c r="O354">
        <f t="shared" si="272"/>
        <v>115.76572511543687</v>
      </c>
      <c r="P354">
        <f t="shared" si="273"/>
        <v>1.5621580840365088</v>
      </c>
      <c r="Q354">
        <f t="shared" si="274"/>
        <v>179.97833786675173</v>
      </c>
      <c r="R354">
        <f t="shared" si="275"/>
        <v>1.565240073985833</v>
      </c>
      <c r="S354">
        <f t="shared" si="276"/>
        <v>0.16974595616773527</v>
      </c>
      <c r="T354">
        <f t="shared" si="277"/>
        <v>-1.4002244482355757</v>
      </c>
      <c r="U354">
        <f t="shared" si="278"/>
        <v>0.26901373623862718</v>
      </c>
      <c r="V354">
        <f t="shared" si="279"/>
        <v>-1.2984274546050205</v>
      </c>
      <c r="X354">
        <f t="shared" si="296"/>
        <v>-41.436399153341014</v>
      </c>
      <c r="Y354">
        <f t="shared" si="280"/>
        <v>-165.07354400458306</v>
      </c>
      <c r="Z354">
        <f t="shared" si="297"/>
        <v>14.926455995416944</v>
      </c>
      <c r="AC354">
        <v>1</v>
      </c>
      <c r="AD354">
        <f t="shared" si="281"/>
        <v>115.76140596720001</v>
      </c>
      <c r="AE354">
        <f t="shared" si="282"/>
        <v>-7.6371788249446543E-2</v>
      </c>
      <c r="AF354">
        <f t="shared" si="283"/>
        <v>2.1331414093499999E-2</v>
      </c>
      <c r="AG354">
        <f t="shared" si="298"/>
        <v>380.58281865549026</v>
      </c>
      <c r="AH354">
        <f t="shared" si="299"/>
        <v>-1409.4607280112812</v>
      </c>
      <c r="AJ354">
        <f t="shared" si="284"/>
        <v>18000</v>
      </c>
      <c r="AK354">
        <f t="shared" si="285"/>
        <v>104501.9379096</v>
      </c>
      <c r="AL354">
        <v>1</v>
      </c>
      <c r="AM354">
        <f t="shared" si="286"/>
        <v>179.97555973319999</v>
      </c>
      <c r="AN354">
        <f t="shared" si="300"/>
        <v>581.1829251257127</v>
      </c>
      <c r="AO354">
        <f t="shared" si="301"/>
        <v>-96.784347278576902</v>
      </c>
      <c r="AQ354">
        <f t="shared" si="287"/>
        <v>5.1020382132458096E-3</v>
      </c>
      <c r="AR354">
        <f t="shared" si="288"/>
        <v>-7.1428534985441337</v>
      </c>
      <c r="AT354">
        <f t="shared" si="313"/>
        <v>-10065.629744051856</v>
      </c>
      <c r="AU354">
        <f t="shared" si="314"/>
        <v>-2725.6384402135391</v>
      </c>
      <c r="AV354">
        <f t="shared" si="302"/>
        <v>-2.8771477385654962</v>
      </c>
      <c r="AW354">
        <f t="shared" si="303"/>
        <v>298.72915511798232</v>
      </c>
      <c r="AX354">
        <f t="shared" si="304"/>
        <v>-5913.6511797224712</v>
      </c>
      <c r="AY354">
        <f t="shared" si="312"/>
        <v>-1.5203240488382674</v>
      </c>
      <c r="BA354">
        <f t="shared" si="289"/>
        <v>1.7611548737272791</v>
      </c>
      <c r="BB354">
        <f t="shared" si="305"/>
        <v>4.9159509790576044</v>
      </c>
      <c r="BC354">
        <f t="shared" si="306"/>
        <v>-1.3568236897272288</v>
      </c>
      <c r="BD354">
        <f t="shared" si="290"/>
        <v>-257.74027105356936</v>
      </c>
      <c r="BF354">
        <f t="shared" si="291"/>
        <v>-44.402087669045407</v>
      </c>
      <c r="BG354">
        <f t="shared" si="292"/>
        <v>-177.37916599017541</v>
      </c>
      <c r="BH354">
        <f t="shared" si="307"/>
        <v>2.6208340098245912</v>
      </c>
      <c r="BI354">
        <f t="shared" si="308"/>
        <v>2.6208340098245912</v>
      </c>
      <c r="BJ354">
        <f t="shared" si="293"/>
        <v>0</v>
      </c>
      <c r="BK354">
        <f t="shared" si="309"/>
        <v>0</v>
      </c>
      <c r="BM354">
        <f t="shared" si="310"/>
        <v>-49.31803864810302</v>
      </c>
      <c r="BN354">
        <f t="shared" si="294"/>
        <v>-99.638894936606079</v>
      </c>
      <c r="BQ354" s="56">
        <f t="shared" si="311"/>
        <v>21.81791177934274</v>
      </c>
      <c r="BR354" s="59"/>
      <c r="BS354" s="59"/>
      <c r="BT354" s="59">
        <v>275422.87</v>
      </c>
      <c r="BU354" s="59">
        <v>15.1145</v>
      </c>
      <c r="BV354" s="59">
        <v>-175.80699999999999</v>
      </c>
      <c r="BY354" s="59"/>
      <c r="BZ354" s="59"/>
      <c r="CA354" s="59"/>
      <c r="CC354" s="59"/>
    </row>
    <row r="355" spans="1:81" x14ac:dyDescent="0.25">
      <c r="A355">
        <f t="shared" si="263"/>
        <v>705000</v>
      </c>
      <c r="B355">
        <f t="shared" si="295"/>
        <v>705</v>
      </c>
      <c r="C355">
        <f t="shared" si="264"/>
        <v>5.9320279360563024</v>
      </c>
      <c r="D355">
        <f t="shared" si="265"/>
        <v>1.4014110914349958</v>
      </c>
      <c r="F355">
        <f t="shared" si="266"/>
        <v>3.8161362248982915E-5</v>
      </c>
      <c r="G355">
        <f t="shared" si="267"/>
        <v>2.3248169953158839E-3</v>
      </c>
      <c r="H355">
        <f t="shared" si="268"/>
        <v>-3.1392678330046841</v>
      </c>
      <c r="J355">
        <f t="shared" si="269"/>
        <v>15</v>
      </c>
      <c r="M355">
        <f t="shared" si="270"/>
        <v>2.5859300410869244E-3</v>
      </c>
      <c r="N355">
        <f t="shared" si="271"/>
        <v>-1.5707963250000001</v>
      </c>
      <c r="O355">
        <f t="shared" si="272"/>
        <v>116.5925616697906</v>
      </c>
      <c r="P355">
        <f t="shared" si="273"/>
        <v>1.5622193451542801</v>
      </c>
      <c r="Q355">
        <f t="shared" si="274"/>
        <v>181.26385787635778</v>
      </c>
      <c r="R355">
        <f t="shared" si="275"/>
        <v>1.5652794792317088</v>
      </c>
      <c r="S355">
        <f t="shared" si="276"/>
        <v>0.16857641447063287</v>
      </c>
      <c r="T355">
        <f t="shared" si="277"/>
        <v>-1.4014110914349958</v>
      </c>
      <c r="U355">
        <f t="shared" si="278"/>
        <v>0.26724254848017587</v>
      </c>
      <c r="V355">
        <f t="shared" si="279"/>
        <v>-1.3002659628555708</v>
      </c>
      <c r="X355">
        <f t="shared" si="296"/>
        <v>-41.555608644992603</v>
      </c>
      <c r="Y355">
        <f t="shared" si="280"/>
        <v>-165.17406652494168</v>
      </c>
      <c r="Z355">
        <f t="shared" si="297"/>
        <v>14.825933475058321</v>
      </c>
      <c r="AC355">
        <v>1</v>
      </c>
      <c r="AD355">
        <f t="shared" si="281"/>
        <v>116.58827315268</v>
      </c>
      <c r="AE355">
        <f t="shared" si="282"/>
        <v>-7.7466710315675855E-2</v>
      </c>
      <c r="AF355">
        <f t="shared" si="283"/>
        <v>2.1483781337024999E-2</v>
      </c>
      <c r="AG355">
        <f t="shared" si="298"/>
        <v>375.58779829769958</v>
      </c>
      <c r="AH355">
        <f t="shared" si="299"/>
        <v>-1400.8498176698495</v>
      </c>
      <c r="AJ355">
        <f t="shared" si="284"/>
        <v>18000</v>
      </c>
      <c r="AK355">
        <f t="shared" si="285"/>
        <v>105248.38032324001</v>
      </c>
      <c r="AL355">
        <v>1</v>
      </c>
      <c r="AM355">
        <f t="shared" si="286"/>
        <v>181.26109944557999</v>
      </c>
      <c r="AN355">
        <f t="shared" si="300"/>
        <v>581.17532455035848</v>
      </c>
      <c r="AO355">
        <f t="shared" si="301"/>
        <v>-96.097975399731567</v>
      </c>
      <c r="AQ355">
        <f t="shared" si="287"/>
        <v>5.0299255420122018E-3</v>
      </c>
      <c r="AR355">
        <f t="shared" si="288"/>
        <v>-7.0921950142372046</v>
      </c>
      <c r="AT355">
        <f t="shared" si="313"/>
        <v>-9933.210913913279</v>
      </c>
      <c r="AU355">
        <f t="shared" si="314"/>
        <v>-2670.7880807736942</v>
      </c>
      <c r="AV355">
        <f t="shared" si="302"/>
        <v>-2.8789300515518383</v>
      </c>
      <c r="AW355">
        <f t="shared" si="303"/>
        <v>303.12366887964635</v>
      </c>
      <c r="AX355">
        <f t="shared" si="304"/>
        <v>-5873.1287916582733</v>
      </c>
      <c r="AY355">
        <f t="shared" si="312"/>
        <v>-1.5192301248646882</v>
      </c>
      <c r="BA355">
        <f t="shared" si="289"/>
        <v>1.7490382714824879</v>
      </c>
      <c r="BB355">
        <f t="shared" si="305"/>
        <v>4.855986251458158</v>
      </c>
      <c r="BC355">
        <f t="shared" si="306"/>
        <v>-1.3596999266871501</v>
      </c>
      <c r="BD355">
        <f t="shared" si="290"/>
        <v>-257.90506729244066</v>
      </c>
      <c r="BF355">
        <f t="shared" si="291"/>
        <v>-44.525647428198965</v>
      </c>
      <c r="BG355">
        <f t="shared" si="292"/>
        <v>-177.47692409651864</v>
      </c>
      <c r="BH355">
        <f t="shared" si="307"/>
        <v>2.5230759034813559</v>
      </c>
      <c r="BI355">
        <f t="shared" si="308"/>
        <v>2.5230759034813559</v>
      </c>
      <c r="BJ355">
        <f t="shared" si="293"/>
        <v>0</v>
      </c>
      <c r="BK355">
        <f t="shared" si="309"/>
        <v>0</v>
      </c>
      <c r="BM355">
        <f t="shared" si="310"/>
        <v>-49.381633679657128</v>
      </c>
      <c r="BN355">
        <f t="shared" si="294"/>
        <v>-99.571856804077981</v>
      </c>
      <c r="BQ355" s="56">
        <f t="shared" si="311"/>
        <v>21.757947051743294</v>
      </c>
      <c r="BR355" s="59"/>
      <c r="BS355" s="59"/>
      <c r="BT355" s="59">
        <v>281838.29300000001</v>
      </c>
      <c r="BU355" s="59">
        <v>15.1486</v>
      </c>
      <c r="BV355" s="59">
        <v>-177.72399999999999</v>
      </c>
      <c r="BY355" s="59"/>
      <c r="BZ355" s="59"/>
      <c r="CA355" s="59"/>
      <c r="CC355" s="59"/>
    </row>
    <row r="356" spans="1:81" x14ac:dyDescent="0.25">
      <c r="A356">
        <f t="shared" si="263"/>
        <v>710000</v>
      </c>
      <c r="B356">
        <f t="shared" si="295"/>
        <v>710</v>
      </c>
      <c r="C356">
        <f t="shared" si="264"/>
        <v>5.9729075697259502</v>
      </c>
      <c r="D356">
        <f t="shared" si="265"/>
        <v>1.4025814930727216</v>
      </c>
      <c r="F356">
        <f t="shared" si="266"/>
        <v>3.7625751979390113E-5</v>
      </c>
      <c r="G356">
        <f t="shared" si="267"/>
        <v>2.3084438593592212E-3</v>
      </c>
      <c r="H356">
        <f t="shared" si="268"/>
        <v>-3.139284206140641</v>
      </c>
      <c r="J356">
        <f t="shared" si="269"/>
        <v>15</v>
      </c>
      <c r="M356">
        <f t="shared" si="270"/>
        <v>2.5677192661496921E-3</v>
      </c>
      <c r="N356">
        <f t="shared" si="271"/>
        <v>-1.5707963250000001</v>
      </c>
      <c r="O356">
        <f t="shared" si="272"/>
        <v>117.41939865554504</v>
      </c>
      <c r="P356">
        <f t="shared" si="273"/>
        <v>1.5622797435024343</v>
      </c>
      <c r="Q356">
        <f t="shared" si="274"/>
        <v>182.54937816346143</v>
      </c>
      <c r="R356">
        <f t="shared" si="275"/>
        <v>1.5653183294908952</v>
      </c>
      <c r="S356">
        <f t="shared" si="276"/>
        <v>0.16742264773500964</v>
      </c>
      <c r="T356">
        <f t="shared" si="277"/>
        <v>-1.4025814930727216</v>
      </c>
      <c r="U356">
        <f t="shared" si="278"/>
        <v>0.26549365132102387</v>
      </c>
      <c r="V356">
        <f t="shared" si="279"/>
        <v>-1.3020804139244939</v>
      </c>
      <c r="X356">
        <f t="shared" si="296"/>
        <v>-41.674033253535029</v>
      </c>
      <c r="Y356">
        <f t="shared" si="280"/>
        <v>-165.27327849870193</v>
      </c>
      <c r="Z356">
        <f t="shared" si="297"/>
        <v>14.726721501298073</v>
      </c>
      <c r="AC356">
        <v>1</v>
      </c>
      <c r="AD356">
        <f t="shared" si="281"/>
        <v>117.41514033816001</v>
      </c>
      <c r="AE356">
        <f t="shared" si="282"/>
        <v>-7.8569425421522454E-2</v>
      </c>
      <c r="AF356">
        <f t="shared" si="283"/>
        <v>2.1636148580549998E-2</v>
      </c>
      <c r="AG356">
        <f t="shared" si="298"/>
        <v>370.68801642799224</v>
      </c>
      <c r="AH356">
        <f t="shared" si="299"/>
        <v>-1392.333961344309</v>
      </c>
      <c r="AJ356">
        <f t="shared" si="284"/>
        <v>18000</v>
      </c>
      <c r="AK356">
        <f t="shared" si="285"/>
        <v>105994.82273688</v>
      </c>
      <c r="AL356">
        <v>1</v>
      </c>
      <c r="AM356">
        <f t="shared" si="286"/>
        <v>182.54663915795999</v>
      </c>
      <c r="AN356">
        <f t="shared" si="300"/>
        <v>581.16788397803737</v>
      </c>
      <c r="AO356">
        <f t="shared" si="301"/>
        <v>-95.421269853942476</v>
      </c>
      <c r="AQ356">
        <f t="shared" si="287"/>
        <v>4.9593310060846033E-3</v>
      </c>
      <c r="AR356">
        <f t="shared" si="288"/>
        <v>-7.0422500286401366</v>
      </c>
      <c r="AT356">
        <f t="shared" si="313"/>
        <v>-9803.3255145801395</v>
      </c>
      <c r="AU356">
        <f t="shared" si="314"/>
        <v>-2617.3827392919029</v>
      </c>
      <c r="AV356">
        <f t="shared" si="302"/>
        <v>-2.8806890987761564</v>
      </c>
      <c r="AW356">
        <f t="shared" si="303"/>
        <v>307.41508690419181</v>
      </c>
      <c r="AX356">
        <f t="shared" si="304"/>
        <v>-5833.1504075339453</v>
      </c>
      <c r="AY356">
        <f t="shared" si="312"/>
        <v>-1.5181436553812648</v>
      </c>
      <c r="BA356">
        <f t="shared" si="289"/>
        <v>1.7370812544840522</v>
      </c>
      <c r="BB356">
        <f t="shared" si="305"/>
        <v>4.7964026734751739</v>
      </c>
      <c r="BC356">
        <f t="shared" si="306"/>
        <v>-1.3625454433948916</v>
      </c>
      <c r="BD356">
        <f t="shared" si="290"/>
        <v>-258.06810339051452</v>
      </c>
      <c r="BF356">
        <f t="shared" si="291"/>
        <v>-44.648352494976542</v>
      </c>
      <c r="BG356">
        <f t="shared" si="292"/>
        <v>-177.57383923192776</v>
      </c>
      <c r="BH356">
        <f t="shared" si="307"/>
        <v>2.4261607680722364</v>
      </c>
      <c r="BI356">
        <f t="shared" si="308"/>
        <v>2.4261607680722364</v>
      </c>
      <c r="BJ356">
        <f t="shared" si="293"/>
        <v>0</v>
      </c>
      <c r="BK356">
        <f t="shared" si="309"/>
        <v>0</v>
      </c>
      <c r="BM356">
        <f t="shared" si="310"/>
        <v>-49.444755168451721</v>
      </c>
      <c r="BN356">
        <f t="shared" si="294"/>
        <v>-99.505735841413255</v>
      </c>
      <c r="BQ356" s="56">
        <f t="shared" si="311"/>
        <v>21.69836347376031</v>
      </c>
      <c r="BR356" s="59"/>
      <c r="BS356" s="59"/>
      <c r="BT356" s="59">
        <v>288403.15000000002</v>
      </c>
      <c r="BU356" s="59">
        <v>14.961</v>
      </c>
      <c r="BV356" s="59">
        <v>-178.92099999999999</v>
      </c>
      <c r="BY356" s="59"/>
      <c r="BZ356" s="59"/>
      <c r="CA356" s="59"/>
      <c r="CC356" s="59"/>
    </row>
    <row r="357" spans="1:81" x14ac:dyDescent="0.25">
      <c r="A357">
        <f t="shared" si="263"/>
        <v>715000</v>
      </c>
      <c r="B357">
        <f t="shared" si="295"/>
        <v>715</v>
      </c>
      <c r="C357">
        <f t="shared" si="264"/>
        <v>6.0137952740811311</v>
      </c>
      <c r="D357">
        <f t="shared" si="265"/>
        <v>1.4037359811874912</v>
      </c>
      <c r="F357">
        <f t="shared" si="266"/>
        <v>3.7101339473638391E-5</v>
      </c>
      <c r="G357">
        <f t="shared" si="267"/>
        <v>2.292299742917957E-3</v>
      </c>
      <c r="H357">
        <f t="shared" si="268"/>
        <v>-3.1393003502570824</v>
      </c>
      <c r="J357">
        <f t="shared" si="269"/>
        <v>15</v>
      </c>
      <c r="M357">
        <f t="shared" si="270"/>
        <v>2.5497631873654288E-3</v>
      </c>
      <c r="N357">
        <f t="shared" si="271"/>
        <v>-1.5707963250000001</v>
      </c>
      <c r="O357">
        <f t="shared" si="272"/>
        <v>118.24623606365043</v>
      </c>
      <c r="P357">
        <f t="shared" si="273"/>
        <v>1.5623392971792887</v>
      </c>
      <c r="Q357">
        <f t="shared" si="274"/>
        <v>183.83489872224121</v>
      </c>
      <c r="R357">
        <f t="shared" si="275"/>
        <v>1.5653566364060048</v>
      </c>
      <c r="S357">
        <f t="shared" si="276"/>
        <v>0.16628434365065639</v>
      </c>
      <c r="T357">
        <f t="shared" si="277"/>
        <v>-1.4037359811874912</v>
      </c>
      <c r="U357">
        <f t="shared" si="278"/>
        <v>0.26376664419722073</v>
      </c>
      <c r="V357">
        <f t="shared" si="279"/>
        <v>-1.3038712652146229</v>
      </c>
      <c r="X357">
        <f t="shared" si="296"/>
        <v>-41.791682907942381</v>
      </c>
      <c r="Y357">
        <f t="shared" si="280"/>
        <v>-165.37120471030963</v>
      </c>
      <c r="Z357">
        <f t="shared" si="297"/>
        <v>14.628795289690373</v>
      </c>
      <c r="AC357">
        <v>1</v>
      </c>
      <c r="AD357">
        <f t="shared" si="281"/>
        <v>118.24200752364</v>
      </c>
      <c r="AE357">
        <f t="shared" si="282"/>
        <v>-7.9679933566986341E-2</v>
      </c>
      <c r="AF357">
        <f t="shared" si="283"/>
        <v>2.1788515824075001E-2</v>
      </c>
      <c r="AG357">
        <f t="shared" si="298"/>
        <v>365.88113167753812</v>
      </c>
      <c r="AH357">
        <f t="shared" si="299"/>
        <v>-1383.9118051428884</v>
      </c>
      <c r="AJ357">
        <f t="shared" si="284"/>
        <v>18000</v>
      </c>
      <c r="AK357">
        <f t="shared" si="285"/>
        <v>106741.26515052002</v>
      </c>
      <c r="AL357">
        <v>1</v>
      </c>
      <c r="AM357">
        <f t="shared" si="286"/>
        <v>183.83217887033999</v>
      </c>
      <c r="AN357">
        <f t="shared" si="300"/>
        <v>581.16059894904777</v>
      </c>
      <c r="AO357">
        <f t="shared" si="301"/>
        <v>-94.75402787526528</v>
      </c>
      <c r="AQ357">
        <f t="shared" si="287"/>
        <v>4.8902122890056784E-3</v>
      </c>
      <c r="AR357">
        <f t="shared" si="288"/>
        <v>-6.9930035732781199</v>
      </c>
      <c r="AT357">
        <f t="shared" si="313"/>
        <v>-9675.9109620595464</v>
      </c>
      <c r="AU357">
        <f t="shared" si="314"/>
        <v>-2565.3756837324759</v>
      </c>
      <c r="AV357">
        <f t="shared" si="302"/>
        <v>-2.8824253210398174</v>
      </c>
      <c r="AW357">
        <f t="shared" si="303"/>
        <v>311.60661710928042</v>
      </c>
      <c r="AX357">
        <f t="shared" si="304"/>
        <v>-5793.7052631673087</v>
      </c>
      <c r="AY357">
        <f t="shared" si="312"/>
        <v>-1.5170644464424241</v>
      </c>
      <c r="BA357">
        <f t="shared" si="289"/>
        <v>1.7252807575268907</v>
      </c>
      <c r="BB357">
        <f t="shared" si="305"/>
        <v>4.7371955710623777</v>
      </c>
      <c r="BC357">
        <f t="shared" si="306"/>
        <v>-1.3653608745973933</v>
      </c>
      <c r="BD357">
        <f t="shared" si="290"/>
        <v>-258.22941571611165</v>
      </c>
      <c r="BF357">
        <f t="shared" si="291"/>
        <v>-44.770214673199931</v>
      </c>
      <c r="BG357">
        <f t="shared" si="292"/>
        <v>-177.6699292507121</v>
      </c>
      <c r="BH357">
        <f t="shared" si="307"/>
        <v>2.3300707492878985</v>
      </c>
      <c r="BI357">
        <f t="shared" si="308"/>
        <v>2.3300707492878985</v>
      </c>
      <c r="BJ357">
        <f t="shared" si="293"/>
        <v>0</v>
      </c>
      <c r="BK357">
        <f t="shared" si="309"/>
        <v>0</v>
      </c>
      <c r="BM357">
        <f t="shared" si="310"/>
        <v>-49.507410244262303</v>
      </c>
      <c r="BN357">
        <f t="shared" si="294"/>
        <v>-99.440513534600484</v>
      </c>
      <c r="BQ357" s="56">
        <f t="shared" si="311"/>
        <v>21.639156371347514</v>
      </c>
      <c r="BR357" s="59"/>
      <c r="BS357" s="59"/>
      <c r="BT357" s="59">
        <v>295120.92300000001</v>
      </c>
      <c r="BU357" s="59">
        <v>14.946199999999999</v>
      </c>
      <c r="BV357" s="59">
        <v>-181.99</v>
      </c>
      <c r="BW357" s="61"/>
      <c r="BY357" s="59"/>
      <c r="BZ357" s="59"/>
      <c r="CA357" s="59"/>
      <c r="CC357" s="59"/>
    </row>
    <row r="358" spans="1:81" x14ac:dyDescent="0.25">
      <c r="A358">
        <f t="shared" si="263"/>
        <v>720000</v>
      </c>
      <c r="B358">
        <f t="shared" si="295"/>
        <v>720</v>
      </c>
      <c r="C358">
        <f t="shared" si="264"/>
        <v>6.0546908856163233</v>
      </c>
      <c r="D358">
        <f t="shared" si="265"/>
        <v>1.4048748751275841</v>
      </c>
      <c r="F358">
        <f t="shared" si="266"/>
        <v>3.6587814747499868E-5</v>
      </c>
      <c r="G358">
        <f t="shared" si="267"/>
        <v>2.2763798740757313E-3</v>
      </c>
      <c r="H358">
        <f t="shared" si="268"/>
        <v>-3.1393162701259243</v>
      </c>
      <c r="J358">
        <f t="shared" si="269"/>
        <v>15</v>
      </c>
      <c r="M358">
        <f t="shared" si="270"/>
        <v>2.5320564985642801E-3</v>
      </c>
      <c r="N358">
        <f t="shared" si="271"/>
        <v>-1.5707963250000001</v>
      </c>
      <c r="O358">
        <f t="shared" si="272"/>
        <v>119.07307388530842</v>
      </c>
      <c r="P358">
        <f t="shared" si="273"/>
        <v>1.56239802378049</v>
      </c>
      <c r="Q358">
        <f t="shared" si="274"/>
        <v>185.1204195470373</v>
      </c>
      <c r="R358">
        <f t="shared" si="275"/>
        <v>1.565394411296261</v>
      </c>
      <c r="S358">
        <f t="shared" si="276"/>
        <v>0.16516119796893769</v>
      </c>
      <c r="T358">
        <f t="shared" si="277"/>
        <v>-1.4048748751275841</v>
      </c>
      <c r="U358">
        <f t="shared" si="278"/>
        <v>0.26206113560842309</v>
      </c>
      <c r="V358">
        <f t="shared" si="279"/>
        <v>-1.3056389629129188</v>
      </c>
      <c r="X358">
        <f t="shared" si="296"/>
        <v>-41.908567356070847</v>
      </c>
      <c r="Y358">
        <f t="shared" si="280"/>
        <v>-165.46786934110523</v>
      </c>
      <c r="Z358">
        <f t="shared" si="297"/>
        <v>14.532130658894772</v>
      </c>
      <c r="AC358">
        <v>1</v>
      </c>
      <c r="AD358">
        <f t="shared" si="281"/>
        <v>119.06887470912</v>
      </c>
      <c r="AE358">
        <f t="shared" si="282"/>
        <v>-8.079823475206753E-2</v>
      </c>
      <c r="AF358">
        <f t="shared" si="283"/>
        <v>2.19408830676E-2</v>
      </c>
      <c r="AG358">
        <f t="shared" si="298"/>
        <v>361.16487207001535</v>
      </c>
      <c r="AH358">
        <f t="shared" si="299"/>
        <v>-1375.5820139382809</v>
      </c>
      <c r="AJ358">
        <f t="shared" si="284"/>
        <v>18000</v>
      </c>
      <c r="AK358">
        <f t="shared" si="285"/>
        <v>107487.70756416001</v>
      </c>
      <c r="AL358">
        <v>1</v>
      </c>
      <c r="AM358">
        <f t="shared" si="286"/>
        <v>185.11771858271999</v>
      </c>
      <c r="AN358">
        <f t="shared" si="300"/>
        <v>581.15346515798979</v>
      </c>
      <c r="AO358">
        <f t="shared" si="301"/>
        <v>-94.096052329309487</v>
      </c>
      <c r="AQ358">
        <f t="shared" si="287"/>
        <v>4.822528538518259E-3</v>
      </c>
      <c r="AR358">
        <f t="shared" si="288"/>
        <v>-6.944441095466293</v>
      </c>
      <c r="AT358">
        <f t="shared" si="313"/>
        <v>-9550.9065398746152</v>
      </c>
      <c r="AU358">
        <f t="shared" si="314"/>
        <v>-2514.7219633611307</v>
      </c>
      <c r="AV358">
        <f t="shared" si="302"/>
        <v>-2.8841391483894103</v>
      </c>
      <c r="AW358">
        <f t="shared" si="303"/>
        <v>315.70134401823782</v>
      </c>
      <c r="AX358">
        <f t="shared" si="304"/>
        <v>-5754.7828744684193</v>
      </c>
      <c r="AY358">
        <f t="shared" si="312"/>
        <v>-1.5159923107239759</v>
      </c>
      <c r="BA358">
        <f t="shared" si="289"/>
        <v>1.7136337909375032</v>
      </c>
      <c r="BB358">
        <f t="shared" si="305"/>
        <v>4.6783603474517523</v>
      </c>
      <c r="BC358">
        <f t="shared" si="306"/>
        <v>-1.3681468376654344</v>
      </c>
      <c r="BD358">
        <f t="shared" si="290"/>
        <v>-258.38903964197209</v>
      </c>
      <c r="BF358">
        <f t="shared" si="291"/>
        <v>-44.891245527634787</v>
      </c>
      <c r="BG358">
        <f t="shared" si="292"/>
        <v>-177.76521150171374</v>
      </c>
      <c r="BH358">
        <f t="shared" si="307"/>
        <v>2.2347884982862638</v>
      </c>
      <c r="BI358">
        <f t="shared" si="308"/>
        <v>2.2347884982862638</v>
      </c>
      <c r="BJ358">
        <f t="shared" si="293"/>
        <v>0</v>
      </c>
      <c r="BK358">
        <f t="shared" si="309"/>
        <v>0</v>
      </c>
      <c r="BM358">
        <f t="shared" si="310"/>
        <v>-49.569605875086538</v>
      </c>
      <c r="BN358">
        <f t="shared" si="294"/>
        <v>-99.376171859741646</v>
      </c>
      <c r="BQ358" s="56">
        <f t="shared" si="311"/>
        <v>21.580321147736889</v>
      </c>
      <c r="BR358" s="59"/>
      <c r="BS358" s="59"/>
      <c r="BT358" s="59">
        <v>301995.17200000002</v>
      </c>
      <c r="BU358" s="59">
        <v>15.1762</v>
      </c>
      <c r="BV358" s="59">
        <v>-183.36099999999999</v>
      </c>
      <c r="BW358" s="61"/>
      <c r="BY358" s="59"/>
      <c r="BZ358" s="59"/>
      <c r="CA358" s="59"/>
      <c r="CC358" s="59"/>
    </row>
    <row r="359" spans="1:81" x14ac:dyDescent="0.25">
      <c r="A359">
        <f t="shared" si="263"/>
        <v>725000</v>
      </c>
      <c r="B359">
        <f t="shared" si="295"/>
        <v>725</v>
      </c>
      <c r="C359">
        <f t="shared" si="264"/>
        <v>6.0955942451826663</v>
      </c>
      <c r="D359">
        <f t="shared" si="265"/>
        <v>1.4059984858338828</v>
      </c>
      <c r="F359">
        <f t="shared" si="266"/>
        <v>3.6084878469596046E-5</v>
      </c>
      <c r="G359">
        <f t="shared" si="267"/>
        <v>2.2606796125783468E-3</v>
      </c>
      <c r="H359">
        <f t="shared" si="268"/>
        <v>-3.1393319703874218</v>
      </c>
      <c r="J359">
        <f t="shared" si="269"/>
        <v>15</v>
      </c>
      <c r="M359">
        <f t="shared" si="270"/>
        <v>2.5145940399534921E-3</v>
      </c>
      <c r="N359">
        <f t="shared" si="271"/>
        <v>-1.5707963250000001</v>
      </c>
      <c r="O359">
        <f t="shared" si="272"/>
        <v>119.89991211196339</v>
      </c>
      <c r="P359">
        <f t="shared" si="273"/>
        <v>1.5624559404163443</v>
      </c>
      <c r="Q359">
        <f t="shared" si="274"/>
        <v>186.40594063234616</v>
      </c>
      <c r="R359">
        <f t="shared" si="275"/>
        <v>1.5654316651686477</v>
      </c>
      <c r="S359">
        <f t="shared" si="276"/>
        <v>0.16405291424872939</v>
      </c>
      <c r="T359">
        <f t="shared" si="277"/>
        <v>-1.4059984858338825</v>
      </c>
      <c r="U359">
        <f t="shared" si="278"/>
        <v>0.26037674287947582</v>
      </c>
      <c r="V359">
        <f t="shared" si="279"/>
        <v>-1.3073839423221121</v>
      </c>
      <c r="X359">
        <f t="shared" si="296"/>
        <v>-42.024696168895858</v>
      </c>
      <c r="Y359">
        <f t="shared" si="280"/>
        <v>-165.56329598696303</v>
      </c>
      <c r="Z359">
        <f t="shared" si="297"/>
        <v>14.436704013036973</v>
      </c>
      <c r="AC359">
        <v>1</v>
      </c>
      <c r="AD359">
        <f t="shared" si="281"/>
        <v>119.89574189460001</v>
      </c>
      <c r="AE359">
        <f t="shared" si="282"/>
        <v>-8.1924328976766006E-2</v>
      </c>
      <c r="AF359">
        <f t="shared" si="283"/>
        <v>2.2093250311124999E-2</v>
      </c>
      <c r="AG359">
        <f t="shared" si="298"/>
        <v>356.53703265198146</v>
      </c>
      <c r="AH359">
        <f t="shared" si="299"/>
        <v>-1367.3432713596335</v>
      </c>
      <c r="AJ359">
        <f t="shared" si="284"/>
        <v>18000</v>
      </c>
      <c r="AK359">
        <f t="shared" si="285"/>
        <v>108234.14997780001</v>
      </c>
      <c r="AL359">
        <v>1</v>
      </c>
      <c r="AM359">
        <f t="shared" si="286"/>
        <v>186.40325829509999</v>
      </c>
      <c r="AN359">
        <f t="shared" si="300"/>
        <v>581.14647844740341</v>
      </c>
      <c r="AO359">
        <f t="shared" si="301"/>
        <v>-93.447151519080961</v>
      </c>
      <c r="AQ359">
        <f t="shared" si="287"/>
        <v>4.7562403061877263E-3</v>
      </c>
      <c r="AR359">
        <f t="shared" si="288"/>
        <v>-6.8965484439722022</v>
      </c>
      <c r="AT359">
        <f t="shared" si="313"/>
        <v>-9428.2533346657929</v>
      </c>
      <c r="AU359">
        <f t="shared" si="314"/>
        <v>-2465.3783309341243</v>
      </c>
      <c r="AV359">
        <f t="shared" si="302"/>
        <v>-2.8858310004324861</v>
      </c>
      <c r="AW359">
        <f t="shared" si="303"/>
        <v>319.70223437288968</v>
      </c>
      <c r="AX359">
        <f t="shared" si="304"/>
        <v>-5716.3730284141002</v>
      </c>
      <c r="AY359">
        <f t="shared" si="312"/>
        <v>-1.5149270672519506</v>
      </c>
      <c r="BA359">
        <f t="shared" si="289"/>
        <v>1.7021374383586028</v>
      </c>
      <c r="BB359">
        <f t="shared" si="305"/>
        <v>4.6198924817270575</v>
      </c>
      <c r="BC359">
        <f t="shared" si="306"/>
        <v>-1.3709039331805355</v>
      </c>
      <c r="BD359">
        <f t="shared" si="290"/>
        <v>-258.54700957888235</v>
      </c>
      <c r="BF359">
        <f t="shared" si="291"/>
        <v>-45.011456390307018</v>
      </c>
      <c r="BG359">
        <f t="shared" si="292"/>
        <v>-177.85970284598588</v>
      </c>
      <c r="BH359">
        <f t="shared" si="307"/>
        <v>2.1402971540141209</v>
      </c>
      <c r="BI359">
        <f t="shared" si="308"/>
        <v>2.1402971540141209</v>
      </c>
      <c r="BJ359">
        <f t="shared" si="293"/>
        <v>0</v>
      </c>
      <c r="BK359">
        <f t="shared" si="309"/>
        <v>0</v>
      </c>
      <c r="BM359">
        <f t="shared" si="310"/>
        <v>-49.631348872034067</v>
      </c>
      <c r="BN359">
        <f t="shared" si="294"/>
        <v>-99.312693267103555</v>
      </c>
      <c r="BQ359" s="56">
        <f t="shared" si="311"/>
        <v>21.521853282012195</v>
      </c>
      <c r="BR359" s="59"/>
      <c r="BS359" s="59"/>
      <c r="BT359" s="59">
        <v>309029.54300000001</v>
      </c>
      <c r="BU359" s="59">
        <v>15.284700000000001</v>
      </c>
      <c r="BV359" s="59">
        <v>-186.209</v>
      </c>
      <c r="BW359" s="61"/>
      <c r="BY359" s="59"/>
      <c r="BZ359" s="59"/>
      <c r="CA359" s="59"/>
      <c r="CC359" s="59"/>
    </row>
    <row r="360" spans="1:81" x14ac:dyDescent="0.25">
      <c r="A360">
        <f t="shared" si="263"/>
        <v>730000</v>
      </c>
      <c r="B360">
        <f t="shared" si="295"/>
        <v>730</v>
      </c>
      <c r="C360">
        <f t="shared" si="264"/>
        <v>6.136505197844822</v>
      </c>
      <c r="D360">
        <f t="shared" si="265"/>
        <v>1.4071071161120547</v>
      </c>
      <c r="F360">
        <f t="shared" si="266"/>
        <v>3.5592241525081396E-5</v>
      </c>
      <c r="G360">
        <f t="shared" si="267"/>
        <v>2.2451944453238436E-3</v>
      </c>
      <c r="H360">
        <f t="shared" si="268"/>
        <v>-3.1393474555546765</v>
      </c>
      <c r="J360">
        <f t="shared" si="269"/>
        <v>15</v>
      </c>
      <c r="M360">
        <f t="shared" si="270"/>
        <v>2.4973707931044953E-3</v>
      </c>
      <c r="N360">
        <f t="shared" si="271"/>
        <v>-1.5707963250000001</v>
      </c>
      <c r="O360">
        <f t="shared" si="272"/>
        <v>120.72675073529402</v>
      </c>
      <c r="P360">
        <f t="shared" si="273"/>
        <v>1.5625130637284366</v>
      </c>
      <c r="Q360">
        <f t="shared" si="274"/>
        <v>187.69146197281492</v>
      </c>
      <c r="R360">
        <f t="shared" si="275"/>
        <v>1.5654684087286024</v>
      </c>
      <c r="S360">
        <f t="shared" si="276"/>
        <v>0.1629592036117245</v>
      </c>
      <c r="T360">
        <f t="shared" si="277"/>
        <v>-1.4071071161120545</v>
      </c>
      <c r="U360">
        <f t="shared" si="278"/>
        <v>0.25871309192877356</v>
      </c>
      <c r="V360">
        <f t="shared" si="279"/>
        <v>-1.309106628181042</v>
      </c>
      <c r="X360">
        <f t="shared" si="296"/>
        <v>-42.14007874462996</v>
      </c>
      <c r="Y360">
        <f t="shared" si="280"/>
        <v>-165.65750767533859</v>
      </c>
      <c r="Z360">
        <f t="shared" si="297"/>
        <v>14.342492324661407</v>
      </c>
      <c r="AC360">
        <v>1</v>
      </c>
      <c r="AD360">
        <f t="shared" si="281"/>
        <v>120.72260908008001</v>
      </c>
      <c r="AE360">
        <f t="shared" si="282"/>
        <v>-8.305821624108177E-2</v>
      </c>
      <c r="AF360">
        <f t="shared" si="283"/>
        <v>2.2245617554650002E-2</v>
      </c>
      <c r="AG360">
        <f t="shared" ref="AG360:AG423" si="315">AC360*AE360/(AE360^2+AF360^2)+AD360*AF360/(AE360^2+AF360^2)</f>
        <v>351.99547321322353</v>
      </c>
      <c r="AH360">
        <f t="shared" ref="AH360:AH423" si="316">AD360*AE360/(AE360^2+AF360^2)-AC360*AF360/(AE360^2+AF360^2)</f>
        <v>-1359.1942797607596</v>
      </c>
      <c r="AJ360">
        <f t="shared" si="284"/>
        <v>18000</v>
      </c>
      <c r="AK360">
        <f t="shared" si="285"/>
        <v>108980.59239144</v>
      </c>
      <c r="AL360">
        <v>1</v>
      </c>
      <c r="AM360">
        <f t="shared" si="286"/>
        <v>187.68879800747999</v>
      </c>
      <c r="AN360">
        <f t="shared" ref="AN360:AN423" si="317">AJ360*AL360/(AL360^2+AM360^2)+AK360*AM360/(AL360^2+AM360^2)</f>
        <v>581.13963480170969</v>
      </c>
      <c r="AO360">
        <f t="shared" ref="AO360:AO423" si="318">AK360*AL360/(AL360^2+AM360^2)-AJ360*AM360/(AL360^2+AM360^2)</f>
        <v>-92.807138998802117</v>
      </c>
      <c r="AQ360">
        <f t="shared" si="287"/>
        <v>4.691309489909228E-3</v>
      </c>
      <c r="AR360">
        <f t="shared" si="288"/>
        <v>-6.849311855267473</v>
      </c>
      <c r="AT360">
        <f t="shared" si="313"/>
        <v>-9307.894174273215</v>
      </c>
      <c r="AU360">
        <f t="shared" si="314"/>
        <v>-2417.3031687030884</v>
      </c>
      <c r="AV360">
        <f t="shared" si="302"/>
        <v>-2.8875012866426566</v>
      </c>
      <c r="AW360">
        <f t="shared" si="303"/>
        <v>323.61214245343052</v>
      </c>
      <c r="AX360">
        <f t="shared" si="304"/>
        <v>-5678.4657743699863</v>
      </c>
      <c r="AY360">
        <f t="shared" si="312"/>
        <v>-1.5138685411442665</v>
      </c>
      <c r="BA360">
        <f t="shared" si="289"/>
        <v>1.6907888546066046</v>
      </c>
      <c r="BB360">
        <f t="shared" si="305"/>
        <v>4.561787527416846</v>
      </c>
      <c r="BC360">
        <f t="shared" si="306"/>
        <v>-1.3736327454983901</v>
      </c>
      <c r="BD360">
        <f t="shared" si="290"/>
        <v>-258.70335900795737</v>
      </c>
      <c r="BF360">
        <f t="shared" si="291"/>
        <v>-45.130858366615925</v>
      </c>
      <c r="BG360">
        <f t="shared" si="292"/>
        <v>-177.95341967373844</v>
      </c>
      <c r="BH360">
        <f t="shared" si="307"/>
        <v>2.0465803262615623</v>
      </c>
      <c r="BI360">
        <f t="shared" si="308"/>
        <v>2.0465803262615623</v>
      </c>
      <c r="BJ360">
        <f t="shared" si="293"/>
        <v>0</v>
      </c>
      <c r="BK360">
        <f t="shared" si="309"/>
        <v>0</v>
      </c>
      <c r="BM360">
        <f t="shared" si="310"/>
        <v>-49.692645894032772</v>
      </c>
      <c r="BN360">
        <f t="shared" si="294"/>
        <v>-99.250060665781078</v>
      </c>
      <c r="BQ360" s="56">
        <f t="shared" si="311"/>
        <v>21.463748327701985</v>
      </c>
      <c r="BR360" s="59"/>
      <c r="BS360" s="59"/>
      <c r="BT360" s="59">
        <v>316227.766</v>
      </c>
      <c r="BU360" s="59">
        <v>15.331799999999999</v>
      </c>
      <c r="BV360" s="59">
        <v>-189.75</v>
      </c>
      <c r="BW360" s="61"/>
      <c r="BY360" s="59"/>
      <c r="BZ360" s="59"/>
      <c r="CA360" s="59"/>
      <c r="CC360" s="59"/>
    </row>
    <row r="361" spans="1:81" x14ac:dyDescent="0.25">
      <c r="A361">
        <f t="shared" si="263"/>
        <v>735000</v>
      </c>
      <c r="B361">
        <f t="shared" si="295"/>
        <v>735</v>
      </c>
      <c r="C361">
        <f t="shared" si="264"/>
        <v>6.1774235927434056</v>
      </c>
      <c r="D361">
        <f t="shared" si="265"/>
        <v>1.4082010608943369</v>
      </c>
      <c r="F361">
        <f t="shared" si="266"/>
        <v>3.5109624600034676E-5</v>
      </c>
      <c r="G361">
        <f t="shared" si="267"/>
        <v>2.2299199820367114E-3</v>
      </c>
      <c r="H361">
        <f t="shared" si="268"/>
        <v>-3.1393627300179636</v>
      </c>
      <c r="J361">
        <f t="shared" si="269"/>
        <v>15</v>
      </c>
      <c r="M361">
        <f t="shared" si="270"/>
        <v>2.4803818761446007E-3</v>
      </c>
      <c r="N361">
        <f t="shared" si="271"/>
        <v>-1.5707963250000001</v>
      </c>
      <c r="O361">
        <f t="shared" si="272"/>
        <v>121.55358974720548</v>
      </c>
      <c r="P361">
        <f t="shared" si="273"/>
        <v>1.562569409905572</v>
      </c>
      <c r="Q361">
        <f t="shared" si="274"/>
        <v>188.97698356323633</v>
      </c>
      <c r="R361">
        <f t="shared" si="275"/>
        <v>1.5655046523902711</v>
      </c>
      <c r="S361">
        <f t="shared" si="276"/>
        <v>0.16187978450671511</v>
      </c>
      <c r="T361">
        <f t="shared" si="277"/>
        <v>-1.4082010608943369</v>
      </c>
      <c r="U361">
        <f t="shared" si="278"/>
        <v>0.25706981704321535</v>
      </c>
      <c r="V361">
        <f t="shared" si="279"/>
        <v>-1.3108074349741226</v>
      </c>
      <c r="X361">
        <f t="shared" si="296"/>
        <v>-42.254724312725216</v>
      </c>
      <c r="Y361">
        <f t="shared" si="280"/>
        <v>-165.75052688174696</v>
      </c>
      <c r="Z361">
        <f t="shared" si="297"/>
        <v>14.249473118253036</v>
      </c>
      <c r="AC361">
        <v>1</v>
      </c>
      <c r="AD361">
        <f t="shared" si="281"/>
        <v>121.54947626556</v>
      </c>
      <c r="AE361">
        <f t="shared" si="282"/>
        <v>-8.4199896545014821E-2</v>
      </c>
      <c r="AF361">
        <f t="shared" si="283"/>
        <v>2.2397984798175001E-2</v>
      </c>
      <c r="AG361">
        <f t="shared" si="315"/>
        <v>347.5381160934146</v>
      </c>
      <c r="AH361">
        <f t="shared" si="316"/>
        <v>-1351.1337601667037</v>
      </c>
      <c r="AJ361">
        <f t="shared" si="284"/>
        <v>18000</v>
      </c>
      <c r="AK361">
        <f t="shared" si="285"/>
        <v>109727.03480507999</v>
      </c>
      <c r="AL361">
        <v>1</v>
      </c>
      <c r="AM361">
        <f t="shared" si="286"/>
        <v>188.97433771985999</v>
      </c>
      <c r="AN361">
        <f t="shared" si="317"/>
        <v>581.1329303414409</v>
      </c>
      <c r="AO361">
        <f t="shared" si="318"/>
        <v>-92.175833395329576</v>
      </c>
      <c r="AQ361">
        <f t="shared" si="287"/>
        <v>4.627699279143283E-3</v>
      </c>
      <c r="AR361">
        <f t="shared" si="288"/>
        <v>-6.8027179403406262</v>
      </c>
      <c r="AT361">
        <f t="shared" si="313"/>
        <v>-9189.7735681966042</v>
      </c>
      <c r="AU361">
        <f t="shared" si="314"/>
        <v>-2370.4564180288044</v>
      </c>
      <c r="AV361">
        <f t="shared" si="302"/>
        <v>-2.8891504066544367</v>
      </c>
      <c r="AW361">
        <f t="shared" si="303"/>
        <v>327.43381512250573</v>
      </c>
      <c r="AX361">
        <f t="shared" si="304"/>
        <v>-5641.051415744485</v>
      </c>
      <c r="AY361">
        <f t="shared" si="312"/>
        <v>-1.512816563364545</v>
      </c>
      <c r="BA361">
        <f t="shared" si="289"/>
        <v>1.6795852635994768</v>
      </c>
      <c r="BB361">
        <f t="shared" si="305"/>
        <v>4.5040411111076786</v>
      </c>
      <c r="BC361">
        <f t="shared" si="306"/>
        <v>-1.3763338432898917</v>
      </c>
      <c r="BD361">
        <f t="shared" si="290"/>
        <v>-258.85812051163936</v>
      </c>
      <c r="BF361">
        <f t="shared" si="291"/>
        <v>-45.249462341251636</v>
      </c>
      <c r="BG361">
        <f t="shared" si="292"/>
        <v>-178.04637792058537</v>
      </c>
      <c r="BH361">
        <f t="shared" si="307"/>
        <v>1.9536220794146288</v>
      </c>
      <c r="BI361">
        <f t="shared" si="308"/>
        <v>1.9536220794146288</v>
      </c>
      <c r="BJ361">
        <f t="shared" si="293"/>
        <v>0</v>
      </c>
      <c r="BK361">
        <f t="shared" si="309"/>
        <v>0</v>
      </c>
      <c r="BM361">
        <f t="shared" si="310"/>
        <v>-49.753503452359318</v>
      </c>
      <c r="BN361">
        <f t="shared" si="294"/>
        <v>-99.188257408945987</v>
      </c>
      <c r="BQ361" s="56">
        <f t="shared" si="311"/>
        <v>21.406001911392813</v>
      </c>
      <c r="BR361" s="59"/>
      <c r="BS361" s="59"/>
      <c r="BT361" s="59">
        <v>323593.65700000001</v>
      </c>
      <c r="BU361" s="59">
        <v>15.3347</v>
      </c>
      <c r="BV361" s="59">
        <v>-192.398</v>
      </c>
      <c r="BW361" s="61"/>
      <c r="BY361" s="59"/>
      <c r="BZ361" s="59"/>
      <c r="CA361" s="59"/>
      <c r="CC361" s="59"/>
    </row>
    <row r="362" spans="1:81" x14ac:dyDescent="0.25">
      <c r="A362">
        <f t="shared" si="263"/>
        <v>740000</v>
      </c>
      <c r="B362">
        <f t="shared" si="295"/>
        <v>740</v>
      </c>
      <c r="C362">
        <f t="shared" si="264"/>
        <v>6.2183492829627216</v>
      </c>
      <c r="D362">
        <f t="shared" si="265"/>
        <v>1.4092806074913753</v>
      </c>
      <c r="F362">
        <f t="shared" si="266"/>
        <v>3.4636757785442331E-5</v>
      </c>
      <c r="G362">
        <f t="shared" si="267"/>
        <v>2.2148519511175002E-3</v>
      </c>
      <c r="H362">
        <f t="shared" si="268"/>
        <v>-3.1393777980488826</v>
      </c>
      <c r="J362">
        <f t="shared" si="269"/>
        <v>15</v>
      </c>
      <c r="M362">
        <f t="shared" si="270"/>
        <v>2.4636225391436238E-3</v>
      </c>
      <c r="N362">
        <f t="shared" si="271"/>
        <v>-1.5707963250000001</v>
      </c>
      <c r="O362">
        <f t="shared" si="272"/>
        <v>122.38042913982164</v>
      </c>
      <c r="P362">
        <f t="shared" si="273"/>
        <v>1.5626249946990689</v>
      </c>
      <c r="Q362">
        <f t="shared" si="274"/>
        <v>190.26250539854399</v>
      </c>
      <c r="R362">
        <f t="shared" si="275"/>
        <v>1.5655404062863505</v>
      </c>
      <c r="S362">
        <f t="shared" si="276"/>
        <v>0.16081438248247643</v>
      </c>
      <c r="T362">
        <f t="shared" si="277"/>
        <v>-1.4092806074913753</v>
      </c>
      <c r="U362">
        <f t="shared" si="278"/>
        <v>0.2554465606595695</v>
      </c>
      <c r="V362">
        <f t="shared" si="279"/>
        <v>-1.312486767230344</v>
      </c>
      <c r="X362">
        <f t="shared" si="296"/>
        <v>-42.368641937763904</v>
      </c>
      <c r="Y362">
        <f t="shared" si="280"/>
        <v>-165.84237554569185</v>
      </c>
      <c r="Z362">
        <f t="shared" si="297"/>
        <v>14.157624454308149</v>
      </c>
      <c r="AC362">
        <v>1</v>
      </c>
      <c r="AD362">
        <f t="shared" si="281"/>
        <v>122.37634345104001</v>
      </c>
      <c r="AE362">
        <f t="shared" si="282"/>
        <v>-8.534936988856516E-2</v>
      </c>
      <c r="AF362">
        <f t="shared" si="283"/>
        <v>2.25503520417E-2</v>
      </c>
      <c r="AG362">
        <f t="shared" si="315"/>
        <v>343.16294407155533</v>
      </c>
      <c r="AH362">
        <f t="shared" si="316"/>
        <v>-1343.1604522005855</v>
      </c>
      <c r="AJ362">
        <f t="shared" si="284"/>
        <v>18000</v>
      </c>
      <c r="AK362">
        <f t="shared" si="285"/>
        <v>110473.47721872001</v>
      </c>
      <c r="AL362">
        <v>1</v>
      </c>
      <c r="AM362">
        <f t="shared" si="286"/>
        <v>190.25987743223999</v>
      </c>
      <c r="AN362">
        <f t="shared" si="317"/>
        <v>581.12636131774002</v>
      </c>
      <c r="AO362">
        <f t="shared" si="318"/>
        <v>-91.553058236810315</v>
      </c>
      <c r="AQ362">
        <f t="shared" si="287"/>
        <v>4.5653741027327872E-3</v>
      </c>
      <c r="AR362">
        <f t="shared" si="288"/>
        <v>-6.7567536720445256</v>
      </c>
      <c r="AT362">
        <f t="shared" si="313"/>
        <v>-9073.8376503334093</v>
      </c>
      <c r="AU362">
        <f t="shared" si="314"/>
        <v>-2324.7995124093832</v>
      </c>
      <c r="AV362">
        <f t="shared" si="302"/>
        <v>-2.8907787505482161</v>
      </c>
      <c r="AW362">
        <f t="shared" si="303"/>
        <v>331.16989660956074</v>
      </c>
      <c r="AX362">
        <f t="shared" si="304"/>
        <v>-5604.1205019597746</v>
      </c>
      <c r="AY362">
        <f t="shared" si="312"/>
        <v>-1.5117709704874274</v>
      </c>
      <c r="BA362">
        <f t="shared" si="289"/>
        <v>1.6685239563525156</v>
      </c>
      <c r="BB362">
        <f t="shared" si="305"/>
        <v>4.4466489310780064</v>
      </c>
      <c r="BC362">
        <f t="shared" si="306"/>
        <v>-1.3790077800607887</v>
      </c>
      <c r="BD362">
        <f t="shared" si="290"/>
        <v>-259.01132580347166</v>
      </c>
      <c r="BF362">
        <f t="shared" si="291"/>
        <v>-45.367278983924059</v>
      </c>
      <c r="BG362">
        <f t="shared" si="292"/>
        <v>-178.1385930831272</v>
      </c>
      <c r="BH362">
        <f t="shared" si="307"/>
        <v>1.8614069168727951</v>
      </c>
      <c r="BI362">
        <f t="shared" si="308"/>
        <v>1.8614069168727951</v>
      </c>
      <c r="BJ362">
        <f t="shared" si="293"/>
        <v>0</v>
      </c>
      <c r="BK362">
        <f t="shared" si="309"/>
        <v>0</v>
      </c>
      <c r="BM362">
        <f t="shared" si="310"/>
        <v>-49.813927915002061</v>
      </c>
      <c r="BN362">
        <f t="shared" si="294"/>
        <v>-99.127267279655527</v>
      </c>
      <c r="BQ362" s="56">
        <f t="shared" si="311"/>
        <v>21.348609731363144</v>
      </c>
      <c r="BR362" s="59"/>
      <c r="BS362" s="59"/>
      <c r="BT362" s="59">
        <v>331131.12099999998</v>
      </c>
      <c r="BU362" s="59">
        <v>15.331</v>
      </c>
      <c r="BV362" s="59">
        <v>-194.60300000000001</v>
      </c>
      <c r="BW362" s="61"/>
      <c r="BY362" s="59"/>
      <c r="BZ362" s="59"/>
      <c r="CA362" s="59"/>
      <c r="CC362" s="59"/>
    </row>
    <row r="363" spans="1:81" x14ac:dyDescent="0.25">
      <c r="A363">
        <f t="shared" si="263"/>
        <v>745000</v>
      </c>
      <c r="B363">
        <f t="shared" si="295"/>
        <v>745</v>
      </c>
      <c r="C363">
        <f t="shared" si="264"/>
        <v>6.2592821254035975</v>
      </c>
      <c r="D363">
        <f t="shared" si="265"/>
        <v>1.410346035834553</v>
      </c>
      <c r="F363">
        <f t="shared" si="266"/>
        <v>3.4173380199725523E-5</v>
      </c>
      <c r="G363">
        <f t="shared" si="267"/>
        <v>2.1999861956596123E-3</v>
      </c>
      <c r="H363">
        <f t="shared" si="268"/>
        <v>-3.1393926638043408</v>
      </c>
      <c r="J363">
        <f t="shared" si="269"/>
        <v>15</v>
      </c>
      <c r="M363">
        <f t="shared" si="270"/>
        <v>2.4470881596862842E-3</v>
      </c>
      <c r="N363">
        <f t="shared" si="271"/>
        <v>-1.5707963250000001</v>
      </c>
      <c r="O363">
        <f t="shared" si="272"/>
        <v>123.2072689054778</v>
      </c>
      <c r="P363">
        <f t="shared" si="273"/>
        <v>1.5626798334374392</v>
      </c>
      <c r="Q363">
        <f t="shared" si="274"/>
        <v>191.54802747380742</v>
      </c>
      <c r="R363">
        <f t="shared" si="275"/>
        <v>1.5655756802775307</v>
      </c>
      <c r="S363">
        <f t="shared" si="276"/>
        <v>0.15976272996889726</v>
      </c>
      <c r="T363">
        <f t="shared" si="277"/>
        <v>-1.410346035834553</v>
      </c>
      <c r="U363">
        <f t="shared" si="278"/>
        <v>0.25384297315206888</v>
      </c>
      <c r="V363">
        <f t="shared" si="279"/>
        <v>-1.3141450198122064</v>
      </c>
      <c r="X363">
        <f t="shared" si="296"/>
        <v>-42.481840523241132</v>
      </c>
      <c r="Y363">
        <f t="shared" si="280"/>
        <v>-165.93307508606628</v>
      </c>
      <c r="Z363">
        <f t="shared" si="297"/>
        <v>14.066924913933718</v>
      </c>
      <c r="AC363">
        <v>1</v>
      </c>
      <c r="AD363">
        <f t="shared" si="281"/>
        <v>123.20321063652001</v>
      </c>
      <c r="AE363">
        <f t="shared" si="282"/>
        <v>-8.6506636271732801E-2</v>
      </c>
      <c r="AF363">
        <f t="shared" si="283"/>
        <v>2.2702719285225E-2</v>
      </c>
      <c r="AG363">
        <f t="shared" si="315"/>
        <v>338.86799833483002</v>
      </c>
      <c r="AH363">
        <f t="shared" si="316"/>
        <v>-1335.2731139925586</v>
      </c>
      <c r="AJ363">
        <f t="shared" si="284"/>
        <v>18000</v>
      </c>
      <c r="AK363">
        <f t="shared" si="285"/>
        <v>111219.91963236002</v>
      </c>
      <c r="AL363">
        <v>1</v>
      </c>
      <c r="AM363">
        <f t="shared" si="286"/>
        <v>191.54541714461999</v>
      </c>
      <c r="AN363">
        <f t="shared" si="317"/>
        <v>581.11992410712026</v>
      </c>
      <c r="AO363">
        <f t="shared" si="318"/>
        <v>-90.938641788236225</v>
      </c>
      <c r="AQ363">
        <f t="shared" si="287"/>
        <v>4.50429957916329E-3</v>
      </c>
      <c r="AR363">
        <f t="shared" si="288"/>
        <v>-6.7114063729533022</v>
      </c>
      <c r="AT363">
        <f t="shared" si="313"/>
        <v>-8960.0341239005684</v>
      </c>
      <c r="AU363">
        <f t="shared" si="314"/>
        <v>-2280.2953137397321</v>
      </c>
      <c r="AV363">
        <f t="shared" si="302"/>
        <v>-2.8923866991257303</v>
      </c>
      <c r="AW363">
        <f t="shared" si="303"/>
        <v>334.82293305049228</v>
      </c>
      <c r="AX363">
        <f t="shared" si="304"/>
        <v>-5567.6638207258366</v>
      </c>
      <c r="AY363">
        <f t="shared" si="312"/>
        <v>-1.5107316044747925</v>
      </c>
      <c r="BA363">
        <f t="shared" si="289"/>
        <v>1.6576022890396893</v>
      </c>
      <c r="BB363">
        <f t="shared" si="305"/>
        <v>4.3896067559531122</v>
      </c>
      <c r="BC363">
        <f t="shared" si="306"/>
        <v>-1.3816550946509378</v>
      </c>
      <c r="BD363">
        <f t="shared" si="290"/>
        <v>-259.16300575670397</v>
      </c>
      <c r="BF363">
        <f t="shared" si="291"/>
        <v>-45.484318754910468</v>
      </c>
      <c r="BG363">
        <f t="shared" si="292"/>
        <v>-178.2300802339</v>
      </c>
      <c r="BH363">
        <f t="shared" si="307"/>
        <v>1.7699197661000028</v>
      </c>
      <c r="BI363">
        <f t="shared" si="308"/>
        <v>1.7699197661000028</v>
      </c>
      <c r="BJ363">
        <f t="shared" si="293"/>
        <v>0</v>
      </c>
      <c r="BK363">
        <f t="shared" si="309"/>
        <v>0</v>
      </c>
      <c r="BM363">
        <f t="shared" si="310"/>
        <v>-49.873925510863579</v>
      </c>
      <c r="BN363">
        <f t="shared" si="294"/>
        <v>-99.067074477196073</v>
      </c>
      <c r="BQ363" s="56">
        <f t="shared" si="311"/>
        <v>21.291567556238249</v>
      </c>
      <c r="BR363" s="59"/>
      <c r="BS363" s="59"/>
      <c r="BT363" s="59">
        <v>338844.15600000002</v>
      </c>
      <c r="BU363" s="59">
        <v>15.2844</v>
      </c>
      <c r="BV363" s="59">
        <v>-197.85300000000001</v>
      </c>
      <c r="BW363" s="61"/>
      <c r="BY363" s="59"/>
      <c r="BZ363" s="59"/>
      <c r="CA363" s="59"/>
      <c r="CC363" s="59"/>
    </row>
    <row r="364" spans="1:81" x14ac:dyDescent="0.25">
      <c r="A364">
        <f t="shared" ref="A364:A427" si="319">A363+5000</f>
        <v>750000</v>
      </c>
      <c r="B364">
        <f t="shared" si="295"/>
        <v>750</v>
      </c>
      <c r="C364">
        <f t="shared" si="264"/>
        <v>6.3002219806610622</v>
      </c>
      <c r="D364">
        <f t="shared" si="265"/>
        <v>1.411397618709223</v>
      </c>
      <c r="F364">
        <f t="shared" si="266"/>
        <v>3.371923962882507E-5</v>
      </c>
      <c r="G364">
        <f t="shared" si="267"/>
        <v>2.1853186696254509E-3</v>
      </c>
      <c r="H364">
        <f t="shared" si="268"/>
        <v>-3.139407331330375</v>
      </c>
      <c r="J364">
        <f t="shared" si="269"/>
        <v>15</v>
      </c>
      <c r="M364">
        <f t="shared" si="270"/>
        <v>2.4307742386217089E-3</v>
      </c>
      <c r="N364">
        <f t="shared" si="271"/>
        <v>-1.5707963250000001</v>
      </c>
      <c r="O364">
        <f t="shared" si="272"/>
        <v>124.03410903671369</v>
      </c>
      <c r="P364">
        <f t="shared" si="273"/>
        <v>1.5627339410404788</v>
      </c>
      <c r="Q364">
        <f t="shared" si="274"/>
        <v>192.83354978422761</v>
      </c>
      <c r="R364">
        <f t="shared" si="275"/>
        <v>1.5656104839615619</v>
      </c>
      <c r="S364">
        <f t="shared" si="276"/>
        <v>0.15872456606601559</v>
      </c>
      <c r="T364">
        <f t="shared" si="277"/>
        <v>-1.411397618709223</v>
      </c>
      <c r="U364">
        <f t="shared" si="278"/>
        <v>0.25225871262606037</v>
      </c>
      <c r="V364">
        <f t="shared" si="279"/>
        <v>-1.315782578194963</v>
      </c>
      <c r="X364">
        <f t="shared" si="296"/>
        <v>-42.594328815242868</v>
      </c>
      <c r="Y364">
        <f t="shared" si="280"/>
        <v>-166.02264641604427</v>
      </c>
      <c r="Z364">
        <f t="shared" si="297"/>
        <v>13.977353583955733</v>
      </c>
      <c r="AC364">
        <v>1</v>
      </c>
      <c r="AD364">
        <f t="shared" si="281"/>
        <v>124.030077822</v>
      </c>
      <c r="AE364">
        <f t="shared" si="282"/>
        <v>-8.7671695694517729E-2</v>
      </c>
      <c r="AF364">
        <f t="shared" si="283"/>
        <v>2.2855086528749999E-2</v>
      </c>
      <c r="AG364">
        <f t="shared" si="315"/>
        <v>334.65137652365024</v>
      </c>
      <c r="AH364">
        <f t="shared" si="316"/>
        <v>-1327.4705220725441</v>
      </c>
      <c r="AJ364">
        <f t="shared" si="284"/>
        <v>18000</v>
      </c>
      <c r="AK364">
        <f t="shared" si="285"/>
        <v>111966.36204600001</v>
      </c>
      <c r="AL364">
        <v>1</v>
      </c>
      <c r="AM364">
        <f t="shared" si="286"/>
        <v>192.83095685699999</v>
      </c>
      <c r="AN364">
        <f t="shared" si="317"/>
        <v>581.11361520646722</v>
      </c>
      <c r="AO364">
        <f t="shared" si="318"/>
        <v>-90.332416893575171</v>
      </c>
      <c r="AQ364">
        <f t="shared" si="287"/>
        <v>4.4444424691366807E-3</v>
      </c>
      <c r="AR364">
        <f t="shared" si="288"/>
        <v>-6.6666637037050203</v>
      </c>
      <c r="AT364">
        <f t="shared" si="313"/>
        <v>-8848.3122084492061</v>
      </c>
      <c r="AU364">
        <f t="shared" si="314"/>
        <v>-2236.9080516299678</v>
      </c>
      <c r="AV364">
        <f t="shared" si="302"/>
        <v>-2.893974624176376</v>
      </c>
      <c r="AW364">
        <f t="shared" si="303"/>
        <v>338.39537679666103</v>
      </c>
      <c r="AX364">
        <f t="shared" si="304"/>
        <v>-5531.6723906041434</v>
      </c>
      <c r="AY364">
        <f t="shared" si="312"/>
        <v>-1.5096983124623018</v>
      </c>
      <c r="BA364">
        <f t="shared" si="289"/>
        <v>1.6468176811182769</v>
      </c>
      <c r="BB364">
        <f t="shared" si="305"/>
        <v>4.3329104233814419</v>
      </c>
      <c r="BC364">
        <f t="shared" si="306"/>
        <v>-1.3842763117140742</v>
      </c>
      <c r="BD364">
        <f t="shared" si="290"/>
        <v>-259.31319043178092</v>
      </c>
      <c r="BF364">
        <f t="shared" si="291"/>
        <v>-45.600591910428328</v>
      </c>
      <c r="BG364">
        <f t="shared" si="292"/>
        <v>-178.32085403571998</v>
      </c>
      <c r="BH364">
        <f t="shared" si="307"/>
        <v>1.6791459642800248</v>
      </c>
      <c r="BI364">
        <f t="shared" si="308"/>
        <v>1.6791459642800248</v>
      </c>
      <c r="BJ364">
        <f t="shared" si="293"/>
        <v>0</v>
      </c>
      <c r="BK364">
        <f t="shared" si="309"/>
        <v>0</v>
      </c>
      <c r="BM364">
        <f t="shared" si="310"/>
        <v>-49.93350233380977</v>
      </c>
      <c r="BN364">
        <f t="shared" si="294"/>
        <v>-99.007663603939022</v>
      </c>
      <c r="BQ364" s="56">
        <f t="shared" si="311"/>
        <v>21.23487122366658</v>
      </c>
      <c r="BR364" s="59"/>
      <c r="BS364" s="59"/>
      <c r="BT364" s="59">
        <v>346736.85</v>
      </c>
      <c r="BU364" s="59">
        <v>15.295400000000001</v>
      </c>
      <c r="BV364" s="59">
        <v>-200.482</v>
      </c>
      <c r="BW364" s="61"/>
      <c r="BY364" s="59"/>
      <c r="BZ364" s="59"/>
      <c r="CA364" s="59"/>
      <c r="CC364" s="59"/>
    </row>
    <row r="365" spans="1:81" x14ac:dyDescent="0.25">
      <c r="A365">
        <f t="shared" si="319"/>
        <v>755000</v>
      </c>
      <c r="B365">
        <f t="shared" si="295"/>
        <v>755</v>
      </c>
      <c r="C365">
        <f t="shared" si="264"/>
        <v>6.3411687129066703</v>
      </c>
      <c r="D365">
        <f t="shared" si="265"/>
        <v>1.4124356219792316</v>
      </c>
      <c r="F365">
        <f t="shared" si="266"/>
        <v>3.3274092182916913E-5</v>
      </c>
      <c r="G365">
        <f t="shared" si="267"/>
        <v>2.1708454341745438E-3</v>
      </c>
      <c r="H365">
        <f t="shared" si="268"/>
        <v>-3.1394218045658255</v>
      </c>
      <c r="J365">
        <f t="shared" si="269"/>
        <v>15</v>
      </c>
      <c r="M365">
        <f t="shared" si="270"/>
        <v>2.4146763959818299E-3</v>
      </c>
      <c r="N365">
        <f t="shared" si="271"/>
        <v>-1.5707963250000001</v>
      </c>
      <c r="O365">
        <f t="shared" si="272"/>
        <v>124.86094952626657</v>
      </c>
      <c r="P365">
        <f t="shared" si="273"/>
        <v>1.5627873320328007</v>
      </c>
      <c r="Q365">
        <f t="shared" si="274"/>
        <v>194.11907232513275</v>
      </c>
      <c r="R365">
        <f t="shared" si="275"/>
        <v>1.5656448266819607</v>
      </c>
      <c r="S365">
        <f t="shared" si="276"/>
        <v>0.15769963634063591</v>
      </c>
      <c r="T365">
        <f t="shared" si="277"/>
        <v>-1.4124356219792316</v>
      </c>
      <c r="U365">
        <f t="shared" si="278"/>
        <v>0.25069344471753513</v>
      </c>
      <c r="V365">
        <f t="shared" si="279"/>
        <v>-1.3173998187365346</v>
      </c>
      <c r="X365">
        <f t="shared" si="296"/>
        <v>-42.706115406022782</v>
      </c>
      <c r="Y365">
        <f t="shared" si="280"/>
        <v>-166.11110995748214</v>
      </c>
      <c r="Z365">
        <f t="shared" si="297"/>
        <v>13.888890042517858</v>
      </c>
      <c r="AC365">
        <v>1</v>
      </c>
      <c r="AD365">
        <f t="shared" si="281"/>
        <v>124.85694500747999</v>
      </c>
      <c r="AE365">
        <f t="shared" si="282"/>
        <v>-8.8844548156919945E-2</v>
      </c>
      <c r="AF365">
        <f t="shared" si="283"/>
        <v>2.3007453772274998E-2</v>
      </c>
      <c r="AG365">
        <f t="shared" si="315"/>
        <v>330.51123084979184</v>
      </c>
      <c r="AH365">
        <f t="shared" si="316"/>
        <v>-1319.7514712483014</v>
      </c>
      <c r="AJ365">
        <f t="shared" si="284"/>
        <v>18000</v>
      </c>
      <c r="AK365">
        <f t="shared" si="285"/>
        <v>112712.80445964</v>
      </c>
      <c r="AL365">
        <v>1</v>
      </c>
      <c r="AM365">
        <f t="shared" si="286"/>
        <v>194.11649656937999</v>
      </c>
      <c r="AN365">
        <f t="shared" si="317"/>
        <v>581.1074312282725</v>
      </c>
      <c r="AO365">
        <f t="shared" si="318"/>
        <v>-89.734220824173832</v>
      </c>
      <c r="AQ365">
        <f t="shared" si="287"/>
        <v>4.3857706303361121E-3</v>
      </c>
      <c r="AR365">
        <f t="shared" si="288"/>
        <v>-6.6225136518075294</v>
      </c>
      <c r="AT365">
        <f t="shared" si="313"/>
        <v>-8738.6225888856916</v>
      </c>
      <c r="AU365">
        <f t="shared" si="314"/>
        <v>-2194.6032656203997</v>
      </c>
      <c r="AV365">
        <f t="shared" si="302"/>
        <v>-2.8955428887347141</v>
      </c>
      <c r="AW365">
        <f t="shared" si="303"/>
        <v>341.88959050644127</v>
      </c>
      <c r="AX365">
        <f t="shared" si="304"/>
        <v>-5496.1374538483487</v>
      </c>
      <c r="AY365">
        <f t="shared" si="312"/>
        <v>-1.5086709465557357</v>
      </c>
      <c r="BA365">
        <f t="shared" si="289"/>
        <v>1.6361676135146042</v>
      </c>
      <c r="BB365">
        <f t="shared" si="305"/>
        <v>4.2765558387325884</v>
      </c>
      <c r="BC365">
        <f t="shared" si="306"/>
        <v>-1.3868719421789784</v>
      </c>
      <c r="BD365">
        <f t="shared" si="290"/>
        <v>-259.46190910276545</v>
      </c>
      <c r="BF365">
        <f t="shared" si="291"/>
        <v>-45.716108507839849</v>
      </c>
      <c r="BG365">
        <f t="shared" si="292"/>
        <v>-178.41092875545243</v>
      </c>
      <c r="BH365">
        <f t="shared" si="307"/>
        <v>1.5890712445475685</v>
      </c>
      <c r="BI365">
        <f t="shared" si="308"/>
        <v>1.5890712445475685</v>
      </c>
      <c r="BJ365">
        <f t="shared" si="293"/>
        <v>0</v>
      </c>
      <c r="BK365">
        <f t="shared" si="309"/>
        <v>0</v>
      </c>
      <c r="BM365">
        <f t="shared" si="310"/>
        <v>-49.99266434657244</v>
      </c>
      <c r="BN365">
        <f t="shared" si="294"/>
        <v>-98.949019652686957</v>
      </c>
      <c r="BQ365" s="56">
        <f t="shared" si="311"/>
        <v>21.178516639017726</v>
      </c>
      <c r="BR365" s="59"/>
      <c r="BS365" s="59"/>
      <c r="BT365" s="59">
        <v>354813.38900000002</v>
      </c>
      <c r="BU365" s="59">
        <v>15.3028</v>
      </c>
      <c r="BV365" s="59">
        <v>-203.33199999999999</v>
      </c>
      <c r="BW365" s="61"/>
      <c r="BY365" s="59"/>
      <c r="BZ365" s="59"/>
      <c r="CA365" s="59"/>
      <c r="CC365" s="59"/>
    </row>
    <row r="366" spans="1:81" x14ac:dyDescent="0.25">
      <c r="A366">
        <f t="shared" si="319"/>
        <v>760000</v>
      </c>
      <c r="B366">
        <f t="shared" si="295"/>
        <v>760</v>
      </c>
      <c r="C366">
        <f t="shared" si="264"/>
        <v>6.3821221897752718</v>
      </c>
      <c r="D366">
        <f t="shared" si="265"/>
        <v>1.4134603048031105</v>
      </c>
      <c r="F366">
        <f t="shared" si="266"/>
        <v>3.2837701968885882E-5</v>
      </c>
      <c r="G366">
        <f t="shared" si="267"/>
        <v>2.1565626541366497E-3</v>
      </c>
      <c r="H366">
        <f t="shared" si="268"/>
        <v>-3.1394360873458638</v>
      </c>
      <c r="J366">
        <f t="shared" si="269"/>
        <v>15</v>
      </c>
      <c r="M366">
        <f t="shared" si="270"/>
        <v>2.3987903670608969E-3</v>
      </c>
      <c r="N366">
        <f t="shared" si="271"/>
        <v>-1.5707963250000001</v>
      </c>
      <c r="O366">
        <f t="shared" si="272"/>
        <v>125.68779036706486</v>
      </c>
      <c r="P366">
        <f t="shared" si="273"/>
        <v>1.5628400205568316</v>
      </c>
      <c r="Q366">
        <f t="shared" si="274"/>
        <v>195.40459509197385</v>
      </c>
      <c r="R366">
        <f t="shared" si="275"/>
        <v>1.5656787175363729</v>
      </c>
      <c r="S366">
        <f t="shared" si="276"/>
        <v>0.15668769263021778</v>
      </c>
      <c r="T366">
        <f t="shared" si="277"/>
        <v>-1.4134603048031102</v>
      </c>
      <c r="U366">
        <f t="shared" si="278"/>
        <v>0.24914684239837365</v>
      </c>
      <c r="V366">
        <f t="shared" si="279"/>
        <v>-1.3189971089384465</v>
      </c>
      <c r="X366">
        <f t="shared" si="296"/>
        <v>-42.817208737480954</v>
      </c>
      <c r="Y366">
        <f t="shared" si="280"/>
        <v>-166.19848565484736</v>
      </c>
      <c r="Z366">
        <f t="shared" si="297"/>
        <v>13.80151434515264</v>
      </c>
      <c r="AC366">
        <v>1</v>
      </c>
      <c r="AD366">
        <f t="shared" si="281"/>
        <v>125.68381219296</v>
      </c>
      <c r="AE366">
        <f t="shared" si="282"/>
        <v>-9.0025193658939448E-2</v>
      </c>
      <c r="AF366">
        <f t="shared" si="283"/>
        <v>2.3159821015800001E-2</v>
      </c>
      <c r="AG366">
        <f t="shared" si="315"/>
        <v>326.44576628466842</v>
      </c>
      <c r="AH366">
        <f t="shared" si="316"/>
        <v>-1312.1147744702664</v>
      </c>
      <c r="AJ366">
        <f t="shared" si="284"/>
        <v>18000</v>
      </c>
      <c r="AK366">
        <f t="shared" si="285"/>
        <v>113459.24687328</v>
      </c>
      <c r="AL366">
        <v>1</v>
      </c>
      <c r="AM366">
        <f t="shared" si="286"/>
        <v>195.40203628175999</v>
      </c>
      <c r="AN366">
        <f t="shared" si="317"/>
        <v>581.10136889608475</v>
      </c>
      <c r="AO366">
        <f t="shared" si="318"/>
        <v>-89.143895133143488</v>
      </c>
      <c r="AQ366">
        <f t="shared" si="287"/>
        <v>4.3282529742672375E-3</v>
      </c>
      <c r="AR366">
        <f t="shared" si="288"/>
        <v>-6.5789445208862007</v>
      </c>
      <c r="AT366">
        <f t="shared" si="313"/>
        <v>-8630.9173664161335</v>
      </c>
      <c r="AU366">
        <f t="shared" si="314"/>
        <v>-2153.3477501401971</v>
      </c>
      <c r="AV366">
        <f t="shared" si="302"/>
        <v>-2.8970918473294835</v>
      </c>
      <c r="AW366">
        <f t="shared" si="303"/>
        <v>345.30785103164425</v>
      </c>
      <c r="AX366">
        <f t="shared" si="304"/>
        <v>-5461.0504695099207</v>
      </c>
      <c r="AY366">
        <f t="shared" si="312"/>
        <v>-1.5076493636366162</v>
      </c>
      <c r="BA366">
        <f t="shared" si="289"/>
        <v>1.6256496268687448</v>
      </c>
      <c r="BB366">
        <f t="shared" si="305"/>
        <v>4.2205389738170682</v>
      </c>
      <c r="BC366">
        <f t="shared" si="306"/>
        <v>-1.3894424836928674</v>
      </c>
      <c r="BD366">
        <f t="shared" si="290"/>
        <v>-259.60919028274276</v>
      </c>
      <c r="BF366">
        <f t="shared" si="291"/>
        <v>-45.830878410694254</v>
      </c>
      <c r="BG366">
        <f t="shared" si="292"/>
        <v>-178.50031827723166</v>
      </c>
      <c r="BH366">
        <f t="shared" si="307"/>
        <v>1.4996817227683437</v>
      </c>
      <c r="BI366">
        <f t="shared" si="308"/>
        <v>1.4996817227683437</v>
      </c>
      <c r="BJ366">
        <f t="shared" si="293"/>
        <v>0</v>
      </c>
      <c r="BK366">
        <f t="shared" si="309"/>
        <v>0</v>
      </c>
      <c r="BM366">
        <f t="shared" si="310"/>
        <v>-50.051417384511325</v>
      </c>
      <c r="BN366">
        <f t="shared" si="294"/>
        <v>-98.891127994488912</v>
      </c>
      <c r="BQ366" s="56">
        <f t="shared" si="311"/>
        <v>21.122499774102206</v>
      </c>
      <c r="BR366" s="59"/>
      <c r="BS366" s="59"/>
      <c r="BT366" s="59">
        <v>363078.05499999999</v>
      </c>
      <c r="BU366" s="59">
        <v>15.049200000000001</v>
      </c>
      <c r="BV366" s="59">
        <v>-205.19499999999999</v>
      </c>
      <c r="BW366" s="61"/>
      <c r="BY366" s="59"/>
      <c r="BZ366" s="59"/>
      <c r="CA366" s="59"/>
      <c r="CC366" s="59"/>
    </row>
    <row r="367" spans="1:81" x14ac:dyDescent="0.25">
      <c r="A367">
        <f t="shared" si="319"/>
        <v>765000</v>
      </c>
      <c r="B367">
        <f t="shared" si="295"/>
        <v>765</v>
      </c>
      <c r="C367">
        <f t="shared" si="264"/>
        <v>6.4230822822560221</v>
      </c>
      <c r="D367">
        <f t="shared" si="265"/>
        <v>1.4144719198422897</v>
      </c>
      <c r="F367">
        <f t="shared" si="266"/>
        <v>3.2409840777736218E-5</v>
      </c>
      <c r="G367">
        <f t="shared" si="267"/>
        <v>2.1424665946231962E-3</v>
      </c>
      <c r="H367">
        <f t="shared" si="268"/>
        <v>-3.1394501834053772</v>
      </c>
      <c r="J367">
        <f t="shared" si="269"/>
        <v>15</v>
      </c>
      <c r="M367">
        <f t="shared" si="270"/>
        <v>2.3831119986487343E-3</v>
      </c>
      <c r="N367">
        <f t="shared" si="271"/>
        <v>-1.5707963250000001</v>
      </c>
      <c r="O367">
        <f t="shared" si="272"/>
        <v>126.51463155222186</v>
      </c>
      <c r="P367">
        <f t="shared" si="273"/>
        <v>1.562892020385301</v>
      </c>
      <c r="Q367">
        <f t="shared" si="274"/>
        <v>196.69011808032096</v>
      </c>
      <c r="R367">
        <f t="shared" si="275"/>
        <v>1.5657121653846073</v>
      </c>
      <c r="S367">
        <f t="shared" si="276"/>
        <v>0.15568849285373992</v>
      </c>
      <c r="T367">
        <f t="shared" si="277"/>
        <v>-1.4144719198422897</v>
      </c>
      <c r="U367">
        <f t="shared" si="278"/>
        <v>0.24761858578713847</v>
      </c>
      <c r="V367">
        <f t="shared" si="279"/>
        <v>-1.3205748076981181</v>
      </c>
      <c r="X367">
        <f t="shared" si="296"/>
        <v>-42.927617104547849</v>
      </c>
      <c r="Y367">
        <f t="shared" si="280"/>
        <v>-166.28479298869178</v>
      </c>
      <c r="Z367">
        <f t="shared" si="297"/>
        <v>13.715207011308223</v>
      </c>
      <c r="AC367">
        <v>1</v>
      </c>
      <c r="AD367">
        <f t="shared" si="281"/>
        <v>126.51067937844</v>
      </c>
      <c r="AE367">
        <f t="shared" si="282"/>
        <v>-9.1213632200576253E-2</v>
      </c>
      <c r="AF367">
        <f t="shared" si="283"/>
        <v>2.3312188259325E-2</v>
      </c>
      <c r="AG367">
        <f t="shared" si="315"/>
        <v>322.45323881490174</v>
      </c>
      <c r="AH367">
        <f t="shared" si="316"/>
        <v>-1304.5592626844891</v>
      </c>
      <c r="AJ367">
        <f t="shared" si="284"/>
        <v>18000</v>
      </c>
      <c r="AK367">
        <f t="shared" si="285"/>
        <v>114205.68928692002</v>
      </c>
      <c r="AL367">
        <v>1</v>
      </c>
      <c r="AM367">
        <f t="shared" si="286"/>
        <v>196.68757599413999</v>
      </c>
      <c r="AN367">
        <f t="shared" si="317"/>
        <v>581.09542504016974</v>
      </c>
      <c r="AO367">
        <f t="shared" si="318"/>
        <v>-88.561285515455239</v>
      </c>
      <c r="AQ367">
        <f t="shared" si="287"/>
        <v>4.2718594250675274E-3</v>
      </c>
      <c r="AR367">
        <f t="shared" si="288"/>
        <v>-6.5359449203533169</v>
      </c>
      <c r="AT367">
        <f t="shared" si="313"/>
        <v>-8525.1500113351813</v>
      </c>
      <c r="AU367">
        <f t="shared" si="314"/>
        <v>-2113.1095020655903</v>
      </c>
      <c r="AV367">
        <f t="shared" si="302"/>
        <v>-2.8986218462244375</v>
      </c>
      <c r="AW367">
        <f t="shared" si="303"/>
        <v>348.65235311037804</v>
      </c>
      <c r="AX367">
        <f t="shared" si="304"/>
        <v>-5426.403106797321</v>
      </c>
      <c r="AY367">
        <f t="shared" si="312"/>
        <v>-1.5066334251766367</v>
      </c>
      <c r="BA367">
        <f t="shared" si="289"/>
        <v>1.6152613198361381</v>
      </c>
      <c r="BB367">
        <f t="shared" si="305"/>
        <v>4.1648558656280574</v>
      </c>
      <c r="BC367">
        <f t="shared" si="306"/>
        <v>-1.3919884210478009</v>
      </c>
      <c r="BD367">
        <f t="shared" si="290"/>
        <v>-259.75506174825182</v>
      </c>
      <c r="BF367">
        <f t="shared" si="291"/>
        <v>-45.944911293613906</v>
      </c>
      <c r="BG367">
        <f t="shared" si="292"/>
        <v>-178.5890361151564</v>
      </c>
      <c r="BH367">
        <f t="shared" si="307"/>
        <v>1.4109638848435964</v>
      </c>
      <c r="BI367">
        <f t="shared" si="308"/>
        <v>1.4109638848435964</v>
      </c>
      <c r="BJ367">
        <f t="shared" si="293"/>
        <v>0</v>
      </c>
      <c r="BK367">
        <f t="shared" si="309"/>
        <v>0</v>
      </c>
      <c r="BM367">
        <f t="shared" si="310"/>
        <v>-50.109767159241969</v>
      </c>
      <c r="BN367">
        <f t="shared" si="294"/>
        <v>-98.833974366904556</v>
      </c>
      <c r="BQ367" s="56">
        <f t="shared" si="311"/>
        <v>21.066816665913194</v>
      </c>
      <c r="BR367" s="59"/>
      <c r="BS367" s="59"/>
      <c r="BT367" s="59">
        <v>371535.22899999999</v>
      </c>
      <c r="BU367" s="59">
        <v>14.9002</v>
      </c>
      <c r="BV367" s="59">
        <v>-207.41</v>
      </c>
      <c r="BW367" s="61"/>
      <c r="BY367" s="59"/>
      <c r="BZ367" s="59"/>
      <c r="CA367" s="59"/>
      <c r="CC367" s="59"/>
    </row>
    <row r="368" spans="1:81" x14ac:dyDescent="0.25">
      <c r="A368">
        <f t="shared" si="319"/>
        <v>770000</v>
      </c>
      <c r="B368">
        <f t="shared" si="295"/>
        <v>770</v>
      </c>
      <c r="C368">
        <f t="shared" si="264"/>
        <v>6.464048864587455</v>
      </c>
      <c r="D368">
        <f t="shared" si="265"/>
        <v>1.4154707134616713</v>
      </c>
      <c r="F368">
        <f t="shared" si="266"/>
        <v>3.1990287786165534E-5</v>
      </c>
      <c r="G368">
        <f t="shared" si="267"/>
        <v>2.1285536177707755E-3</v>
      </c>
      <c r="H368">
        <f t="shared" si="268"/>
        <v>-3.1394640963822296</v>
      </c>
      <c r="J368">
        <f t="shared" si="269"/>
        <v>15</v>
      </c>
      <c r="M368">
        <f t="shared" si="270"/>
        <v>2.3676372454107552E-3</v>
      </c>
      <c r="N368">
        <f t="shared" si="271"/>
        <v>-1.5707963250000001</v>
      </c>
      <c r="O368">
        <f t="shared" si="272"/>
        <v>127.34147307502964</v>
      </c>
      <c r="P368">
        <f t="shared" si="273"/>
        <v>1.5629433449332417</v>
      </c>
      <c r="Q368">
        <f t="shared" si="274"/>
        <v>197.9756412858591</v>
      </c>
      <c r="R368">
        <f t="shared" si="275"/>
        <v>1.5657451788563581</v>
      </c>
      <c r="S368">
        <f t="shared" si="276"/>
        <v>0.15470180082925808</v>
      </c>
      <c r="T368">
        <f t="shared" si="277"/>
        <v>-1.4154707134616713</v>
      </c>
      <c r="U368">
        <f t="shared" si="278"/>
        <v>0.24610836196525482</v>
      </c>
      <c r="V368">
        <f t="shared" si="279"/>
        <v>-1.32213326555283</v>
      </c>
      <c r="X368">
        <f t="shared" si="296"/>
        <v>-43.037348658476304</v>
      </c>
      <c r="Y368">
        <f t="shared" si="280"/>
        <v>-166.37005098868647</v>
      </c>
      <c r="Z368">
        <f t="shared" si="297"/>
        <v>13.629949011313528</v>
      </c>
      <c r="AC368">
        <v>1</v>
      </c>
      <c r="AD368">
        <f t="shared" si="281"/>
        <v>127.33754656391999</v>
      </c>
      <c r="AE368">
        <f t="shared" si="282"/>
        <v>-9.2409863781830304E-2</v>
      </c>
      <c r="AF368">
        <f t="shared" si="283"/>
        <v>2.3464555502849999E-2</v>
      </c>
      <c r="AG368">
        <f t="shared" si="315"/>
        <v>318.53195376248038</v>
      </c>
      <c r="AH368">
        <f t="shared" si="316"/>
        <v>-1297.0837846749066</v>
      </c>
      <c r="AJ368">
        <f t="shared" si="284"/>
        <v>18000</v>
      </c>
      <c r="AK368">
        <f t="shared" si="285"/>
        <v>114952.13170056001</v>
      </c>
      <c r="AL368">
        <v>1</v>
      </c>
      <c r="AM368">
        <f t="shared" si="286"/>
        <v>197.97311570651999</v>
      </c>
      <c r="AN368">
        <f t="shared" si="317"/>
        <v>581.08959659336608</v>
      </c>
      <c r="AO368">
        <f t="shared" si="318"/>
        <v>-87.986241673484784</v>
      </c>
      <c r="AQ368">
        <f t="shared" si="287"/>
        <v>4.2165608801817845E-3</v>
      </c>
      <c r="AR368">
        <f t="shared" si="288"/>
        <v>-6.4935037554799475</v>
      </c>
      <c r="AT368">
        <f t="shared" si="313"/>
        <v>-8421.2753175833277</v>
      </c>
      <c r="AU368">
        <f t="shared" si="314"/>
        <v>-2073.8576707418097</v>
      </c>
      <c r="AV368">
        <f t="shared" si="302"/>
        <v>-2.9001332236512982</v>
      </c>
      <c r="AW368">
        <f t="shared" si="303"/>
        <v>351.92521287719677</v>
      </c>
      <c r="AX368">
        <f t="shared" si="304"/>
        <v>-5392.187238677845</v>
      </c>
      <c r="AY368">
        <f t="shared" si="312"/>
        <v>-1.5056229970604484</v>
      </c>
      <c r="BA368">
        <f t="shared" si="289"/>
        <v>1.6050003474441288</v>
      </c>
      <c r="BB368">
        <f t="shared" si="305"/>
        <v>4.1095026151050646</v>
      </c>
      <c r="BC368">
        <f t="shared" si="306"/>
        <v>-1.3945102265908498</v>
      </c>
      <c r="BD368">
        <f t="shared" si="290"/>
        <v>-259.89955056278632</v>
      </c>
      <c r="BF368">
        <f t="shared" si="291"/>
        <v>-46.058216647029766</v>
      </c>
      <c r="BG368">
        <f t="shared" si="292"/>
        <v>-178.67709542548533</v>
      </c>
      <c r="BH368">
        <f t="shared" si="307"/>
        <v>1.3229045745146664</v>
      </c>
      <c r="BI368">
        <f t="shared" si="308"/>
        <v>1.3229045745146664</v>
      </c>
      <c r="BJ368">
        <f t="shared" si="293"/>
        <v>0</v>
      </c>
      <c r="BK368">
        <f t="shared" si="309"/>
        <v>0</v>
      </c>
      <c r="BM368">
        <f t="shared" si="310"/>
        <v>-50.167719262134838</v>
      </c>
      <c r="BN368">
        <f t="shared" si="294"/>
        <v>-98.777544862699003</v>
      </c>
      <c r="BQ368" s="56">
        <f t="shared" si="311"/>
        <v>21.011463415390203</v>
      </c>
      <c r="BR368" s="59"/>
      <c r="BS368" s="59"/>
      <c r="BT368" s="59">
        <v>380189.39600000001</v>
      </c>
      <c r="BU368" s="59">
        <v>14.938000000000001</v>
      </c>
      <c r="BV368" s="59">
        <v>-210.39400000000001</v>
      </c>
      <c r="BW368" s="61"/>
      <c r="BY368" s="59"/>
      <c r="BZ368" s="59"/>
      <c r="CA368" s="59"/>
      <c r="CC368" s="59"/>
    </row>
    <row r="369" spans="1:81" x14ac:dyDescent="0.25">
      <c r="A369">
        <f t="shared" si="319"/>
        <v>775000</v>
      </c>
      <c r="B369">
        <f t="shared" si="295"/>
        <v>775</v>
      </c>
      <c r="C369">
        <f t="shared" si="264"/>
        <v>6.5050218141564553</v>
      </c>
      <c r="D369">
        <f t="shared" si="265"/>
        <v>1.4164569259228834</v>
      </c>
      <c r="F369">
        <f t="shared" si="266"/>
        <v>3.1578829271573368E-5</v>
      </c>
      <c r="G369">
        <f t="shared" si="267"/>
        <v>2.114820179610722E-3</v>
      </c>
      <c r="H369">
        <f t="shared" si="268"/>
        <v>-3.1394778298203896</v>
      </c>
      <c r="J369">
        <f t="shared" si="269"/>
        <v>15</v>
      </c>
      <c r="M369">
        <f t="shared" si="270"/>
        <v>2.3523621664081054E-3</v>
      </c>
      <c r="N369">
        <f t="shared" si="271"/>
        <v>-1.5707963250000001</v>
      </c>
      <c r="O369">
        <f t="shared" si="272"/>
        <v>128.16831492895346</v>
      </c>
      <c r="P369">
        <f t="shared" si="273"/>
        <v>1.5629940072695283</v>
      </c>
      <c r="Q369">
        <f t="shared" si="274"/>
        <v>199.2611647043847</v>
      </c>
      <c r="R369">
        <f t="shared" si="275"/>
        <v>1.5657777663586268</v>
      </c>
      <c r="S369">
        <f t="shared" si="276"/>
        <v>0.153727386097886</v>
      </c>
      <c r="T369">
        <f t="shared" si="277"/>
        <v>-1.4164569259228832</v>
      </c>
      <c r="U369">
        <f t="shared" si="278"/>
        <v>0.24461586479842309</v>
      </c>
      <c r="V369">
        <f t="shared" si="279"/>
        <v>-1.3236728249156717</v>
      </c>
      <c r="X369">
        <f t="shared" si="296"/>
        <v>-43.146411410044522</v>
      </c>
      <c r="Y369">
        <f t="shared" si="280"/>
        <v>-166.4542782462338</v>
      </c>
      <c r="Z369">
        <f t="shared" si="297"/>
        <v>13.545721753766202</v>
      </c>
      <c r="AC369">
        <v>1</v>
      </c>
      <c r="AD369">
        <f t="shared" si="281"/>
        <v>128.16441374940001</v>
      </c>
      <c r="AE369">
        <f t="shared" si="282"/>
        <v>-9.3613888402701684E-2</v>
      </c>
      <c r="AF369">
        <f t="shared" si="283"/>
        <v>2.3616922746374999E-2</v>
      </c>
      <c r="AG369">
        <f t="shared" si="315"/>
        <v>314.68026416689958</v>
      </c>
      <c r="AH369">
        <f t="shared" si="316"/>
        <v>-1289.6872068960779</v>
      </c>
      <c r="AJ369">
        <f t="shared" si="284"/>
        <v>18000</v>
      </c>
      <c r="AK369">
        <f t="shared" si="285"/>
        <v>115698.5741142</v>
      </c>
      <c r="AL369">
        <v>1</v>
      </c>
      <c r="AM369">
        <f t="shared" si="286"/>
        <v>199.25865541889999</v>
      </c>
      <c r="AN369">
        <f t="shared" si="317"/>
        <v>581.08388058712808</v>
      </c>
      <c r="AO369">
        <f t="shared" si="318"/>
        <v>-87.418617187761384</v>
      </c>
      <c r="AQ369">
        <f t="shared" si="287"/>
        <v>4.1623291728078368E-3</v>
      </c>
      <c r="AR369">
        <f t="shared" si="288"/>
        <v>-6.4516102178521466</v>
      </c>
      <c r="AT369">
        <f t="shared" si="313"/>
        <v>-8319.2493590002832</v>
      </c>
      <c r="AU369">
        <f t="shared" si="314"/>
        <v>-2035.5625103406426</v>
      </c>
      <c r="AV369">
        <f t="shared" si="302"/>
        <v>-2.9016263100351263</v>
      </c>
      <c r="AW369">
        <f t="shared" si="303"/>
        <v>355.128471200695</v>
      </c>
      <c r="AX369">
        <f t="shared" si="304"/>
        <v>-5358.3949357117854</v>
      </c>
      <c r="AY369">
        <f t="shared" si="312"/>
        <v>-1.5046179494163827</v>
      </c>
      <c r="BA369">
        <f t="shared" si="289"/>
        <v>1.5948644195015296</v>
      </c>
      <c r="BB369">
        <f t="shared" si="305"/>
        <v>4.0544753859196492</v>
      </c>
      <c r="BC369">
        <f t="shared" si="306"/>
        <v>-1.3970083606187436</v>
      </c>
      <c r="BD369">
        <f t="shared" si="290"/>
        <v>-260.04268309940625</v>
      </c>
      <c r="BF369">
        <f t="shared" si="291"/>
        <v>-46.170803781771639</v>
      </c>
      <c r="BG369">
        <f t="shared" si="292"/>
        <v>-178.76450901835565</v>
      </c>
      <c r="BH369">
        <f t="shared" si="307"/>
        <v>1.2354909816443467</v>
      </c>
      <c r="BI369">
        <f t="shared" si="308"/>
        <v>1.2354909816443467</v>
      </c>
      <c r="BJ369">
        <f t="shared" si="293"/>
        <v>0</v>
      </c>
      <c r="BK369">
        <f t="shared" si="309"/>
        <v>0</v>
      </c>
      <c r="BM369">
        <f t="shared" si="310"/>
        <v>-50.225279167691291</v>
      </c>
      <c r="BN369">
        <f t="shared" si="294"/>
        <v>-98.721825918949449</v>
      </c>
      <c r="BQ369" s="56">
        <f t="shared" si="311"/>
        <v>20.956436186204787</v>
      </c>
      <c r="BR369" s="59"/>
      <c r="BS369" s="59"/>
      <c r="BT369" s="59">
        <v>389045.14500000002</v>
      </c>
      <c r="BU369" s="59">
        <v>14.7561</v>
      </c>
      <c r="BV369" s="59">
        <v>-213.04300000000001</v>
      </c>
      <c r="BW369" s="61"/>
      <c r="BY369" s="59"/>
      <c r="BZ369" s="59"/>
      <c r="CA369" s="59"/>
      <c r="CC369" s="59"/>
    </row>
    <row r="370" spans="1:81" x14ac:dyDescent="0.25">
      <c r="A370">
        <f t="shared" si="319"/>
        <v>780000</v>
      </c>
      <c r="B370">
        <f t="shared" si="295"/>
        <v>780</v>
      </c>
      <c r="C370">
        <f t="shared" si="264"/>
        <v>6.546001011400941</v>
      </c>
      <c r="D370">
        <f t="shared" si="265"/>
        <v>1.4174307915705244</v>
      </c>
      <c r="F370">
        <f t="shared" si="266"/>
        <v>3.1175258339817704E-5</v>
      </c>
      <c r="G370">
        <f t="shared" si="267"/>
        <v>2.1012628270591152E-3</v>
      </c>
      <c r="H370">
        <f t="shared" si="268"/>
        <v>-3.1394913871729413</v>
      </c>
      <c r="J370">
        <f t="shared" si="269"/>
        <v>15</v>
      </c>
      <c r="M370">
        <f t="shared" si="270"/>
        <v>2.3372829217516429E-3</v>
      </c>
      <c r="N370">
        <f t="shared" si="271"/>
        <v>-1.5707963250000001</v>
      </c>
      <c r="O370">
        <f t="shared" si="272"/>
        <v>128.99515710762611</v>
      </c>
      <c r="P370">
        <f t="shared" si="273"/>
        <v>1.5630440201279703</v>
      </c>
      <c r="Q370">
        <f t="shared" si="274"/>
        <v>200.54668833180193</v>
      </c>
      <c r="R370">
        <f t="shared" si="275"/>
        <v>1.5658099360828599</v>
      </c>
      <c r="S370">
        <f t="shared" si="276"/>
        <v>0.1527650237539431</v>
      </c>
      <c r="T370">
        <f t="shared" si="277"/>
        <v>-1.4174307915705244</v>
      </c>
      <c r="U370">
        <f t="shared" si="278"/>
        <v>0.24314079476310901</v>
      </c>
      <c r="V370">
        <f t="shared" si="279"/>
        <v>-1.3251938203037705</v>
      </c>
      <c r="X370">
        <f t="shared" si="296"/>
        <v>-43.254813232672959</v>
      </c>
      <c r="Y370">
        <f t="shared" si="280"/>
        <v>-166.53749292667163</v>
      </c>
      <c r="Z370">
        <f t="shared" si="297"/>
        <v>13.462507073328368</v>
      </c>
      <c r="AC370">
        <v>1</v>
      </c>
      <c r="AD370">
        <f t="shared" si="281"/>
        <v>128.99128093488</v>
      </c>
      <c r="AE370">
        <f t="shared" si="282"/>
        <v>-9.4825706063190365E-2</v>
      </c>
      <c r="AF370">
        <f t="shared" si="283"/>
        <v>2.3769289989899998E-2</v>
      </c>
      <c r="AG370">
        <f t="shared" si="315"/>
        <v>310.89656922680007</v>
      </c>
      <c r="AH370">
        <f t="shared" si="316"/>
        <v>-1282.3684132974431</v>
      </c>
      <c r="AJ370">
        <f t="shared" si="284"/>
        <v>18000</v>
      </c>
      <c r="AK370">
        <f t="shared" si="285"/>
        <v>116445.01652784001</v>
      </c>
      <c r="AL370">
        <v>1</v>
      </c>
      <c r="AM370">
        <f t="shared" si="286"/>
        <v>200.54419513127999</v>
      </c>
      <c r="AN370">
        <f t="shared" si="317"/>
        <v>581.07827414774454</v>
      </c>
      <c r="AO370">
        <f t="shared" si="318"/>
        <v>-86.858269392686751</v>
      </c>
      <c r="AQ370">
        <f t="shared" si="287"/>
        <v>4.1091370360219282E-3</v>
      </c>
      <c r="AR370">
        <f t="shared" si="288"/>
        <v>-6.4102537761942076</v>
      </c>
      <c r="AT370">
        <f t="shared" si="313"/>
        <v>-8219.0294472051264</v>
      </c>
      <c r="AU370">
        <f t="shared" si="314"/>
        <v>-1998.195334432824</v>
      </c>
      <c r="AV370">
        <f t="shared" si="302"/>
        <v>-2.9031014282123699</v>
      </c>
      <c r="AW370">
        <f t="shared" si="303"/>
        <v>358.26409685810466</v>
      </c>
      <c r="AX370">
        <f t="shared" si="304"/>
        <v>-5325.0184601091005</v>
      </c>
      <c r="AY370">
        <f t="shared" si="312"/>
        <v>-1.5036181564547022</v>
      </c>
      <c r="BA370">
        <f t="shared" si="289"/>
        <v>1.5848512990593389</v>
      </c>
      <c r="BB370">
        <f t="shared" si="305"/>
        <v>3.9997704032830583</v>
      </c>
      <c r="BC370">
        <f t="shared" si="306"/>
        <v>-1.3994832717576677</v>
      </c>
      <c r="BD370">
        <f t="shared" si="290"/>
        <v>-260.18448506249854</v>
      </c>
      <c r="BF370">
        <f t="shared" si="291"/>
        <v>-46.282681833518453</v>
      </c>
      <c r="BG370">
        <f t="shared" si="292"/>
        <v>-178.85128936904508</v>
      </c>
      <c r="BH370">
        <f t="shared" si="307"/>
        <v>1.1487106309549233</v>
      </c>
      <c r="BI370">
        <f t="shared" si="308"/>
        <v>1.1487106309549233</v>
      </c>
      <c r="BJ370">
        <f t="shared" si="293"/>
        <v>0</v>
      </c>
      <c r="BK370">
        <f t="shared" si="309"/>
        <v>0</v>
      </c>
      <c r="BM370">
        <f t="shared" si="310"/>
        <v>-50.282452236801511</v>
      </c>
      <c r="BN370">
        <f t="shared" si="294"/>
        <v>-98.666804306546567</v>
      </c>
      <c r="BQ370" s="56">
        <f t="shared" si="311"/>
        <v>20.901731203568193</v>
      </c>
      <c r="BR370" s="59"/>
      <c r="BS370" s="59"/>
      <c r="BT370" s="59">
        <v>398107.17099999997</v>
      </c>
      <c r="BU370" s="59">
        <v>14.525499999999999</v>
      </c>
      <c r="BV370" s="59">
        <v>-214.58500000000001</v>
      </c>
      <c r="BW370" s="61"/>
      <c r="BY370" s="59"/>
      <c r="BZ370" s="59"/>
      <c r="CA370" s="59"/>
      <c r="CC370" s="59"/>
    </row>
    <row r="371" spans="1:81" x14ac:dyDescent="0.25">
      <c r="A371">
        <f t="shared" si="319"/>
        <v>785000</v>
      </c>
      <c r="B371">
        <f t="shared" si="295"/>
        <v>785</v>
      </c>
      <c r="C371">
        <f t="shared" si="264"/>
        <v>6.5869863397161206</v>
      </c>
      <c r="D371">
        <f t="shared" si="265"/>
        <v>1.4183925390116872</v>
      </c>
      <c r="F371">
        <f t="shared" si="266"/>
        <v>3.0779374665071718E-5</v>
      </c>
      <c r="G371">
        <f t="shared" si="267"/>
        <v>2.087878195021842E-3</v>
      </c>
      <c r="H371">
        <f t="shared" si="268"/>
        <v>-3.1395047718049782</v>
      </c>
      <c r="J371">
        <f t="shared" si="269"/>
        <v>15</v>
      </c>
      <c r="M371">
        <f t="shared" si="270"/>
        <v>2.3223957693837985E-3</v>
      </c>
      <c r="N371">
        <f t="shared" si="271"/>
        <v>-1.5707963250000001</v>
      </c>
      <c r="O371">
        <f t="shared" si="272"/>
        <v>129.82199960484252</v>
      </c>
      <c r="P371">
        <f t="shared" si="273"/>
        <v>1.5630933959179805</v>
      </c>
      <c r="Q371">
        <f t="shared" si="274"/>
        <v>201.83221216411937</v>
      </c>
      <c r="R371">
        <f t="shared" si="275"/>
        <v>1.5658416960118136</v>
      </c>
      <c r="S371">
        <f t="shared" si="276"/>
        <v>0.15181449428102156</v>
      </c>
      <c r="T371">
        <f t="shared" si="277"/>
        <v>-1.4183925390116872</v>
      </c>
      <c r="U371">
        <f t="shared" si="278"/>
        <v>0.24168285877796372</v>
      </c>
      <c r="V371">
        <f t="shared" si="279"/>
        <v>-1.3266965785590792</v>
      </c>
      <c r="X371">
        <f t="shared" si="296"/>
        <v>-43.362561865457572</v>
      </c>
      <c r="Y371">
        <f t="shared" si="280"/>
        <v>-166.61971278108487</v>
      </c>
      <c r="Z371">
        <f t="shared" si="297"/>
        <v>13.380287218915129</v>
      </c>
      <c r="AC371">
        <v>1</v>
      </c>
      <c r="AD371">
        <f t="shared" si="281"/>
        <v>129.81814812035998</v>
      </c>
      <c r="AE371">
        <f t="shared" si="282"/>
        <v>-9.6045316763296307E-2</v>
      </c>
      <c r="AF371">
        <f t="shared" si="283"/>
        <v>2.3921657233425E-2</v>
      </c>
      <c r="AG371">
        <f t="shared" si="315"/>
        <v>307.17931279871789</v>
      </c>
      <c r="AH371">
        <f t="shared" si="316"/>
        <v>-1275.1263051400736</v>
      </c>
      <c r="AJ371">
        <f t="shared" si="284"/>
        <v>18000</v>
      </c>
      <c r="AK371">
        <f t="shared" si="285"/>
        <v>117191.45894148</v>
      </c>
      <c r="AL371">
        <v>1</v>
      </c>
      <c r="AM371">
        <f t="shared" si="286"/>
        <v>201.82973484365996</v>
      </c>
      <c r="AN371">
        <f t="shared" si="317"/>
        <v>581.07277449272738</v>
      </c>
      <c r="AO371">
        <f t="shared" si="318"/>
        <v>-86.305059257002981</v>
      </c>
      <c r="AQ371">
        <f t="shared" si="287"/>
        <v>4.056958068498491E-3</v>
      </c>
      <c r="AR371">
        <f t="shared" si="288"/>
        <v>-6.3694241675426317</v>
      </c>
      <c r="AT371">
        <f t="shared" si="313"/>
        <v>-8120.5740910369905</v>
      </c>
      <c r="AU371">
        <f t="shared" si="314"/>
        <v>-1961.7284726612841</v>
      </c>
      <c r="AV371">
        <f t="shared" si="302"/>
        <v>-2.9045588936418678</v>
      </c>
      <c r="AW371">
        <f t="shared" si="303"/>
        <v>361.33398955584659</v>
      </c>
      <c r="AX371">
        <f t="shared" si="304"/>
        <v>-5292.0502599992406</v>
      </c>
      <c r="AY371">
        <f t="shared" si="312"/>
        <v>-1.502623496313009</v>
      </c>
      <c r="BA371">
        <f t="shared" si="289"/>
        <v>1.5749588009208444</v>
      </c>
      <c r="BB371">
        <f t="shared" si="305"/>
        <v>3.9453839527757695</v>
      </c>
      <c r="BC371">
        <f t="shared" si="306"/>
        <v>-1.4019353973288589</v>
      </c>
      <c r="BD371">
        <f t="shared" si="290"/>
        <v>-260.32498150872442</v>
      </c>
      <c r="BF371">
        <f t="shared" si="291"/>
        <v>-46.393859767113561</v>
      </c>
      <c r="BG371">
        <f t="shared" si="292"/>
        <v>-178.93744862879879</v>
      </c>
      <c r="BH371">
        <f t="shared" si="307"/>
        <v>1.0625513712012093</v>
      </c>
      <c r="BI371">
        <f t="shared" si="308"/>
        <v>1.0625513712012093</v>
      </c>
      <c r="BJ371">
        <f t="shared" si="293"/>
        <v>0</v>
      </c>
      <c r="BK371">
        <f t="shared" si="309"/>
        <v>0</v>
      </c>
      <c r="BM371">
        <f t="shared" si="310"/>
        <v>-50.339243719889325</v>
      </c>
      <c r="BN371">
        <f t="shared" si="294"/>
        <v>-98.612467120074385</v>
      </c>
      <c r="BQ371" s="56">
        <f t="shared" si="311"/>
        <v>20.847344753060906</v>
      </c>
      <c r="BR371" s="59"/>
      <c r="BS371" s="59"/>
      <c r="BT371" s="59">
        <v>407380.27799999999</v>
      </c>
      <c r="BU371" s="59">
        <v>14.4298</v>
      </c>
      <c r="BV371" s="59">
        <v>-217.34299999999999</v>
      </c>
      <c r="BW371" s="61"/>
      <c r="BY371" s="59"/>
      <c r="BZ371" s="59"/>
      <c r="CA371" s="59"/>
      <c r="CC371" s="59"/>
    </row>
    <row r="372" spans="1:81" x14ac:dyDescent="0.25">
      <c r="A372">
        <f t="shared" si="319"/>
        <v>790000</v>
      </c>
      <c r="B372">
        <f t="shared" si="295"/>
        <v>790</v>
      </c>
      <c r="C372">
        <f t="shared" si="264"/>
        <v>6.6279776853641597</v>
      </c>
      <c r="D372">
        <f t="shared" si="265"/>
        <v>1.4193423912890428</v>
      </c>
      <c r="F372">
        <f t="shared" si="266"/>
        <v>3.0390984241170132E-5</v>
      </c>
      <c r="G372">
        <f t="shared" si="267"/>
        <v>2.0746630036096135E-3</v>
      </c>
      <c r="H372">
        <f t="shared" si="268"/>
        <v>-3.1395179869963905</v>
      </c>
      <c r="J372">
        <f t="shared" si="269"/>
        <v>15</v>
      </c>
      <c r="M372">
        <f t="shared" si="270"/>
        <v>2.3076970619826348E-3</v>
      </c>
      <c r="N372">
        <f t="shared" si="271"/>
        <v>-1.5707963250000001</v>
      </c>
      <c r="O372">
        <f t="shared" si="272"/>
        <v>130.64884241455479</v>
      </c>
      <c r="P372">
        <f t="shared" si="273"/>
        <v>1.5631421467348412</v>
      </c>
      <c r="Q372">
        <f t="shared" si="274"/>
        <v>203.11773619744659</v>
      </c>
      <c r="R372">
        <f t="shared" si="275"/>
        <v>1.5658730539261569</v>
      </c>
      <c r="S372">
        <f t="shared" si="276"/>
        <v>0.15087558339373883</v>
      </c>
      <c r="T372">
        <f t="shared" si="277"/>
        <v>-1.4193423912890428</v>
      </c>
      <c r="U372">
        <f t="shared" si="278"/>
        <v>0.2402417700400277</v>
      </c>
      <c r="V372">
        <f t="shared" si="279"/>
        <v>-1.328181419062</v>
      </c>
      <c r="X372">
        <f t="shared" si="296"/>
        <v>-43.469664916122298</v>
      </c>
      <c r="Y372">
        <f t="shared" si="280"/>
        <v>-166.70095515773838</v>
      </c>
      <c r="Z372">
        <f t="shared" si="297"/>
        <v>13.299044842261623</v>
      </c>
      <c r="AC372">
        <v>1</v>
      </c>
      <c r="AD372">
        <f t="shared" si="281"/>
        <v>130.64501530584002</v>
      </c>
      <c r="AE372">
        <f t="shared" si="282"/>
        <v>-9.7272720503019564E-2</v>
      </c>
      <c r="AF372">
        <f t="shared" si="283"/>
        <v>2.407402447695E-2</v>
      </c>
      <c r="AG372">
        <f t="shared" si="315"/>
        <v>303.52698195066148</v>
      </c>
      <c r="AH372">
        <f t="shared" si="316"/>
        <v>-1267.9598008068087</v>
      </c>
      <c r="AJ372">
        <f t="shared" si="284"/>
        <v>18000</v>
      </c>
      <c r="AK372">
        <f t="shared" si="285"/>
        <v>117937.90135512002</v>
      </c>
      <c r="AL372">
        <v>1</v>
      </c>
      <c r="AM372">
        <f t="shared" si="286"/>
        <v>203.11527455603999</v>
      </c>
      <c r="AN372">
        <f t="shared" si="317"/>
        <v>581.06737892735782</v>
      </c>
      <c r="AO372">
        <f t="shared" si="318"/>
        <v>-85.758851268798665</v>
      </c>
      <c r="AQ372">
        <f t="shared" si="287"/>
        <v>4.0057667017438306E-3</v>
      </c>
      <c r="AR372">
        <f t="shared" si="288"/>
        <v>-6.3291113887552521</v>
      </c>
      <c r="AT372">
        <f t="shared" si="313"/>
        <v>-8023.842957492835</v>
      </c>
      <c r="AU372">
        <f t="shared" si="314"/>
        <v>-1926.135229407663</v>
      </c>
      <c r="AV372">
        <f t="shared" si="302"/>
        <v>-2.9059990146090566</v>
      </c>
      <c r="AW372">
        <f t="shared" si="303"/>
        <v>364.33998280445394</v>
      </c>
      <c r="AX372">
        <f t="shared" si="304"/>
        <v>-5259.4829639052132</v>
      </c>
      <c r="AY372">
        <f t="shared" si="312"/>
        <v>-1.5016338509084459</v>
      </c>
      <c r="BA372">
        <f t="shared" si="289"/>
        <v>1.5651847901993803</v>
      </c>
      <c r="BB372">
        <f t="shared" si="305"/>
        <v>3.8913123791987796</v>
      </c>
      <c r="BC372">
        <f t="shared" si="306"/>
        <v>-1.4043651637006107</v>
      </c>
      <c r="BD372">
        <f t="shared" si="290"/>
        <v>-260.4641968671877</v>
      </c>
      <c r="BF372">
        <f t="shared" si="291"/>
        <v>-46.504346380749844</v>
      </c>
      <c r="BG372">
        <f t="shared" si="292"/>
        <v>-179.02299863524078</v>
      </c>
      <c r="BH372">
        <f t="shared" si="307"/>
        <v>0.97700136475921795</v>
      </c>
      <c r="BI372">
        <f t="shared" si="308"/>
        <v>0.97700136475921795</v>
      </c>
      <c r="BJ372">
        <f t="shared" si="293"/>
        <v>0</v>
      </c>
      <c r="BK372">
        <f t="shared" si="309"/>
        <v>0</v>
      </c>
      <c r="BM372">
        <f t="shared" si="310"/>
        <v>-50.395658759948631</v>
      </c>
      <c r="BN372">
        <f t="shared" si="294"/>
        <v>-98.558801768053087</v>
      </c>
      <c r="BQ372" s="56">
        <f t="shared" si="311"/>
        <v>20.793273179483919</v>
      </c>
      <c r="BR372" s="59"/>
      <c r="BS372" s="59"/>
      <c r="BT372" s="59">
        <v>416869.38299999997</v>
      </c>
      <c r="BU372" s="59">
        <v>14.126799999999999</v>
      </c>
      <c r="BV372" s="59">
        <v>-219.017</v>
      </c>
      <c r="BW372" s="61"/>
      <c r="BY372" s="59"/>
      <c r="BZ372" s="59"/>
      <c r="CA372" s="59"/>
      <c r="CC372" s="59"/>
    </row>
    <row r="373" spans="1:81" x14ac:dyDescent="0.25">
      <c r="A373">
        <f t="shared" si="319"/>
        <v>795000</v>
      </c>
      <c r="B373">
        <f t="shared" si="295"/>
        <v>795</v>
      </c>
      <c r="C373">
        <f t="shared" si="264"/>
        <v>6.6689749373871203</v>
      </c>
      <c r="D373">
        <f t="shared" si="265"/>
        <v>1.4202805660477489</v>
      </c>
      <c r="F373">
        <f t="shared" si="266"/>
        <v>3.0009899143868786E-5</v>
      </c>
      <c r="G373">
        <f t="shared" si="267"/>
        <v>2.0616140554581015E-3</v>
      </c>
      <c r="H373">
        <f t="shared" si="268"/>
        <v>-3.1395310359445423</v>
      </c>
      <c r="J373">
        <f t="shared" si="269"/>
        <v>15</v>
      </c>
      <c r="M373">
        <f t="shared" si="270"/>
        <v>2.2931832439827445E-3</v>
      </c>
      <c r="N373">
        <f t="shared" si="271"/>
        <v>-1.5707963250000001</v>
      </c>
      <c r="O373">
        <f t="shared" si="272"/>
        <v>131.47568553086711</v>
      </c>
      <c r="P373">
        <f t="shared" si="273"/>
        <v>1.5631902843695804</v>
      </c>
      <c r="Q373">
        <f t="shared" si="274"/>
        <v>204.40326042799103</v>
      </c>
      <c r="R373">
        <f t="shared" si="275"/>
        <v>1.5659040174108267</v>
      </c>
      <c r="S373">
        <f t="shared" si="276"/>
        <v>0.14994808188494957</v>
      </c>
      <c r="T373">
        <f t="shared" si="277"/>
        <v>-1.4202805660477487</v>
      </c>
      <c r="U373">
        <f t="shared" si="278"/>
        <v>0.23881724786557826</v>
      </c>
      <c r="V373">
        <f t="shared" si="279"/>
        <v>-1.3296486539381027</v>
      </c>
      <c r="X373">
        <f t="shared" si="296"/>
        <v>-43.57612986389303</v>
      </c>
      <c r="Y373">
        <f t="shared" si="280"/>
        <v>-166.7812370131445</v>
      </c>
      <c r="Z373">
        <f t="shared" si="297"/>
        <v>13.218762986855495</v>
      </c>
      <c r="AC373">
        <v>1</v>
      </c>
      <c r="AD373">
        <f t="shared" si="281"/>
        <v>131.47188249132</v>
      </c>
      <c r="AE373">
        <f t="shared" si="282"/>
        <v>-9.8507917282360108E-2</v>
      </c>
      <c r="AF373">
        <f t="shared" si="283"/>
        <v>2.4226391720474999E-2</v>
      </c>
      <c r="AG373">
        <f t="shared" si="315"/>
        <v>299.9381055683337</v>
      </c>
      <c r="AH373">
        <f t="shared" si="316"/>
        <v>-1260.86783560661</v>
      </c>
      <c r="AJ373">
        <f t="shared" si="284"/>
        <v>18000</v>
      </c>
      <c r="AK373">
        <f t="shared" si="285"/>
        <v>118684.34376876001</v>
      </c>
      <c r="AL373">
        <v>1</v>
      </c>
      <c r="AM373">
        <f t="shared" si="286"/>
        <v>204.40081426841999</v>
      </c>
      <c r="AN373">
        <f t="shared" si="317"/>
        <v>581.06208484138506</v>
      </c>
      <c r="AO373">
        <f t="shared" si="318"/>
        <v>-85.219513324853949</v>
      </c>
      <c r="AQ373">
        <f t="shared" si="287"/>
        <v>3.9555381687677825E-3</v>
      </c>
      <c r="AR373">
        <f t="shared" si="288"/>
        <v>-6.2893056883407743</v>
      </c>
      <c r="AT373">
        <f t="shared" si="313"/>
        <v>-7928.7968341017295</v>
      </c>
      <c r="AU373">
        <f t="shared" si="314"/>
        <v>-1891.3898443505902</v>
      </c>
      <c r="AV373">
        <f t="shared" si="302"/>
        <v>-2.9074220924236309</v>
      </c>
      <c r="AW373">
        <f t="shared" si="303"/>
        <v>367.28384665576868</v>
      </c>
      <c r="AX373">
        <f t="shared" si="304"/>
        <v>-5227.3093754134297</v>
      </c>
      <c r="AY373">
        <f t="shared" si="312"/>
        <v>-1.5006491057963602</v>
      </c>
      <c r="BA373">
        <f t="shared" si="289"/>
        <v>1.5555271809220821</v>
      </c>
      <c r="BB373">
        <f t="shared" si="305"/>
        <v>3.8375520854465228</v>
      </c>
      <c r="BC373">
        <f t="shared" si="306"/>
        <v>-1.4067729866272707</v>
      </c>
      <c r="BD373">
        <f t="shared" si="290"/>
        <v>-260.6021549588578</v>
      </c>
      <c r="BF373">
        <f t="shared" si="291"/>
        <v>-46.614150310029238</v>
      </c>
      <c r="BG373">
        <f t="shared" si="292"/>
        <v>-179.10795092238692</v>
      </c>
      <c r="BH373">
        <f t="shared" si="307"/>
        <v>0.8920490776130805</v>
      </c>
      <c r="BI373">
        <f t="shared" si="308"/>
        <v>0.8920490776130805</v>
      </c>
      <c r="BJ373">
        <f t="shared" si="293"/>
        <v>0</v>
      </c>
      <c r="BK373">
        <f t="shared" si="309"/>
        <v>0</v>
      </c>
      <c r="BM373">
        <f t="shared" si="310"/>
        <v>-50.451702395475763</v>
      </c>
      <c r="BN373">
        <f t="shared" si="294"/>
        <v>-98.505795963529138</v>
      </c>
      <c r="BQ373" s="56">
        <f t="shared" si="311"/>
        <v>20.73951288573166</v>
      </c>
      <c r="BR373" s="59"/>
      <c r="BS373" s="59"/>
      <c r="BT373" s="59">
        <v>426579.51899999997</v>
      </c>
      <c r="BU373" s="59">
        <v>14.106299999999999</v>
      </c>
      <c r="BV373" s="59">
        <v>-221.39400000000001</v>
      </c>
      <c r="BW373" s="61"/>
      <c r="BY373" s="59"/>
      <c r="BZ373" s="59"/>
      <c r="CA373" s="59"/>
      <c r="CC373" s="59"/>
    </row>
    <row r="374" spans="1:81" x14ac:dyDescent="0.25">
      <c r="A374">
        <f t="shared" si="319"/>
        <v>800000</v>
      </c>
      <c r="B374">
        <f t="shared" si="295"/>
        <v>800</v>
      </c>
      <c r="C374">
        <f t="shared" si="264"/>
        <v>6.7099779875230343</v>
      </c>
      <c r="D374">
        <f t="shared" si="265"/>
        <v>1.421207275696436</v>
      </c>
      <c r="F374">
        <f t="shared" si="266"/>
        <v>2.963593730347348E-5</v>
      </c>
      <c r="G374">
        <f t="shared" si="267"/>
        <v>2.0487282331485813E-3</v>
      </c>
      <c r="H374">
        <f t="shared" si="268"/>
        <v>-3.1395439217668515</v>
      </c>
      <c r="J374">
        <f t="shared" si="269"/>
        <v>15</v>
      </c>
      <c r="M374">
        <f t="shared" si="270"/>
        <v>2.2788508487078521E-3</v>
      </c>
      <c r="N374">
        <f t="shared" si="271"/>
        <v>-1.5707963250000001</v>
      </c>
      <c r="O374">
        <f t="shared" si="272"/>
        <v>132.30252894803104</v>
      </c>
      <c r="P374">
        <f t="shared" si="273"/>
        <v>1.5632378203184787</v>
      </c>
      <c r="Q374">
        <f t="shared" si="274"/>
        <v>205.68878485205497</v>
      </c>
      <c r="R374">
        <f t="shared" si="275"/>
        <v>1.5659345938611444</v>
      </c>
      <c r="S374">
        <f t="shared" si="276"/>
        <v>0.14903178547820348</v>
      </c>
      <c r="T374">
        <f t="shared" si="277"/>
        <v>-1.421207275696436</v>
      </c>
      <c r="U374">
        <f t="shared" si="278"/>
        <v>0.23740901753548221</v>
      </c>
      <c r="V374">
        <f t="shared" si="279"/>
        <v>-1.3310985882581892</v>
      </c>
      <c r="X374">
        <f t="shared" si="296"/>
        <v>-43.681964062295663</v>
      </c>
      <c r="Y374">
        <f t="shared" si="280"/>
        <v>-166.86057492277845</v>
      </c>
      <c r="Z374">
        <f t="shared" si="297"/>
        <v>13.139425077221546</v>
      </c>
      <c r="AC374">
        <v>1</v>
      </c>
      <c r="AD374">
        <f t="shared" si="281"/>
        <v>132.29874967679999</v>
      </c>
      <c r="AE374">
        <f t="shared" si="282"/>
        <v>-9.975090710131794E-2</v>
      </c>
      <c r="AF374">
        <f t="shared" si="283"/>
        <v>2.4378758964000002E-2</v>
      </c>
      <c r="AG374">
        <f t="shared" si="315"/>
        <v>296.41125301190283</v>
      </c>
      <c r="AH374">
        <f t="shared" si="316"/>
        <v>-1253.8493615739069</v>
      </c>
      <c r="AJ374">
        <f t="shared" si="284"/>
        <v>18000</v>
      </c>
      <c r="AK374">
        <f t="shared" si="285"/>
        <v>119430.78618240001</v>
      </c>
      <c r="AL374">
        <v>1</v>
      </c>
      <c r="AM374">
        <f t="shared" si="286"/>
        <v>205.68635398079999</v>
      </c>
      <c r="AN374">
        <f t="shared" si="317"/>
        <v>581.05688970586959</v>
      </c>
      <c r="AO374">
        <f t="shared" si="318"/>
        <v>-84.686916624134042</v>
      </c>
      <c r="AQ374">
        <f t="shared" si="287"/>
        <v>3.90624847412169E-3</v>
      </c>
      <c r="AR374">
        <f t="shared" si="288"/>
        <v>-6.2499975585947034</v>
      </c>
      <c r="AT374">
        <f t="shared" si="313"/>
        <v>-7835.3975926776557</v>
      </c>
      <c r="AU374">
        <f t="shared" si="314"/>
        <v>-1857.4674548198161</v>
      </c>
      <c r="AV374">
        <f t="shared" si="302"/>
        <v>-2.9088284216108837</v>
      </c>
      <c r="AW374">
        <f t="shared" si="303"/>
        <v>370.16729030985152</v>
      </c>
      <c r="AX374">
        <f t="shared" si="304"/>
        <v>-5195.5224680312695</v>
      </c>
      <c r="AY374">
        <f t="shared" si="312"/>
        <v>-1.499669150035104</v>
      </c>
      <c r="BA374">
        <f t="shared" si="289"/>
        <v>1.5459839346780453</v>
      </c>
      <c r="BB374">
        <f t="shared" si="305"/>
        <v>3.7840995314012775</v>
      </c>
      <c r="BC374">
        <f t="shared" si="306"/>
        <v>-1.4091592715757797</v>
      </c>
      <c r="BD374">
        <f t="shared" si="290"/>
        <v>-260.73887901527917</v>
      </c>
      <c r="BF374">
        <f t="shared" si="291"/>
        <v>-46.723280031900948</v>
      </c>
      <c r="BG374">
        <f t="shared" si="292"/>
        <v>-179.19231673027852</v>
      </c>
      <c r="BH374">
        <f t="shared" si="307"/>
        <v>0.80768326972147975</v>
      </c>
      <c r="BI374">
        <f t="shared" si="308"/>
        <v>0.80768326972147975</v>
      </c>
      <c r="BJ374">
        <f t="shared" si="293"/>
        <v>0</v>
      </c>
      <c r="BK374">
        <f t="shared" si="309"/>
        <v>0</v>
      </c>
      <c r="BM374">
        <f t="shared" si="310"/>
        <v>-50.50737956330223</v>
      </c>
      <c r="BN374">
        <f t="shared" si="294"/>
        <v>-98.453437714999367</v>
      </c>
      <c r="BQ374" s="56">
        <f t="shared" si="311"/>
        <v>20.686060331686416</v>
      </c>
      <c r="BR374" s="59"/>
      <c r="BS374" s="59"/>
      <c r="BT374" s="59">
        <v>436515.83199999999</v>
      </c>
      <c r="BU374" s="59">
        <v>13.8226</v>
      </c>
      <c r="BV374" s="59">
        <v>-223.214</v>
      </c>
      <c r="BW374" s="61"/>
      <c r="BY374" s="59"/>
      <c r="BZ374" s="59"/>
      <c r="CA374" s="59"/>
      <c r="CC374" s="59"/>
    </row>
    <row r="375" spans="1:81" x14ac:dyDescent="0.25">
      <c r="A375">
        <f t="shared" si="319"/>
        <v>805000</v>
      </c>
      <c r="B375">
        <f t="shared" si="295"/>
        <v>805</v>
      </c>
      <c r="C375">
        <f t="shared" si="264"/>
        <v>6.7509867301249846</v>
      </c>
      <c r="D375">
        <f t="shared" si="265"/>
        <v>1.422122727562515</v>
      </c>
      <c r="F375">
        <f t="shared" si="266"/>
        <v>2.9268922287324333E-5</v>
      </c>
      <c r="G375">
        <f t="shared" si="267"/>
        <v>2.0360024967247289E-3</v>
      </c>
      <c r="H375">
        <f t="shared" si="268"/>
        <v>-3.1395566475032757</v>
      </c>
      <c r="J375">
        <f t="shared" si="269"/>
        <v>15</v>
      </c>
      <c r="M375">
        <f t="shared" si="270"/>
        <v>2.2646964956102877E-3</v>
      </c>
      <c r="N375">
        <f t="shared" si="271"/>
        <v>-1.5707963250000001</v>
      </c>
      <c r="O375">
        <f t="shared" si="272"/>
        <v>133.12937266044096</v>
      </c>
      <c r="P375">
        <f t="shared" si="273"/>
        <v>1.5632847657922222</v>
      </c>
      <c r="Q375">
        <f t="shared" si="274"/>
        <v>206.97430946603254</v>
      </c>
      <c r="R375">
        <f t="shared" si="275"/>
        <v>1.5659647904887033</v>
      </c>
      <c r="S375">
        <f t="shared" si="276"/>
        <v>0.14812649468524236</v>
      </c>
      <c r="T375">
        <f t="shared" si="277"/>
        <v>-1.422122727562515</v>
      </c>
      <c r="U375">
        <f t="shared" si="278"/>
        <v>0.23601681014492129</v>
      </c>
      <c r="V375">
        <f t="shared" si="279"/>
        <v>-1.3325315202319443</v>
      </c>
      <c r="X375">
        <f t="shared" si="296"/>
        <v>-43.787174741880406</v>
      </c>
      <c r="Y375">
        <f t="shared" si="280"/>
        <v>-166.93898509145447</v>
      </c>
      <c r="Z375">
        <f t="shared" si="297"/>
        <v>13.06101490854553</v>
      </c>
      <c r="AC375">
        <v>1</v>
      </c>
      <c r="AD375">
        <f t="shared" si="281"/>
        <v>133.12561686228</v>
      </c>
      <c r="AE375">
        <f t="shared" si="282"/>
        <v>-0.10100168995989306</v>
      </c>
      <c r="AF375">
        <f t="shared" si="283"/>
        <v>2.4531126207525001E-2</v>
      </c>
      <c r="AG375">
        <f t="shared" si="315"/>
        <v>292.94503282131518</v>
      </c>
      <c r="AH375">
        <f t="shared" si="316"/>
        <v>-1246.9033472636174</v>
      </c>
      <c r="AJ375">
        <f t="shared" si="284"/>
        <v>18000</v>
      </c>
      <c r="AK375">
        <f t="shared" si="285"/>
        <v>120177.22859604</v>
      </c>
      <c r="AL375">
        <v>1</v>
      </c>
      <c r="AM375">
        <f t="shared" si="286"/>
        <v>206.97189369317999</v>
      </c>
      <c r="AN375">
        <f t="shared" si="317"/>
        <v>581.05179107016124</v>
      </c>
      <c r="AO375">
        <f t="shared" si="318"/>
        <v>-84.160935565251663</v>
      </c>
      <c r="AQ375">
        <f t="shared" si="287"/>
        <v>3.8578743652349966E-3</v>
      </c>
      <c r="AR375">
        <f t="shared" si="288"/>
        <v>-6.2111777280283444</v>
      </c>
      <c r="AT375">
        <f t="shared" si="313"/>
        <v>-7743.6081543952287</v>
      </c>
      <c r="AU375">
        <f t="shared" si="314"/>
        <v>-1824.3440598556192</v>
      </c>
      <c r="AV375">
        <f t="shared" si="302"/>
        <v>-2.910218290096966</v>
      </c>
      <c r="AW375">
        <f t="shared" si="303"/>
        <v>372.99196459857274</v>
      </c>
      <c r="AX375">
        <f t="shared" si="304"/>
        <v>-5164.1153802246254</v>
      </c>
      <c r="AY375">
        <f t="shared" si="312"/>
        <v>-1.4986938760566759</v>
      </c>
      <c r="BA375">
        <f t="shared" si="289"/>
        <v>1.5365530593093264</v>
      </c>
      <c r="BB375">
        <f t="shared" si="305"/>
        <v>3.7309512328487831</v>
      </c>
      <c r="BC375">
        <f t="shared" si="306"/>
        <v>-1.4115244140402901</v>
      </c>
      <c r="BD375">
        <f t="shared" si="290"/>
        <v>-260.87439169659763</v>
      </c>
      <c r="BF375">
        <f t="shared" si="291"/>
        <v>-46.831743868482931</v>
      </c>
      <c r="BG375">
        <f t="shared" si="292"/>
        <v>-179.27610701425249</v>
      </c>
      <c r="BH375">
        <f t="shared" si="307"/>
        <v>0.72389298574751137</v>
      </c>
      <c r="BI375">
        <f t="shared" si="308"/>
        <v>0.72389298574751137</v>
      </c>
      <c r="BJ375">
        <f t="shared" si="293"/>
        <v>0</v>
      </c>
      <c r="BK375">
        <f t="shared" si="309"/>
        <v>0</v>
      </c>
      <c r="BM375">
        <f t="shared" si="310"/>
        <v>-50.562695101331713</v>
      </c>
      <c r="BN375">
        <f t="shared" si="294"/>
        <v>-98.401715317654862</v>
      </c>
      <c r="BQ375" s="56">
        <f t="shared" si="311"/>
        <v>20.63291203313392</v>
      </c>
      <c r="BR375" s="59"/>
      <c r="BS375" s="59"/>
      <c r="BT375" s="59">
        <v>446683.592</v>
      </c>
      <c r="BU375" s="59">
        <v>13.599500000000001</v>
      </c>
      <c r="BV375" s="59">
        <v>-225.053</v>
      </c>
      <c r="BW375" s="61"/>
      <c r="BY375" s="59"/>
      <c r="BZ375" s="59"/>
      <c r="CA375" s="59"/>
      <c r="CC375" s="59"/>
    </row>
    <row r="376" spans="1:81" x14ac:dyDescent="0.25">
      <c r="A376">
        <f t="shared" si="319"/>
        <v>810000</v>
      </c>
      <c r="B376">
        <f t="shared" si="295"/>
        <v>810</v>
      </c>
      <c r="C376">
        <f t="shared" si="264"/>
        <v>6.7920010620830613</v>
      </c>
      <c r="D376">
        <f t="shared" si="265"/>
        <v>1.4230271240420331</v>
      </c>
      <c r="F376">
        <f t="shared" si="266"/>
        <v>2.8908683091650554E-5</v>
      </c>
      <c r="G376">
        <f t="shared" si="267"/>
        <v>2.023433881301401E-3</v>
      </c>
      <c r="H376">
        <f t="shared" si="268"/>
        <v>-3.1395692161186988</v>
      </c>
      <c r="J376">
        <f t="shared" si="269"/>
        <v>15</v>
      </c>
      <c r="M376">
        <f t="shared" si="270"/>
        <v>2.2507168876126932E-3</v>
      </c>
      <c r="N376">
        <f t="shared" si="271"/>
        <v>-1.5707963250000001</v>
      </c>
      <c r="O376">
        <f t="shared" si="272"/>
        <v>133.95621666262974</v>
      </c>
      <c r="P376">
        <f t="shared" si="273"/>
        <v>1.5633311317247156</v>
      </c>
      <c r="Q376">
        <f t="shared" si="274"/>
        <v>208.25983426640687</v>
      </c>
      <c r="R376">
        <f t="shared" si="275"/>
        <v>1.56599461432704</v>
      </c>
      <c r="S376">
        <f t="shared" si="276"/>
        <v>0.1472320146683409</v>
      </c>
      <c r="T376">
        <f t="shared" si="277"/>
        <v>-1.4230271240420329</v>
      </c>
      <c r="U376">
        <f t="shared" si="278"/>
        <v>0.23464036245735895</v>
      </c>
      <c r="V376">
        <f t="shared" si="279"/>
        <v>-1.3339477413954073</v>
      </c>
      <c r="X376">
        <f t="shared" si="296"/>
        <v>-43.891769012874853</v>
      </c>
      <c r="Y376">
        <f t="shared" si="280"/>
        <v>-167.01648336337396</v>
      </c>
      <c r="Z376">
        <f t="shared" si="297"/>
        <v>12.983516636626035</v>
      </c>
      <c r="AC376">
        <v>1</v>
      </c>
      <c r="AD376">
        <f t="shared" si="281"/>
        <v>133.95248404776001</v>
      </c>
      <c r="AE376">
        <f t="shared" si="282"/>
        <v>-0.10226026585808547</v>
      </c>
      <c r="AF376">
        <f t="shared" si="283"/>
        <v>2.468349345105E-2</v>
      </c>
      <c r="AG376">
        <f t="shared" si="315"/>
        <v>289.53809146823346</v>
      </c>
      <c r="AH376">
        <f t="shared" si="316"/>
        <v>-1240.0287775425156</v>
      </c>
      <c r="AJ376">
        <f t="shared" si="284"/>
        <v>18000</v>
      </c>
      <c r="AK376">
        <f t="shared" si="285"/>
        <v>120923.67100967999</v>
      </c>
      <c r="AL376">
        <v>1</v>
      </c>
      <c r="AM376">
        <f t="shared" si="286"/>
        <v>208.25743340555999</v>
      </c>
      <c r="AN376">
        <f t="shared" si="317"/>
        <v>581.04678655901023</v>
      </c>
      <c r="AO376">
        <f t="shared" si="318"/>
        <v>-83.641447647726295</v>
      </c>
      <c r="AQ376">
        <f t="shared" si="287"/>
        <v>3.8103933049865473E-3</v>
      </c>
      <c r="AR376">
        <f t="shared" si="288"/>
        <v>-6.1728371540782065</v>
      </c>
      <c r="AT376">
        <f t="shared" si="313"/>
        <v>-7653.3924561353506</v>
      </c>
      <c r="AU376">
        <f t="shared" si="314"/>
        <v>-1791.9964858879443</v>
      </c>
      <c r="AV376">
        <f t="shared" si="302"/>
        <v>-2.9115919793882705</v>
      </c>
      <c r="AW376">
        <f t="shared" si="303"/>
        <v>375.7594643524755</v>
      </c>
      <c r="AX376">
        <f t="shared" si="304"/>
        <v>-5133.0814106281669</v>
      </c>
      <c r="AY376">
        <f t="shared" si="312"/>
        <v>-1.4977231795429127</v>
      </c>
      <c r="BA376">
        <f t="shared" si="289"/>
        <v>1.527232607643314</v>
      </c>
      <c r="BB376">
        <f t="shared" si="305"/>
        <v>3.6781037604149351</v>
      </c>
      <c r="BC376">
        <f t="shared" si="306"/>
        <v>-1.4138687998453578</v>
      </c>
      <c r="BD376">
        <f t="shared" si="290"/>
        <v>-261.00871510893188</v>
      </c>
      <c r="BF376">
        <f t="shared" si="291"/>
        <v>-46.939549990770317</v>
      </c>
      <c r="BG376">
        <f t="shared" si="292"/>
        <v>-179.35933245386354</v>
      </c>
      <c r="BH376">
        <f t="shared" si="307"/>
        <v>0.64066754613645571</v>
      </c>
      <c r="BI376">
        <f t="shared" si="308"/>
        <v>0.64066754613645571</v>
      </c>
      <c r="BJ376">
        <f t="shared" si="293"/>
        <v>0</v>
      </c>
      <c r="BK376">
        <f t="shared" si="309"/>
        <v>0</v>
      </c>
      <c r="BM376">
        <f t="shared" si="310"/>
        <v>-50.617653751185252</v>
      </c>
      <c r="BN376">
        <f t="shared" si="294"/>
        <v>-98.350617344931649</v>
      </c>
      <c r="BQ376" s="56">
        <f t="shared" si="311"/>
        <v>20.580064560700073</v>
      </c>
      <c r="BR376" s="59"/>
      <c r="BS376" s="59"/>
      <c r="BT376" s="59">
        <v>457088.19</v>
      </c>
      <c r="BU376" s="59">
        <v>13.3674</v>
      </c>
      <c r="BV376" s="59">
        <v>-226.50200000000001</v>
      </c>
      <c r="BW376" s="61"/>
      <c r="BY376" s="59"/>
      <c r="BZ376" s="59"/>
      <c r="CA376" s="59"/>
      <c r="CC376" s="59"/>
    </row>
    <row r="377" spans="1:81" x14ac:dyDescent="0.25">
      <c r="A377">
        <f t="shared" si="319"/>
        <v>815000</v>
      </c>
      <c r="B377">
        <f t="shared" si="295"/>
        <v>815</v>
      </c>
      <c r="C377">
        <f t="shared" si="264"/>
        <v>6.8330208827490821</v>
      </c>
      <c r="D377">
        <f t="shared" si="265"/>
        <v>1.4239206627442997</v>
      </c>
      <c r="F377">
        <f t="shared" si="266"/>
        <v>2.8555053942336987E-5</v>
      </c>
      <c r="G377">
        <f t="shared" si="267"/>
        <v>2.0110194947614533E-3</v>
      </c>
      <c r="H377">
        <f t="shared" si="268"/>
        <v>-3.1395816305052389</v>
      </c>
      <c r="J377">
        <f t="shared" si="269"/>
        <v>15</v>
      </c>
      <c r="M377">
        <f t="shared" si="270"/>
        <v>2.2369088085475849E-3</v>
      </c>
      <c r="N377">
        <f t="shared" si="271"/>
        <v>-1.5707963250000001</v>
      </c>
      <c r="O377">
        <f t="shared" si="272"/>
        <v>134.78306094926424</v>
      </c>
      <c r="P377">
        <f t="shared" si="273"/>
        <v>1.5633769287815724</v>
      </c>
      <c r="Q377">
        <f t="shared" si="274"/>
        <v>209.54535924974746</v>
      </c>
      <c r="R377">
        <f t="shared" si="275"/>
        <v>1.5660240722370955</v>
      </c>
      <c r="S377">
        <f t="shared" si="276"/>
        <v>0.14634815510730259</v>
      </c>
      <c r="T377">
        <f t="shared" si="277"/>
        <v>-1.4239206627442995</v>
      </c>
      <c r="U377">
        <f t="shared" si="278"/>
        <v>0.23327941676262332</v>
      </c>
      <c r="V377">
        <f t="shared" si="279"/>
        <v>-1.3353475367924794</v>
      </c>
      <c r="X377">
        <f t="shared" si="296"/>
        <v>-43.995753867767661</v>
      </c>
      <c r="Y377">
        <f t="shared" si="280"/>
        <v>-167.09308523185814</v>
      </c>
      <c r="Z377">
        <f t="shared" si="297"/>
        <v>12.90691476814186</v>
      </c>
      <c r="AC377">
        <v>1</v>
      </c>
      <c r="AD377">
        <f t="shared" si="281"/>
        <v>134.77935123323999</v>
      </c>
      <c r="AE377">
        <f t="shared" si="282"/>
        <v>-0.10352663479589516</v>
      </c>
      <c r="AF377">
        <f t="shared" si="283"/>
        <v>2.4835860694574999E-2</v>
      </c>
      <c r="AG377">
        <f t="shared" si="315"/>
        <v>286.18911215275642</v>
      </c>
      <c r="AH377">
        <f t="shared" si="316"/>
        <v>-1233.2246533775308</v>
      </c>
      <c r="AJ377">
        <f t="shared" si="284"/>
        <v>18000</v>
      </c>
      <c r="AK377">
        <f t="shared" si="285"/>
        <v>121670.11342332001</v>
      </c>
      <c r="AL377">
        <v>1</v>
      </c>
      <c r="AM377">
        <f t="shared" si="286"/>
        <v>209.54297311793999</v>
      </c>
      <c r="AN377">
        <f t="shared" si="317"/>
        <v>581.04187386979947</v>
      </c>
      <c r="AO377">
        <f t="shared" si="318"/>
        <v>-83.128333376877521</v>
      </c>
      <c r="AQ377">
        <f t="shared" si="287"/>
        <v>3.7637834454501691E-3</v>
      </c>
      <c r="AR377">
        <f t="shared" si="288"/>
        <v>-6.1349670160837757</v>
      </c>
      <c r="AT377">
        <f t="shared" si="313"/>
        <v>-7564.7154180499101</v>
      </c>
      <c r="AU377">
        <f t="shared" si="314"/>
        <v>-1760.4023539543643</v>
      </c>
      <c r="AV377">
        <f t="shared" si="302"/>
        <v>-2.9129497647451537</v>
      </c>
      <c r="AW377">
        <f t="shared" si="303"/>
        <v>378.47133065707715</v>
      </c>
      <c r="AX377">
        <f t="shared" si="304"/>
        <v>-5102.4140134212712</v>
      </c>
      <c r="AY377">
        <f t="shared" si="312"/>
        <v>-1.4967569593069681</v>
      </c>
      <c r="BA377">
        <f t="shared" si="289"/>
        <v>1.5180206762650243</v>
      </c>
      <c r="BB377">
        <f t="shared" si="305"/>
        <v>3.6255537385232595</v>
      </c>
      <c r="BC377">
        <f t="shared" si="306"/>
        <v>-1.4161928054381856</v>
      </c>
      <c r="BD377">
        <f t="shared" si="290"/>
        <v>-261.14187082111789</v>
      </c>
      <c r="BF377">
        <f t="shared" si="291"/>
        <v>-47.04670642223499</v>
      </c>
      <c r="BG377">
        <f t="shared" si="292"/>
        <v>-179.44200346147434</v>
      </c>
      <c r="BH377">
        <f t="shared" si="307"/>
        <v>0.55799653852565712</v>
      </c>
      <c r="BI377">
        <f t="shared" si="308"/>
        <v>0.55799653852565712</v>
      </c>
      <c r="BJ377">
        <f t="shared" si="293"/>
        <v>0</v>
      </c>
      <c r="BK377">
        <f t="shared" si="309"/>
        <v>0</v>
      </c>
      <c r="BM377">
        <f t="shared" si="310"/>
        <v>-50.672260160758249</v>
      </c>
      <c r="BN377">
        <f t="shared" si="294"/>
        <v>-98.300132640356495</v>
      </c>
      <c r="BQ377" s="56">
        <f t="shared" si="311"/>
        <v>20.527514538808397</v>
      </c>
      <c r="BR377" s="59"/>
      <c r="BS377" s="59"/>
      <c r="BT377" s="59">
        <v>467735.141</v>
      </c>
      <c r="BU377" s="59">
        <v>13.1959</v>
      </c>
      <c r="BV377" s="59">
        <v>131.81700000000001</v>
      </c>
      <c r="BY377" s="59"/>
      <c r="BZ377" s="59"/>
      <c r="CA377" s="59"/>
      <c r="CC377" s="59"/>
    </row>
    <row r="378" spans="1:81" x14ac:dyDescent="0.25">
      <c r="A378">
        <f t="shared" si="319"/>
        <v>820000</v>
      </c>
      <c r="B378">
        <f t="shared" si="295"/>
        <v>820</v>
      </c>
      <c r="C378">
        <f t="shared" si="264"/>
        <v>6.8740460938639707</v>
      </c>
      <c r="D378">
        <f t="shared" si="265"/>
        <v>1.4248035366314942</v>
      </c>
      <c r="F378">
        <f t="shared" si="266"/>
        <v>2.8207874104169112E-5</v>
      </c>
      <c r="G378">
        <f t="shared" si="267"/>
        <v>1.9987565155368402E-3</v>
      </c>
      <c r="H378">
        <f t="shared" si="268"/>
        <v>-3.1395938934844634</v>
      </c>
      <c r="J378">
        <f t="shared" si="269"/>
        <v>15</v>
      </c>
      <c r="M378">
        <f t="shared" si="270"/>
        <v>2.2232691206905872E-3</v>
      </c>
      <c r="N378">
        <f t="shared" si="271"/>
        <v>-1.5707963250000001</v>
      </c>
      <c r="O378">
        <f t="shared" si="272"/>
        <v>135.60990551514146</v>
      </c>
      <c r="P378">
        <f t="shared" si="273"/>
        <v>1.5634221673682924</v>
      </c>
      <c r="Q378">
        <f t="shared" si="274"/>
        <v>210.83088441270743</v>
      </c>
      <c r="R378">
        <f t="shared" si="275"/>
        <v>1.5660531709124774</v>
      </c>
      <c r="S378">
        <f t="shared" si="276"/>
        <v>0.14547473007093123</v>
      </c>
      <c r="T378">
        <f t="shared" si="277"/>
        <v>-1.4248035366314942</v>
      </c>
      <c r="U378">
        <f t="shared" si="278"/>
        <v>0.23193372073898319</v>
      </c>
      <c r="V378">
        <f t="shared" si="279"/>
        <v>-1.3367311851506913</v>
      </c>
      <c r="X378">
        <f t="shared" si="296"/>
        <v>-44.099136183825188</v>
      </c>
      <c r="Y378">
        <f t="shared" si="280"/>
        <v>-167.16880584877518</v>
      </c>
      <c r="Z378">
        <f t="shared" si="297"/>
        <v>12.831194151224821</v>
      </c>
      <c r="AC378">
        <v>1</v>
      </c>
      <c r="AD378">
        <f t="shared" si="281"/>
        <v>135.60621841872</v>
      </c>
      <c r="AE378">
        <f t="shared" si="282"/>
        <v>-0.10480079677332217</v>
      </c>
      <c r="AF378">
        <f t="shared" si="283"/>
        <v>2.4988227938099999E-2</v>
      </c>
      <c r="AG378">
        <f t="shared" si="315"/>
        <v>282.89681364316147</v>
      </c>
      <c r="AH378">
        <f t="shared" si="316"/>
        <v>-1226.4899916215386</v>
      </c>
      <c r="AJ378">
        <f t="shared" si="284"/>
        <v>18000</v>
      </c>
      <c r="AK378">
        <f t="shared" si="285"/>
        <v>122416.55583696002</v>
      </c>
      <c r="AL378">
        <v>1</v>
      </c>
      <c r="AM378">
        <f t="shared" si="286"/>
        <v>210.82851283031997</v>
      </c>
      <c r="AN378">
        <f t="shared" si="317"/>
        <v>581.0370507698957</v>
      </c>
      <c r="AO378">
        <f t="shared" si="318"/>
        <v>-82.621476172197447</v>
      </c>
      <c r="AQ378">
        <f t="shared" si="287"/>
        <v>3.7180236027574351E-3</v>
      </c>
      <c r="AR378">
        <f t="shared" si="288"/>
        <v>-6.0975587085221932</v>
      </c>
      <c r="AT378">
        <f t="shared" si="313"/>
        <v>-7477.5429122969545</v>
      </c>
      <c r="AU378">
        <f t="shared" si="314"/>
        <v>-1729.540048380434</v>
      </c>
      <c r="AV378">
        <f t="shared" si="302"/>
        <v>-2.9142919153502005</v>
      </c>
      <c r="AW378">
        <f t="shared" si="303"/>
        <v>381.12905300443742</v>
      </c>
      <c r="AX378">
        <f t="shared" si="304"/>
        <v>-5072.1067938630031</v>
      </c>
      <c r="AY378">
        <f t="shared" si="312"/>
        <v>-1.4957951171798176</v>
      </c>
      <c r="BA378">
        <f t="shared" si="289"/>
        <v>1.5089154043279454</v>
      </c>
      <c r="BB378">
        <f t="shared" si="305"/>
        <v>3.573297844372965</v>
      </c>
      <c r="BC378">
        <f t="shared" si="306"/>
        <v>-1.4184967981703829</v>
      </c>
      <c r="BD378">
        <f t="shared" si="290"/>
        <v>-261.27387988085241</v>
      </c>
      <c r="BF378">
        <f t="shared" si="291"/>
        <v>-47.153221042319927</v>
      </c>
      <c r="BG378">
        <f t="shared" si="292"/>
        <v>-179.52413019052719</v>
      </c>
      <c r="BH378">
        <f t="shared" si="307"/>
        <v>0.47586980947281177</v>
      </c>
      <c r="BI378">
        <f t="shared" si="308"/>
        <v>0.47586980947281177</v>
      </c>
      <c r="BJ378">
        <f t="shared" si="293"/>
        <v>0</v>
      </c>
      <c r="BK378">
        <f t="shared" si="309"/>
        <v>0</v>
      </c>
      <c r="BM378">
        <f t="shared" si="310"/>
        <v>-50.726518886692887</v>
      </c>
      <c r="BN378">
        <f t="shared" si="294"/>
        <v>-98.250250309674755</v>
      </c>
      <c r="BQ378" s="56">
        <f t="shared" si="311"/>
        <v>20.475258644658105</v>
      </c>
      <c r="BR378" s="59"/>
      <c r="BS378" s="59"/>
      <c r="BT378" s="59">
        <v>478630.092</v>
      </c>
      <c r="BU378" s="59">
        <v>13.0069</v>
      </c>
      <c r="BV378" s="59">
        <v>129.95699999999999</v>
      </c>
      <c r="BY378" s="59"/>
      <c r="BZ378" s="59"/>
      <c r="CA378" s="59"/>
      <c r="CC378" s="59"/>
    </row>
    <row r="379" spans="1:81" x14ac:dyDescent="0.25">
      <c r="A379">
        <f t="shared" si="319"/>
        <v>825000</v>
      </c>
      <c r="B379">
        <f t="shared" si="295"/>
        <v>825</v>
      </c>
      <c r="C379">
        <f t="shared" si="264"/>
        <v>6.9150765994876577</v>
      </c>
      <c r="D379">
        <f t="shared" si="265"/>
        <v>1.4256759341534526</v>
      </c>
      <c r="F379">
        <f t="shared" si="266"/>
        <v>2.7866987698146595E-5</v>
      </c>
      <c r="G379">
        <f t="shared" si="267"/>
        <v>1.9866421904704131E-3</v>
      </c>
      <c r="H379">
        <f t="shared" si="268"/>
        <v>-3.1396060078095296</v>
      </c>
      <c r="J379">
        <f t="shared" si="269"/>
        <v>15</v>
      </c>
      <c r="M379">
        <f t="shared" si="270"/>
        <v>2.2097947623833719E-3</v>
      </c>
      <c r="N379">
        <f t="shared" si="271"/>
        <v>-1.5707963250000001</v>
      </c>
      <c r="O379">
        <f t="shared" si="272"/>
        <v>136.43675035518461</v>
      </c>
      <c r="P379">
        <f t="shared" si="273"/>
        <v>1.5634668576381445</v>
      </c>
      <c r="Q379">
        <f t="shared" si="274"/>
        <v>212.11640975202104</v>
      </c>
      <c r="R379">
        <f t="shared" si="275"/>
        <v>1.5660819168845295</v>
      </c>
      <c r="S379">
        <f t="shared" si="276"/>
        <v>0.14461155789280639</v>
      </c>
      <c r="T379">
        <f t="shared" si="277"/>
        <v>-1.4256759341534526</v>
      </c>
      <c r="U379">
        <f t="shared" si="278"/>
        <v>0.23060302731909782</v>
      </c>
      <c r="V379">
        <f t="shared" si="279"/>
        <v>-1.3380989590514238</v>
      </c>
      <c r="X379">
        <f t="shared" si="296"/>
        <v>-44.201922725543042</v>
      </c>
      <c r="Y379">
        <f t="shared" si="280"/>
        <v>-167.24366003367442</v>
      </c>
      <c r="Z379">
        <f t="shared" si="297"/>
        <v>12.756339966325584</v>
      </c>
      <c r="AC379">
        <v>1</v>
      </c>
      <c r="AD379">
        <f t="shared" si="281"/>
        <v>136.43308560419999</v>
      </c>
      <c r="AE379">
        <f t="shared" si="282"/>
        <v>-0.10608275179036646</v>
      </c>
      <c r="AF379">
        <f t="shared" si="283"/>
        <v>2.5140595181624998E-2</v>
      </c>
      <c r="AG379">
        <f t="shared" si="315"/>
        <v>279.65994915697962</v>
      </c>
      <c r="AH379">
        <f t="shared" si="316"/>
        <v>-1219.8238247971406</v>
      </c>
      <c r="AJ379">
        <f t="shared" si="284"/>
        <v>18000</v>
      </c>
      <c r="AK379">
        <f t="shared" si="285"/>
        <v>123162.99825060001</v>
      </c>
      <c r="AL379">
        <v>1</v>
      </c>
      <c r="AM379">
        <f t="shared" si="286"/>
        <v>212.11405254269997</v>
      </c>
      <c r="AN379">
        <f t="shared" si="317"/>
        <v>581.03231509411194</v>
      </c>
      <c r="AO379">
        <f t="shared" si="318"/>
        <v>-82.120762279054262</v>
      </c>
      <c r="AQ379">
        <f t="shared" si="287"/>
        <v>3.6730932330236057E-3</v>
      </c>
      <c r="AR379">
        <f t="shared" si="288"/>
        <v>-6.0606038344889495</v>
      </c>
      <c r="AT379">
        <f t="shared" si="313"/>
        <v>-7391.8417328997311</v>
      </c>
      <c r="AU379">
        <f t="shared" si="314"/>
        <v>-1699.3886868501186</v>
      </c>
      <c r="AV379">
        <f t="shared" si="302"/>
        <v>-2.9156186944712159</v>
      </c>
      <c r="AW379">
        <f t="shared" si="303"/>
        <v>383.7340713454721</v>
      </c>
      <c r="AX379">
        <f t="shared" si="304"/>
        <v>-5042.1535039797427</v>
      </c>
      <c r="AY379">
        <f t="shared" si="312"/>
        <v>-1.4948375579015507</v>
      </c>
      <c r="BA379">
        <f t="shared" si="289"/>
        <v>1.4999149724020939</v>
      </c>
      <c r="BB379">
        <f t="shared" si="305"/>
        <v>3.521332806937294</v>
      </c>
      <c r="BC379">
        <f t="shared" si="306"/>
        <v>-1.4207811365696652</v>
      </c>
      <c r="BD379">
        <f t="shared" si="290"/>
        <v>-261.40476283026055</v>
      </c>
      <c r="BF379">
        <f t="shared" si="291"/>
        <v>-47.259101589831886</v>
      </c>
      <c r="BG379">
        <f t="shared" si="292"/>
        <v>-179.60572254351101</v>
      </c>
      <c r="BH379">
        <f t="shared" si="307"/>
        <v>0.39427745648899304</v>
      </c>
      <c r="BI379">
        <f t="shared" si="308"/>
        <v>0.39427745648899304</v>
      </c>
      <c r="BJ379">
        <f t="shared" si="293"/>
        <v>0</v>
      </c>
      <c r="BK379">
        <f t="shared" si="309"/>
        <v>0</v>
      </c>
      <c r="BM379">
        <f t="shared" si="310"/>
        <v>-50.780434396769174</v>
      </c>
      <c r="BN379">
        <f t="shared" si="294"/>
        <v>-98.200959713250484</v>
      </c>
      <c r="BQ379" s="56">
        <f t="shared" si="311"/>
        <v>20.423293607222433</v>
      </c>
      <c r="BR379" s="59"/>
      <c r="BS379" s="59"/>
      <c r="BT379" s="59">
        <v>489778.81900000002</v>
      </c>
      <c r="BU379" s="59">
        <v>12.7394</v>
      </c>
      <c r="BV379" s="59">
        <v>126.41800000000001</v>
      </c>
      <c r="BY379" s="59"/>
      <c r="BZ379" s="59"/>
      <c r="CA379" s="59"/>
      <c r="CC379" s="59"/>
    </row>
    <row r="380" spans="1:81" x14ac:dyDescent="0.25">
      <c r="A380">
        <f t="shared" si="319"/>
        <v>830000</v>
      </c>
      <c r="B380">
        <f t="shared" si="295"/>
        <v>830</v>
      </c>
      <c r="C380">
        <f t="shared" si="264"/>
        <v>6.9561123059314474</v>
      </c>
      <c r="D380">
        <f t="shared" si="265"/>
        <v>1.426538039377826</v>
      </c>
      <c r="F380">
        <f t="shared" si="266"/>
        <v>2.7532243526477667E-5</v>
      </c>
      <c r="G380">
        <f t="shared" si="267"/>
        <v>1.9746738327550218E-3</v>
      </c>
      <c r="H380">
        <f t="shared" si="268"/>
        <v>-3.1396179761672451</v>
      </c>
      <c r="J380">
        <f t="shared" si="269"/>
        <v>15</v>
      </c>
      <c r="M380">
        <f t="shared" si="270"/>
        <v>2.1964827457425077E-3</v>
      </c>
      <c r="N380">
        <f t="shared" si="271"/>
        <v>-1.5707963250000001</v>
      </c>
      <c r="O380">
        <f t="shared" si="272"/>
        <v>137.26359546443908</v>
      </c>
      <c r="P380">
        <f t="shared" si="273"/>
        <v>1.563511009499762</v>
      </c>
      <c r="Q380">
        <f t="shared" si="274"/>
        <v>213.40193526450128</v>
      </c>
      <c r="R380">
        <f t="shared" si="275"/>
        <v>1.5661103165272205</v>
      </c>
      <c r="S380">
        <f t="shared" si="276"/>
        <v>0.1437584610511973</v>
      </c>
      <c r="T380">
        <f t="shared" si="277"/>
        <v>-1.426538039377826</v>
      </c>
      <c r="U380">
        <f t="shared" si="278"/>
        <v>0.22928709455972462</v>
      </c>
      <c r="V380">
        <f t="shared" si="279"/>
        <v>-1.3394511250947894</v>
      </c>
      <c r="X380">
        <f t="shared" si="296"/>
        <v>-44.304120147034453</v>
      </c>
      <c r="Y380">
        <f t="shared" si="280"/>
        <v>-167.3176622826353</v>
      </c>
      <c r="Z380">
        <f t="shared" si="297"/>
        <v>12.682337717364703</v>
      </c>
      <c r="AC380">
        <v>1</v>
      </c>
      <c r="AD380">
        <f t="shared" si="281"/>
        <v>137.25995278968</v>
      </c>
      <c r="AE380">
        <f t="shared" si="282"/>
        <v>-0.10737249984702803</v>
      </c>
      <c r="AF380">
        <f t="shared" si="283"/>
        <v>2.5292962425149997E-2</v>
      </c>
      <c r="AG380">
        <f t="shared" si="315"/>
        <v>276.47730528178585</v>
      </c>
      <c r="AH380">
        <f t="shared" si="316"/>
        <v>-1213.2252008789078</v>
      </c>
      <c r="AJ380">
        <f t="shared" si="284"/>
        <v>18000</v>
      </c>
      <c r="AK380">
        <f t="shared" si="285"/>
        <v>123909.44066424</v>
      </c>
      <c r="AL380">
        <v>1</v>
      </c>
      <c r="AM380">
        <f t="shared" si="286"/>
        <v>213.39959225507997</v>
      </c>
      <c r="AN380">
        <f t="shared" si="317"/>
        <v>581.02766474227883</v>
      </c>
      <c r="AO380">
        <f t="shared" si="318"/>
        <v>-81.626080683586977</v>
      </c>
      <c r="AQ380">
        <f t="shared" si="287"/>
        <v>3.6289724092856694E-3</v>
      </c>
      <c r="AR380">
        <f t="shared" si="288"/>
        <v>-6.0240941994142112</v>
      </c>
      <c r="AT380">
        <f t="shared" si="313"/>
        <v>-7307.5795666851091</v>
      </c>
      <c r="AU380">
        <f t="shared" si="314"/>
        <v>-1669.9280917979177</v>
      </c>
      <c r="AV380">
        <f t="shared" si="302"/>
        <v>-2.9169303596191374</v>
      </c>
      <c r="AW380">
        <f t="shared" si="303"/>
        <v>386.28777804817156</v>
      </c>
      <c r="AX380">
        <f t="shared" si="304"/>
        <v>-5012.5480383994491</v>
      </c>
      <c r="AY380">
        <f t="shared" si="312"/>
        <v>-1.4938841890172228</v>
      </c>
      <c r="BA380">
        <f t="shared" si="289"/>
        <v>1.4910176013579906</v>
      </c>
      <c r="BB380">
        <f t="shared" si="305"/>
        <v>3.4696554059818179</v>
      </c>
      <c r="BC380">
        <f t="shared" si="306"/>
        <v>-1.4230461706019146</v>
      </c>
      <c r="BD380">
        <f t="shared" si="290"/>
        <v>-261.53453972091023</v>
      </c>
      <c r="BF380">
        <f t="shared" si="291"/>
        <v>-47.364355666236094</v>
      </c>
      <c r="BG380">
        <f t="shared" si="292"/>
        <v>-179.68679017963709</v>
      </c>
      <c r="BH380">
        <f t="shared" si="307"/>
        <v>0.31320982036291412</v>
      </c>
      <c r="BI380">
        <f t="shared" si="308"/>
        <v>0.31320982036291412</v>
      </c>
      <c r="BJ380">
        <f t="shared" si="293"/>
        <v>0</v>
      </c>
      <c r="BK380">
        <f t="shared" si="309"/>
        <v>0</v>
      </c>
      <c r="BM380">
        <f t="shared" si="310"/>
        <v>-50.834011072217919</v>
      </c>
      <c r="BN380">
        <f t="shared" si="294"/>
        <v>-98.152250458726854</v>
      </c>
      <c r="BQ380" s="56">
        <f t="shared" si="311"/>
        <v>20.371616206266957</v>
      </c>
      <c r="BR380" s="59"/>
      <c r="BS380" s="59"/>
      <c r="BT380" s="59">
        <v>501187.234</v>
      </c>
      <c r="BU380" s="59">
        <v>12.4757</v>
      </c>
      <c r="BV380" s="59">
        <v>125.40900000000001</v>
      </c>
      <c r="BY380" s="59"/>
      <c r="BZ380" s="59"/>
      <c r="CA380" s="59"/>
      <c r="CC380" s="59"/>
    </row>
    <row r="381" spans="1:81" x14ac:dyDescent="0.25">
      <c r="A381">
        <f t="shared" si="319"/>
        <v>835000</v>
      </c>
      <c r="B381">
        <f t="shared" si="295"/>
        <v>835</v>
      </c>
      <c r="C381">
        <f t="shared" si="264"/>
        <v>6.9971531216926977</v>
      </c>
      <c r="D381">
        <f t="shared" si="265"/>
        <v>1.4273900321157948</v>
      </c>
      <c r="F381">
        <f t="shared" si="266"/>
        <v>2.7203494904887539E-5</v>
      </c>
      <c r="G381">
        <f t="shared" si="267"/>
        <v>1.9628488199466706E-3</v>
      </c>
      <c r="H381">
        <f t="shared" si="268"/>
        <v>-3.1396298011800536</v>
      </c>
      <c r="J381">
        <f t="shared" si="269"/>
        <v>15</v>
      </c>
      <c r="M381">
        <f t="shared" si="270"/>
        <v>2.1833301544506366E-3</v>
      </c>
      <c r="N381">
        <f t="shared" si="271"/>
        <v>-1.5707963250000001</v>
      </c>
      <c r="O381">
        <f t="shared" si="272"/>
        <v>138.09044083806904</v>
      </c>
      <c r="P381">
        <f t="shared" si="273"/>
        <v>1.563554632624466</v>
      </c>
      <c r="Q381">
        <f t="shared" si="274"/>
        <v>214.68746094703741</v>
      </c>
      <c r="R381">
        <f t="shared" si="275"/>
        <v>1.5661383760618539</v>
      </c>
      <c r="S381">
        <f t="shared" si="276"/>
        <v>0.14291526605295837</v>
      </c>
      <c r="T381">
        <f t="shared" si="277"/>
        <v>-1.4273900321157948</v>
      </c>
      <c r="U381">
        <f t="shared" si="278"/>
        <v>0.22798568551507287</v>
      </c>
      <c r="V381">
        <f t="shared" si="279"/>
        <v>-1.3407879440593555</v>
      </c>
      <c r="X381">
        <f t="shared" si="296"/>
        <v>-44.405734994357374</v>
      </c>
      <c r="Y381">
        <f t="shared" si="280"/>
        <v>-167.39082677684391</v>
      </c>
      <c r="Z381">
        <f t="shared" si="297"/>
        <v>12.609173223156091</v>
      </c>
      <c r="AC381">
        <v>1</v>
      </c>
      <c r="AD381">
        <f t="shared" si="281"/>
        <v>138.08681997516001</v>
      </c>
      <c r="AE381">
        <f t="shared" si="282"/>
        <v>-0.10867004094330689</v>
      </c>
      <c r="AF381">
        <f t="shared" si="283"/>
        <v>2.5445329668675E-2</v>
      </c>
      <c r="AG381">
        <f t="shared" si="315"/>
        <v>273.34770093415682</v>
      </c>
      <c r="AH381">
        <f t="shared" si="316"/>
        <v>-1206.6931830745073</v>
      </c>
      <c r="AJ381">
        <f t="shared" si="284"/>
        <v>18000</v>
      </c>
      <c r="AK381">
        <f t="shared" si="285"/>
        <v>124655.88307788</v>
      </c>
      <c r="AL381">
        <v>1</v>
      </c>
      <c r="AM381">
        <f t="shared" si="286"/>
        <v>214.68513196745999</v>
      </c>
      <c r="AN381">
        <f t="shared" si="317"/>
        <v>581.02309767691384</v>
      </c>
      <c r="AO381">
        <f t="shared" si="318"/>
        <v>-81.137323030657257</v>
      </c>
      <c r="AQ381">
        <f t="shared" si="287"/>
        <v>3.585641799404138E-3</v>
      </c>
      <c r="AR381">
        <f t="shared" si="288"/>
        <v>-5.9880218050049105</v>
      </c>
      <c r="AT381">
        <f t="shared" si="313"/>
        <v>-7224.7249652586916</v>
      </c>
      <c r="AU381">
        <f t="shared" si="314"/>
        <v>-1641.1387630579802</v>
      </c>
      <c r="AV381">
        <f t="shared" si="302"/>
        <v>-2.9182271627010428</v>
      </c>
      <c r="AW381">
        <f t="shared" si="303"/>
        <v>388.7915197665896</v>
      </c>
      <c r="AX381">
        <f t="shared" si="304"/>
        <v>-4983.2844303266938</v>
      </c>
      <c r="AY381">
        <f t="shared" si="312"/>
        <v>-1.4929349207770466</v>
      </c>
      <c r="BA381">
        <f t="shared" si="289"/>
        <v>1.4822215512853345</v>
      </c>
      <c r="BB381">
        <f t="shared" si="305"/>
        <v>3.4182624711025378</v>
      </c>
      <c r="BC381">
        <f t="shared" si="306"/>
        <v>-1.4252922419239962</v>
      </c>
      <c r="BD381">
        <f t="shared" si="290"/>
        <v>-261.66323012829793</v>
      </c>
      <c r="BF381">
        <f t="shared" si="291"/>
        <v>-47.468990738856064</v>
      </c>
      <c r="BG381">
        <f t="shared" si="292"/>
        <v>-179.76734252223497</v>
      </c>
      <c r="BH381">
        <f t="shared" si="307"/>
        <v>0.23265747776503076</v>
      </c>
      <c r="BI381">
        <f t="shared" si="308"/>
        <v>0.23265747776503076</v>
      </c>
      <c r="BJ381">
        <f t="shared" si="293"/>
        <v>0</v>
      </c>
      <c r="BK381">
        <f t="shared" si="309"/>
        <v>0</v>
      </c>
      <c r="BM381">
        <f t="shared" si="310"/>
        <v>-50.887253209958594</v>
      </c>
      <c r="BN381">
        <f t="shared" si="294"/>
        <v>-98.104112393937058</v>
      </c>
      <c r="BQ381" s="56">
        <f t="shared" si="311"/>
        <v>20.320223271387675</v>
      </c>
      <c r="BR381" s="59"/>
      <c r="BS381" s="59"/>
      <c r="BT381" s="59">
        <v>512861.38400000002</v>
      </c>
      <c r="BU381" s="59">
        <v>12.1639</v>
      </c>
      <c r="BV381" s="59">
        <v>124.027</v>
      </c>
      <c r="BY381" s="59"/>
      <c r="BZ381" s="59"/>
      <c r="CA381" s="59"/>
      <c r="CC381" s="59"/>
    </row>
    <row r="382" spans="1:81" x14ac:dyDescent="0.25">
      <c r="A382">
        <f t="shared" si="319"/>
        <v>840000</v>
      </c>
      <c r="B382">
        <f t="shared" si="295"/>
        <v>840</v>
      </c>
      <c r="C382">
        <f t="shared" si="264"/>
        <v>7.0381989573917734</v>
      </c>
      <c r="D382">
        <f t="shared" si="265"/>
        <v>1.4282320880435118</v>
      </c>
      <c r="F382">
        <f t="shared" si="266"/>
        <v>2.6880599501893491E-5</v>
      </c>
      <c r="G382">
        <f t="shared" si="267"/>
        <v>1.9511645920486491E-3</v>
      </c>
      <c r="H382">
        <f t="shared" si="268"/>
        <v>-3.1396414854079517</v>
      </c>
      <c r="J382">
        <f t="shared" si="269"/>
        <v>15</v>
      </c>
      <c r="M382">
        <f t="shared" si="270"/>
        <v>2.1703341416265255E-3</v>
      </c>
      <c r="N382">
        <f t="shared" si="271"/>
        <v>-1.5707963250000001</v>
      </c>
      <c r="O382">
        <f t="shared" si="272"/>
        <v>138.91728647135375</v>
      </c>
      <c r="P382">
        <f t="shared" si="273"/>
        <v>1.5635977364533298</v>
      </c>
      <c r="Q382">
        <f t="shared" si="274"/>
        <v>215.97298679659278</v>
      </c>
      <c r="R382">
        <f t="shared" si="275"/>
        <v>1.5661661015616131</v>
      </c>
      <c r="S382">
        <f t="shared" si="276"/>
        <v>0.14208180332125506</v>
      </c>
      <c r="T382">
        <f t="shared" si="277"/>
        <v>-1.4282320880435118</v>
      </c>
      <c r="U382">
        <f t="shared" si="278"/>
        <v>0.22669856811369368</v>
      </c>
      <c r="V382">
        <f t="shared" si="279"/>
        <v>-1.3421096710568987</v>
      </c>
      <c r="X382">
        <f t="shared" si="296"/>
        <v>-44.506773707782258</v>
      </c>
      <c r="Y382">
        <f t="shared" si="280"/>
        <v>-167.46316739090386</v>
      </c>
      <c r="Z382">
        <f t="shared" si="297"/>
        <v>12.536832609096138</v>
      </c>
      <c r="AC382">
        <v>1</v>
      </c>
      <c r="AD382">
        <f t="shared" si="281"/>
        <v>138.91368716063999</v>
      </c>
      <c r="AE382">
        <f t="shared" si="282"/>
        <v>-0.10997537507920305</v>
      </c>
      <c r="AF382">
        <f t="shared" si="283"/>
        <v>2.5597696912199999E-2</v>
      </c>
      <c r="AG382">
        <f t="shared" si="315"/>
        <v>270.26998635530987</v>
      </c>
      <c r="AH382">
        <f t="shared" si="316"/>
        <v>-1200.2268496051113</v>
      </c>
      <c r="AJ382">
        <f t="shared" si="284"/>
        <v>18000</v>
      </c>
      <c r="AK382">
        <f t="shared" si="285"/>
        <v>125402.32549152002</v>
      </c>
      <c r="AL382">
        <v>1</v>
      </c>
      <c r="AM382">
        <f t="shared" si="286"/>
        <v>215.97067167984</v>
      </c>
      <c r="AN382">
        <f t="shared" si="317"/>
        <v>581.01861192099125</v>
      </c>
      <c r="AO382">
        <f t="shared" si="318"/>
        <v>-80.654383544731104</v>
      </c>
      <c r="AQ382">
        <f t="shared" si="287"/>
        <v>3.5430826448828497E-3</v>
      </c>
      <c r="AR382">
        <f t="shared" si="288"/>
        <v>-5.9523788434031877</v>
      </c>
      <c r="AT382">
        <f t="shared" si="313"/>
        <v>-7143.2473179758363</v>
      </c>
      <c r="AU382">
        <f t="shared" si="314"/>
        <v>-1613.0018517089732</v>
      </c>
      <c r="AV382">
        <f t="shared" si="302"/>
        <v>-2.9195093501684233</v>
      </c>
      <c r="AW382">
        <f t="shared" si="303"/>
        <v>391.24659922519163</v>
      </c>
      <c r="AX382">
        <f t="shared" si="304"/>
        <v>-4954.356847653019</v>
      </c>
      <c r="AY382">
        <f t="shared" si="312"/>
        <v>-1.4919896660407237</v>
      </c>
      <c r="BA382">
        <f t="shared" si="289"/>
        <v>1.4735251204451651</v>
      </c>
      <c r="BB382">
        <f t="shared" si="305"/>
        <v>3.3671508807833428</v>
      </c>
      <c r="BC382">
        <f t="shared" si="306"/>
        <v>-1.4275196841276996</v>
      </c>
      <c r="BD382">
        <f t="shared" si="290"/>
        <v>-261.7908531658253</v>
      </c>
      <c r="BF382">
        <f t="shared" si="291"/>
        <v>-47.573014143981794</v>
      </c>
      <c r="BG382">
        <f t="shared" si="292"/>
        <v>-179.84738876588122</v>
      </c>
      <c r="BH382">
        <f t="shared" si="307"/>
        <v>0.15261123411877975</v>
      </c>
      <c r="BI382">
        <f t="shared" si="308"/>
        <v>0.15261123411877975</v>
      </c>
      <c r="BJ382">
        <f t="shared" si="293"/>
        <v>0</v>
      </c>
      <c r="BK382">
        <f t="shared" si="309"/>
        <v>0</v>
      </c>
      <c r="BM382">
        <f t="shared" si="310"/>
        <v>-50.940165024765136</v>
      </c>
      <c r="BN382">
        <f t="shared" si="294"/>
        <v>-98.05653560005598</v>
      </c>
      <c r="BQ382" s="56">
        <f t="shared" si="311"/>
        <v>20.26911168106848</v>
      </c>
      <c r="BR382" s="59"/>
      <c r="BS382" s="59"/>
      <c r="BT382" s="59">
        <v>524807.46</v>
      </c>
      <c r="BU382" s="59">
        <v>11.9579</v>
      </c>
      <c r="BV382" s="59">
        <v>122.795</v>
      </c>
      <c r="BY382" s="59"/>
      <c r="BZ382" s="59"/>
      <c r="CA382" s="59"/>
      <c r="CC382" s="59"/>
    </row>
    <row r="383" spans="1:81" x14ac:dyDescent="0.25">
      <c r="A383">
        <f t="shared" si="319"/>
        <v>845000</v>
      </c>
      <c r="B383">
        <f t="shared" si="295"/>
        <v>845</v>
      </c>
      <c r="C383">
        <f t="shared" si="264"/>
        <v>7.0792497257111409</v>
      </c>
      <c r="D383">
        <f t="shared" si="265"/>
        <v>1.4290643788194408</v>
      </c>
      <c r="F383">
        <f t="shared" si="266"/>
        <v>2.6563419184717915E-5</v>
      </c>
      <c r="G383">
        <f t="shared" si="267"/>
        <v>1.9396186496636919E-3</v>
      </c>
      <c r="H383">
        <f t="shared" si="268"/>
        <v>-3.1396530313503366</v>
      </c>
      <c r="J383">
        <f t="shared" si="269"/>
        <v>15</v>
      </c>
      <c r="M383">
        <f t="shared" si="270"/>
        <v>2.1574919277707475E-3</v>
      </c>
      <c r="N383">
        <f t="shared" si="271"/>
        <v>-1.5707963250000001</v>
      </c>
      <c r="O383">
        <f t="shared" si="272"/>
        <v>139.74413235968413</v>
      </c>
      <c r="P383">
        <f t="shared" si="273"/>
        <v>1.563640330203987</v>
      </c>
      <c r="Q383">
        <f t="shared" si="274"/>
        <v>217.25851281020263</v>
      </c>
      <c r="R383">
        <f t="shared" si="275"/>
        <v>1.5661934989559416</v>
      </c>
      <c r="S383">
        <f t="shared" si="276"/>
        <v>0.14125790708697539</v>
      </c>
      <c r="T383">
        <f t="shared" si="277"/>
        <v>-1.4290643788194406</v>
      </c>
      <c r="U383">
        <f t="shared" si="278"/>
        <v>0.22542551503880057</v>
      </c>
      <c r="V383">
        <f t="shared" si="279"/>
        <v>-1.3434165556823581</v>
      </c>
      <c r="X383">
        <f t="shared" si="296"/>
        <v>-44.607242624002048</v>
      </c>
      <c r="Y383">
        <f t="shared" si="280"/>
        <v>-167.53469770089313</v>
      </c>
      <c r="Z383">
        <f t="shared" si="297"/>
        <v>12.465302299106867</v>
      </c>
      <c r="AC383">
        <v>1</v>
      </c>
      <c r="AD383">
        <f t="shared" si="281"/>
        <v>139.74055434612001</v>
      </c>
      <c r="AE383">
        <f t="shared" si="282"/>
        <v>-0.1112885022547165</v>
      </c>
      <c r="AF383">
        <f t="shared" si="283"/>
        <v>2.5750064155724998E-2</v>
      </c>
      <c r="AG383">
        <f t="shared" si="315"/>
        <v>267.24304214200117</v>
      </c>
      <c r="AH383">
        <f t="shared" si="316"/>
        <v>-1193.8252934854434</v>
      </c>
      <c r="AJ383">
        <f t="shared" si="284"/>
        <v>18000</v>
      </c>
      <c r="AK383">
        <f t="shared" si="285"/>
        <v>126148.76790516001</v>
      </c>
      <c r="AL383">
        <v>1</v>
      </c>
      <c r="AM383">
        <f t="shared" si="286"/>
        <v>217.25621139222</v>
      </c>
      <c r="AN383">
        <f t="shared" si="317"/>
        <v>581.01420555579978</v>
      </c>
      <c r="AO383">
        <f t="shared" si="318"/>
        <v>-80.177158953568963</v>
      </c>
      <c r="AQ383">
        <f t="shared" si="287"/>
        <v>3.5012767405634463E-3</v>
      </c>
      <c r="AR383">
        <f t="shared" si="288"/>
        <v>-5.9171576915522248</v>
      </c>
      <c r="AT383">
        <f t="shared" si="313"/>
        <v>-7063.1168258694534</v>
      </c>
      <c r="AU383">
        <f t="shared" si="314"/>
        <v>-1585.4991350567343</v>
      </c>
      <c r="AV383">
        <f t="shared" si="302"/>
        <v>-2.9207771631608916</v>
      </c>
      <c r="AW383">
        <f t="shared" si="303"/>
        <v>393.65427692287813</v>
      </c>
      <c r="AX383">
        <f t="shared" si="304"/>
        <v>-4925.7595891972524</v>
      </c>
      <c r="AY383">
        <f t="shared" si="312"/>
        <v>-1.4910483401857149</v>
      </c>
      <c r="BA383">
        <f t="shared" si="289"/>
        <v>1.4649266442543762</v>
      </c>
      <c r="BB383">
        <f t="shared" si="305"/>
        <v>3.3163175614726459</v>
      </c>
      <c r="BC383">
        <f t="shared" si="306"/>
        <v>-1.4297288229751768</v>
      </c>
      <c r="BD383">
        <f t="shared" si="290"/>
        <v>-261.9174274982887</v>
      </c>
      <c r="BF383">
        <f t="shared" si="291"/>
        <v>-47.676433089889571</v>
      </c>
      <c r="BG383">
        <f t="shared" si="292"/>
        <v>-179.92693788327171</v>
      </c>
      <c r="BH383">
        <f t="shared" si="307"/>
        <v>7.3062116728294768E-2</v>
      </c>
      <c r="BI383">
        <f t="shared" si="308"/>
        <v>7.3062116728294768E-2</v>
      </c>
      <c r="BJ383">
        <f t="shared" si="293"/>
        <v>0</v>
      </c>
      <c r="BK383">
        <f t="shared" si="309"/>
        <v>0</v>
      </c>
      <c r="BM383">
        <f t="shared" si="310"/>
        <v>-50.992750651362215</v>
      </c>
      <c r="BN383">
        <f t="shared" si="294"/>
        <v>-98.009510384982988</v>
      </c>
      <c r="BQ383" s="56">
        <f t="shared" si="311"/>
        <v>20.218278361757783</v>
      </c>
      <c r="BR383" s="59"/>
      <c r="BS383" s="59"/>
      <c r="BT383" s="59">
        <v>537031.79599999997</v>
      </c>
      <c r="BU383" s="59">
        <v>11.690200000000001</v>
      </c>
      <c r="BV383" s="59">
        <v>121.76300000000001</v>
      </c>
      <c r="BY383" s="59"/>
      <c r="BZ383" s="59"/>
      <c r="CA383" s="59"/>
      <c r="CC383" s="59"/>
    </row>
    <row r="384" spans="1:81" x14ac:dyDescent="0.25">
      <c r="A384">
        <f t="shared" si="319"/>
        <v>850000</v>
      </c>
      <c r="B384">
        <f t="shared" si="295"/>
        <v>850</v>
      </c>
      <c r="C384">
        <f t="shared" si="264"/>
        <v>7.120305341336544</v>
      </c>
      <c r="D384">
        <f t="shared" si="265"/>
        <v>1.4298870721977537</v>
      </c>
      <c r="F384">
        <f t="shared" si="266"/>
        <v>2.6251819871527711E-5</v>
      </c>
      <c r="G384">
        <f t="shared" si="267"/>
        <v>1.9282085522113687E-3</v>
      </c>
      <c r="H384">
        <f t="shared" si="268"/>
        <v>-3.1396644414477888</v>
      </c>
      <c r="J384">
        <f t="shared" si="269"/>
        <v>15</v>
      </c>
      <c r="M384">
        <f t="shared" si="270"/>
        <v>2.1448007987838608E-3</v>
      </c>
      <c r="N384">
        <f t="shared" si="271"/>
        <v>-1.5707963250000001</v>
      </c>
      <c r="O384">
        <f t="shared" si="272"/>
        <v>140.57097849855967</v>
      </c>
      <c r="P384">
        <f t="shared" si="273"/>
        <v>1.5636824228772053</v>
      </c>
      <c r="Q384">
        <f t="shared" si="274"/>
        <v>218.54403898497193</v>
      </c>
      <c r="R384">
        <f t="shared" si="275"/>
        <v>1.5662205740347728</v>
      </c>
      <c r="S384">
        <f t="shared" si="276"/>
        <v>0.14044341528368945</v>
      </c>
      <c r="T384">
        <f t="shared" si="277"/>
        <v>-1.4298870721977535</v>
      </c>
      <c r="U384">
        <f t="shared" si="278"/>
        <v>0.22416630361191847</v>
      </c>
      <c r="V384">
        <f t="shared" si="279"/>
        <v>-1.3447088421591604</v>
      </c>
      <c r="X384">
        <f t="shared" si="296"/>
        <v>-44.707147978286301</v>
      </c>
      <c r="Y384">
        <f t="shared" si="280"/>
        <v>-167.60543099217355</v>
      </c>
      <c r="Z384">
        <f t="shared" si="297"/>
        <v>12.394569007826448</v>
      </c>
      <c r="AC384">
        <v>1</v>
      </c>
      <c r="AD384">
        <f t="shared" si="281"/>
        <v>140.56742153160002</v>
      </c>
      <c r="AE384">
        <f t="shared" si="282"/>
        <v>-0.11260942246984722</v>
      </c>
      <c r="AF384">
        <f t="shared" si="283"/>
        <v>2.5902431399249998E-2</v>
      </c>
      <c r="AG384">
        <f t="shared" si="315"/>
        <v>264.26577831131948</v>
      </c>
      <c r="AH384">
        <f t="shared" si="316"/>
        <v>-1187.4876223037882</v>
      </c>
      <c r="AJ384">
        <f t="shared" si="284"/>
        <v>18000</v>
      </c>
      <c r="AK384">
        <f t="shared" si="285"/>
        <v>126895.2103188</v>
      </c>
      <c r="AL384">
        <v>1</v>
      </c>
      <c r="AM384">
        <f t="shared" si="286"/>
        <v>218.5417511046</v>
      </c>
      <c r="AN384">
        <f t="shared" si="317"/>
        <v>581.00987671889288</v>
      </c>
      <c r="AO384">
        <f t="shared" si="318"/>
        <v>-79.705548414608927</v>
      </c>
      <c r="AQ384">
        <f t="shared" si="287"/>
        <v>3.4602064151534897E-3</v>
      </c>
      <c r="AR384">
        <f t="shared" si="288"/>
        <v>-5.8823509057609327</v>
      </c>
      <c r="AT384">
        <f t="shared" si="313"/>
        <v>-6984.3044764971664</v>
      </c>
      <c r="AU384">
        <f t="shared" si="314"/>
        <v>-1558.612992699819</v>
      </c>
      <c r="AV384">
        <f t="shared" si="302"/>
        <v>-2.9220308376454782</v>
      </c>
      <c r="AW384">
        <f t="shared" si="303"/>
        <v>396.01577276077217</v>
      </c>
      <c r="AX384">
        <f t="shared" si="304"/>
        <v>-4897.4870810708035</v>
      </c>
      <c r="AY384">
        <f t="shared" si="312"/>
        <v>-1.4901108610192721</v>
      </c>
      <c r="BA384">
        <f t="shared" si="289"/>
        <v>1.4564244943014593</v>
      </c>
      <c r="BB384">
        <f t="shared" si="305"/>
        <v>3.2657594866787716</v>
      </c>
      <c r="BC384">
        <f t="shared" si="306"/>
        <v>-1.4319199766262061</v>
      </c>
      <c r="BD384">
        <f t="shared" si="290"/>
        <v>-262.04297135490083</v>
      </c>
      <c r="BF384">
        <f t="shared" si="291"/>
        <v>-47.779254659776107</v>
      </c>
      <c r="BG384">
        <f t="shared" si="292"/>
        <v>-180.00599863184789</v>
      </c>
      <c r="BH384">
        <f t="shared" si="307"/>
        <v>-5.9986318478877365E-3</v>
      </c>
      <c r="BI384">
        <f t="shared" si="308"/>
        <v>-5.9986318478877365E-3</v>
      </c>
      <c r="BJ384">
        <f t="shared" si="293"/>
        <v>0</v>
      </c>
      <c r="BK384">
        <f t="shared" si="309"/>
        <v>0</v>
      </c>
      <c r="BM384">
        <f t="shared" si="310"/>
        <v>-51.045014146454889</v>
      </c>
      <c r="BN384">
        <f t="shared" si="294"/>
        <v>-97.963027276947031</v>
      </c>
      <c r="BQ384" s="56">
        <f t="shared" si="311"/>
        <v>20.16772028696391</v>
      </c>
      <c r="BR384" s="59"/>
      <c r="BS384" s="59"/>
      <c r="BT384" s="59">
        <v>549540.87399999995</v>
      </c>
      <c r="BU384" s="59">
        <v>11.575799999999999</v>
      </c>
      <c r="BV384" s="59">
        <v>121.762</v>
      </c>
      <c r="BY384" s="59"/>
      <c r="BZ384" s="59"/>
      <c r="CA384" s="59"/>
      <c r="CC384" s="59"/>
    </row>
    <row r="385" spans="1:81" x14ac:dyDescent="0.25">
      <c r="A385">
        <f t="shared" si="319"/>
        <v>855000</v>
      </c>
      <c r="B385">
        <f t="shared" si="295"/>
        <v>855</v>
      </c>
      <c r="C385">
        <f t="shared" si="264"/>
        <v>7.161365720900168</v>
      </c>
      <c r="D385">
        <f t="shared" si="265"/>
        <v>1.4307003321379335</v>
      </c>
      <c r="F385">
        <f t="shared" si="266"/>
        <v>2.5945671389705085E-5</v>
      </c>
      <c r="G385">
        <f t="shared" si="267"/>
        <v>1.9169319162080341E-3</v>
      </c>
      <c r="H385">
        <f t="shared" si="268"/>
        <v>-3.139675718083792</v>
      </c>
      <c r="J385">
        <f t="shared" si="269"/>
        <v>15</v>
      </c>
      <c r="M385">
        <f t="shared" si="270"/>
        <v>2.1322581040541305E-3</v>
      </c>
      <c r="N385">
        <f t="shared" si="271"/>
        <v>-1.5707963250000001</v>
      </c>
      <c r="O385">
        <f t="shared" si="272"/>
        <v>141.39782488358503</v>
      </c>
      <c r="P385">
        <f t="shared" si="273"/>
        <v>1.563724023263225</v>
      </c>
      <c r="Q385">
        <f t="shared" si="274"/>
        <v>219.82956531807341</v>
      </c>
      <c r="R385">
        <f t="shared" si="275"/>
        <v>1.5662473324526069</v>
      </c>
      <c r="S385">
        <f t="shared" si="276"/>
        <v>0.13963816944602328</v>
      </c>
      <c r="T385">
        <f t="shared" si="277"/>
        <v>-1.4307003321379335</v>
      </c>
      <c r="U385">
        <f t="shared" si="278"/>
        <v>0.2229207156797606</v>
      </c>
      <c r="V385">
        <f t="shared" si="279"/>
        <v>-1.3459867694800787</v>
      </c>
      <c r="X385">
        <f t="shared" si="296"/>
        <v>-44.806495906580977</v>
      </c>
      <c r="Y385">
        <f t="shared" si="280"/>
        <v>-167.67538026696332</v>
      </c>
      <c r="Z385">
        <f t="shared" si="297"/>
        <v>12.324619733036684</v>
      </c>
      <c r="AC385">
        <v>1</v>
      </c>
      <c r="AD385">
        <f t="shared" si="281"/>
        <v>141.39428871708</v>
      </c>
      <c r="AE385">
        <f t="shared" si="282"/>
        <v>-0.11393813572459521</v>
      </c>
      <c r="AF385">
        <f t="shared" si="283"/>
        <v>2.6054798642774997E-2</v>
      </c>
      <c r="AG385">
        <f t="shared" si="315"/>
        <v>261.33713339806872</v>
      </c>
      <c r="AH385">
        <f t="shared" si="316"/>
        <v>-1181.2129580022709</v>
      </c>
      <c r="AJ385">
        <f t="shared" si="284"/>
        <v>18000</v>
      </c>
      <c r="AK385">
        <f t="shared" si="285"/>
        <v>127641.65273244001</v>
      </c>
      <c r="AL385">
        <v>1</v>
      </c>
      <c r="AM385">
        <f t="shared" si="286"/>
        <v>219.82729081698</v>
      </c>
      <c r="AN385">
        <f t="shared" si="317"/>
        <v>581.0056236021195</v>
      </c>
      <c r="AO385">
        <f t="shared" si="318"/>
        <v>-79.239453443932419</v>
      </c>
      <c r="AQ385">
        <f t="shared" si="287"/>
        <v>3.4198545125493271E-3</v>
      </c>
      <c r="AR385">
        <f t="shared" si="288"/>
        <v>-5.8479512164593492</v>
      </c>
      <c r="AT385">
        <f t="shared" si="313"/>
        <v>-6906.7820196719777</v>
      </c>
      <c r="AU385">
        <f t="shared" si="314"/>
        <v>-1532.3263836259409</v>
      </c>
      <c r="AV385">
        <f t="shared" si="302"/>
        <v>-2.9232706045516732</v>
      </c>
      <c r="AW385">
        <f t="shared" si="303"/>
        <v>398.33226759761061</v>
      </c>
      <c r="AX385">
        <f t="shared" si="304"/>
        <v>-4869.5338731630782</v>
      </c>
      <c r="AY385">
        <f t="shared" si="312"/>
        <v>-1.4891771486940526</v>
      </c>
      <c r="BA385">
        <f t="shared" si="289"/>
        <v>1.4480170773924192</v>
      </c>
      <c r="BB385">
        <f t="shared" si="305"/>
        <v>3.2154736760838647</v>
      </c>
      <c r="BC385">
        <f t="shared" si="306"/>
        <v>-1.4340934558576206</v>
      </c>
      <c r="BD385">
        <f t="shared" si="290"/>
        <v>-262.16750254186252</v>
      </c>
      <c r="BF385">
        <f t="shared" si="291"/>
        <v>-47.881485814610173</v>
      </c>
      <c r="BG385">
        <f t="shared" si="292"/>
        <v>-180.08457956018776</v>
      </c>
      <c r="BH385">
        <f t="shared" si="307"/>
        <v>-8.4579560187762581E-2</v>
      </c>
      <c r="BI385">
        <f t="shared" si="308"/>
        <v>-8.4579560187762581E-2</v>
      </c>
      <c r="BJ385">
        <f t="shared" si="293"/>
        <v>0</v>
      </c>
      <c r="BK385">
        <f t="shared" si="309"/>
        <v>0</v>
      </c>
      <c r="BM385">
        <f t="shared" si="310"/>
        <v>-51.09695949069404</v>
      </c>
      <c r="BN385">
        <f t="shared" si="294"/>
        <v>-97.917077018325244</v>
      </c>
      <c r="BQ385" s="56">
        <f t="shared" si="311"/>
        <v>20.117434476368999</v>
      </c>
      <c r="BR385" s="59"/>
      <c r="BS385" s="59"/>
      <c r="BT385" s="59">
        <v>562341.32499999995</v>
      </c>
      <c r="BU385" s="59">
        <v>11.314</v>
      </c>
      <c r="BV385" s="59">
        <v>119.89400000000001</v>
      </c>
      <c r="BY385" s="59"/>
      <c r="BZ385" s="59"/>
      <c r="CA385" s="59"/>
      <c r="CC385" s="59"/>
    </row>
    <row r="386" spans="1:81" x14ac:dyDescent="0.25">
      <c r="A386">
        <f t="shared" si="319"/>
        <v>860000</v>
      </c>
      <c r="B386">
        <f t="shared" si="295"/>
        <v>860</v>
      </c>
      <c r="C386">
        <f t="shared" si="264"/>
        <v>7.2024307829257266</v>
      </c>
      <c r="D386">
        <f t="shared" si="265"/>
        <v>1.4315043189107342</v>
      </c>
      <c r="F386">
        <f t="shared" si="266"/>
        <v>2.5644847339869792E-5</v>
      </c>
      <c r="G386">
        <f t="shared" si="267"/>
        <v>1.9057864136067884E-3</v>
      </c>
      <c r="H386">
        <f t="shared" si="268"/>
        <v>-3.1396868635863933</v>
      </c>
      <c r="J386">
        <f t="shared" si="269"/>
        <v>15</v>
      </c>
      <c r="M386">
        <f t="shared" si="270"/>
        <v>2.1198612546119554E-3</v>
      </c>
      <c r="N386">
        <f t="shared" si="271"/>
        <v>-1.5707963250000001</v>
      </c>
      <c r="O386">
        <f t="shared" si="272"/>
        <v>142.22467151046712</v>
      </c>
      <c r="P386">
        <f t="shared" si="273"/>
        <v>1.5637651399478805</v>
      </c>
      <c r="Q386">
        <f t="shared" si="274"/>
        <v>221.11509180674545</v>
      </c>
      <c r="R386">
        <f t="shared" si="275"/>
        <v>1.5662737797324489</v>
      </c>
      <c r="S386">
        <f t="shared" si="276"/>
        <v>0.13884201461132079</v>
      </c>
      <c r="T386">
        <f t="shared" si="277"/>
        <v>-1.4315043189107342</v>
      </c>
      <c r="U386">
        <f t="shared" si="278"/>
        <v>0.22168853750423692</v>
      </c>
      <c r="V386">
        <f t="shared" si="279"/>
        <v>-1.3472505715437746</v>
      </c>
      <c r="X386">
        <f t="shared" si="296"/>
        <v>-44.905292447555553</v>
      </c>
      <c r="Y386">
        <f t="shared" si="280"/>
        <v>-167.74455825167877</v>
      </c>
      <c r="Z386">
        <f t="shared" si="297"/>
        <v>12.255441748321232</v>
      </c>
      <c r="AC386">
        <v>1</v>
      </c>
      <c r="AD386">
        <f t="shared" si="281"/>
        <v>142.22115590255999</v>
      </c>
      <c r="AE386">
        <f t="shared" si="282"/>
        <v>-0.11527464201896052</v>
      </c>
      <c r="AF386">
        <f t="shared" si="283"/>
        <v>2.6207165886299996E-2</v>
      </c>
      <c r="AG386">
        <f t="shared" si="315"/>
        <v>258.4560735834873</v>
      </c>
      <c r="AH386">
        <f t="shared" si="316"/>
        <v>-1175.000436657675</v>
      </c>
      <c r="AJ386">
        <f t="shared" si="284"/>
        <v>18000</v>
      </c>
      <c r="AK386">
        <f t="shared" si="285"/>
        <v>128388.09514608</v>
      </c>
      <c r="AL386">
        <v>1</v>
      </c>
      <c r="AM386">
        <f t="shared" si="286"/>
        <v>221.11283052936</v>
      </c>
      <c r="AN386">
        <f t="shared" si="317"/>
        <v>581.00144444973546</v>
      </c>
      <c r="AO386">
        <f t="shared" si="318"/>
        <v>-78.778777847707573</v>
      </c>
      <c r="AQ386">
        <f t="shared" si="287"/>
        <v>3.3802043739168557E-3</v>
      </c>
      <c r="AR386">
        <f t="shared" si="288"/>
        <v>-5.8139515231369918</v>
      </c>
      <c r="AT386">
        <f t="shared" si="313"/>
        <v>-6830.5219440421279</v>
      </c>
      <c r="AU386">
        <f t="shared" si="314"/>
        <v>-1506.6228242900668</v>
      </c>
      <c r="AV386">
        <f t="shared" si="302"/>
        <v>-2.9244966899023579</v>
      </c>
      <c r="AW386">
        <f t="shared" si="303"/>
        <v>400.60490473637822</v>
      </c>
      <c r="AX386">
        <f t="shared" si="304"/>
        <v>-4841.8946357424056</v>
      </c>
      <c r="AY386">
        <f t="shared" si="312"/>
        <v>-1.4882471256271512</v>
      </c>
      <c r="BA386">
        <f t="shared" si="289"/>
        <v>1.4397028346258336</v>
      </c>
      <c r="BB386">
        <f t="shared" si="305"/>
        <v>3.1654571946759873</v>
      </c>
      <c r="BC386">
        <f t="shared" si="306"/>
        <v>-1.4362495642752067</v>
      </c>
      <c r="BD386">
        <f t="shared" si="290"/>
        <v>-262.29103845450402</v>
      </c>
      <c r="BF386">
        <f t="shared" si="291"/>
        <v>-47.983133395904041</v>
      </c>
      <c r="BG386">
        <f t="shared" si="292"/>
        <v>-180.16268901417112</v>
      </c>
      <c r="BH386">
        <f t="shared" si="307"/>
        <v>-0.16268901417112147</v>
      </c>
      <c r="BI386">
        <f t="shared" si="308"/>
        <v>-0.16268901417112147</v>
      </c>
      <c r="BJ386">
        <f t="shared" si="293"/>
        <v>0</v>
      </c>
      <c r="BK386">
        <f t="shared" si="309"/>
        <v>0</v>
      </c>
      <c r="BM386">
        <f t="shared" si="310"/>
        <v>-51.148590590580028</v>
      </c>
      <c r="BN386">
        <f t="shared" si="294"/>
        <v>-97.871650559667117</v>
      </c>
      <c r="BQ386" s="56">
        <f t="shared" si="311"/>
        <v>20.067417994961122</v>
      </c>
      <c r="BR386" s="59"/>
      <c r="BS386" s="59"/>
      <c r="BT386" s="59">
        <v>575439.93700000003</v>
      </c>
      <c r="BU386" s="59">
        <v>11.0791</v>
      </c>
      <c r="BV386" s="59">
        <v>119.196</v>
      </c>
      <c r="BY386" s="59"/>
      <c r="BZ386" s="59"/>
      <c r="CA386" s="59"/>
      <c r="CC386" s="59"/>
    </row>
    <row r="387" spans="1:81" x14ac:dyDescent="0.25">
      <c r="A387">
        <f t="shared" si="319"/>
        <v>865000</v>
      </c>
      <c r="B387">
        <f t="shared" si="295"/>
        <v>865</v>
      </c>
      <c r="C387">
        <f t="shared" si="264"/>
        <v>7.2435004477753733</v>
      </c>
      <c r="D387">
        <f t="shared" si="265"/>
        <v>1.4322991892006327</v>
      </c>
      <c r="F387">
        <f t="shared" si="266"/>
        <v>2.5349224965387848E-5</v>
      </c>
      <c r="G387">
        <f t="shared" si="267"/>
        <v>1.8947697701950234E-3</v>
      </c>
      <c r="H387">
        <f t="shared" si="268"/>
        <v>-3.139697880229805</v>
      </c>
      <c r="J387">
        <f t="shared" si="269"/>
        <v>15</v>
      </c>
      <c r="M387">
        <f t="shared" si="270"/>
        <v>2.1076077213483023E-3</v>
      </c>
      <c r="N387">
        <f t="shared" si="271"/>
        <v>-1.5707963250000001</v>
      </c>
      <c r="O387">
        <f t="shared" si="272"/>
        <v>143.05151837501214</v>
      </c>
      <c r="P387">
        <f t="shared" si="273"/>
        <v>1.5638057813185047</v>
      </c>
      <c r="Q387">
        <f t="shared" si="274"/>
        <v>222.40061844829043</v>
      </c>
      <c r="R387">
        <f t="shared" si="275"/>
        <v>1.5662999212696085</v>
      </c>
      <c r="S387">
        <f t="shared" si="276"/>
        <v>0.13805479922447172</v>
      </c>
      <c r="T387">
        <f t="shared" si="277"/>
        <v>-1.4322991892006327</v>
      </c>
      <c r="U387">
        <f t="shared" si="278"/>
        <v>0.22046955965550094</v>
      </c>
      <c r="V387">
        <f t="shared" si="279"/>
        <v>-1.348500477287182</v>
      </c>
      <c r="X387">
        <f t="shared" si="296"/>
        <v>-45.003543544598863</v>
      </c>
      <c r="Y387">
        <f t="shared" si="280"/>
        <v>-167.81297740405563</v>
      </c>
      <c r="Z387">
        <f t="shared" si="297"/>
        <v>12.18702259594437</v>
      </c>
      <c r="AC387">
        <v>1</v>
      </c>
      <c r="AD387">
        <f t="shared" si="281"/>
        <v>143.04802308804</v>
      </c>
      <c r="AE387">
        <f t="shared" si="282"/>
        <v>-0.11661894135294314</v>
      </c>
      <c r="AF387">
        <f t="shared" si="283"/>
        <v>2.6359533129824999E-2</v>
      </c>
      <c r="AG387">
        <f t="shared" si="315"/>
        <v>255.6215918541038</v>
      </c>
      <c r="AH387">
        <f t="shared" si="316"/>
        <v>-1168.8492082630544</v>
      </c>
      <c r="AJ387">
        <f t="shared" si="284"/>
        <v>18000</v>
      </c>
      <c r="AK387">
        <f t="shared" si="285"/>
        <v>129134.53755972002</v>
      </c>
      <c r="AL387">
        <v>1</v>
      </c>
      <c r="AM387">
        <f t="shared" si="286"/>
        <v>222.39837024173997</v>
      </c>
      <c r="AN387">
        <f t="shared" si="317"/>
        <v>580.99733755659167</v>
      </c>
      <c r="AO387">
        <f t="shared" si="318"/>
        <v>-78.323427656009827</v>
      </c>
      <c r="AQ387">
        <f t="shared" si="287"/>
        <v>3.3412398204952318E-3</v>
      </c>
      <c r="AR387">
        <f t="shared" si="288"/>
        <v>-5.7803448894567513</v>
      </c>
      <c r="AT387">
        <f t="shared" si="313"/>
        <v>-6755.4974544872348</v>
      </c>
      <c r="AU387">
        <f t="shared" si="314"/>
        <v>-1481.4863676274713</v>
      </c>
      <c r="AV387">
        <f t="shared" si="302"/>
        <v>-2.925709314940768</v>
      </c>
      <c r="AW387">
        <f t="shared" si="303"/>
        <v>402.83479134561543</v>
      </c>
      <c r="AX387">
        <f t="shared" si="304"/>
        <v>-4814.5641561680886</v>
      </c>
      <c r="AY387">
        <f t="shared" si="312"/>
        <v>-1.4873207164223949</v>
      </c>
      <c r="BA387">
        <f t="shared" si="289"/>
        <v>1.431480240496056</v>
      </c>
      <c r="BB387">
        <f t="shared" si="305"/>
        <v>3.1157071518990493</v>
      </c>
      <c r="BC387">
        <f t="shared" si="306"/>
        <v>-1.4383885985183731</v>
      </c>
      <c r="BD387">
        <f t="shared" si="290"/>
        <v>-262.41359608901143</v>
      </c>
      <c r="BF387">
        <f t="shared" si="291"/>
        <v>-48.084204128407848</v>
      </c>
      <c r="BG387">
        <f t="shared" si="292"/>
        <v>-180.24033514292762</v>
      </c>
      <c r="BH387">
        <f t="shared" si="307"/>
        <v>-0.24033514292761993</v>
      </c>
      <c r="BI387">
        <f t="shared" si="308"/>
        <v>-0.24033514292761993</v>
      </c>
      <c r="BJ387">
        <f t="shared" si="293"/>
        <v>0</v>
      </c>
      <c r="BK387">
        <f t="shared" si="309"/>
        <v>0</v>
      </c>
      <c r="BM387">
        <f t="shared" si="310"/>
        <v>-51.1999112803069</v>
      </c>
      <c r="BN387">
        <f t="shared" si="294"/>
        <v>-97.826739053916171</v>
      </c>
      <c r="BQ387" s="56">
        <f t="shared" si="311"/>
        <v>20.017667952184187</v>
      </c>
      <c r="BR387" s="59"/>
      <c r="BS387" s="59"/>
      <c r="BT387" s="59">
        <v>588843.65500000003</v>
      </c>
      <c r="BU387" s="59">
        <v>10.8666</v>
      </c>
      <c r="BV387" s="59">
        <v>116.889</v>
      </c>
      <c r="BY387" s="59"/>
      <c r="BZ387" s="59"/>
      <c r="CA387" s="59"/>
      <c r="CC387" s="59"/>
    </row>
    <row r="388" spans="1:81" x14ac:dyDescent="0.25">
      <c r="A388">
        <f t="shared" si="319"/>
        <v>870000</v>
      </c>
      <c r="B388">
        <f t="shared" si="295"/>
        <v>870</v>
      </c>
      <c r="C388">
        <f t="shared" si="264"/>
        <v>7.2845746375983964</v>
      </c>
      <c r="D388">
        <f t="shared" si="265"/>
        <v>1.4330850962049115</v>
      </c>
      <c r="F388">
        <f t="shared" si="266"/>
        <v>2.5058685027114999E-5</v>
      </c>
      <c r="G388">
        <f t="shared" si="267"/>
        <v>1.8838797640472315E-3</v>
      </c>
      <c r="H388">
        <f t="shared" si="268"/>
        <v>-3.139708770235953</v>
      </c>
      <c r="J388">
        <f t="shared" si="269"/>
        <v>15</v>
      </c>
      <c r="M388">
        <f t="shared" si="270"/>
        <v>2.0954950332945765E-3</v>
      </c>
      <c r="N388">
        <f t="shared" si="271"/>
        <v>-1.5707963250000001</v>
      </c>
      <c r="O388">
        <f t="shared" si="272"/>
        <v>143.87836547312256</v>
      </c>
      <c r="P388">
        <f t="shared" si="273"/>
        <v>1.5638459555696349</v>
      </c>
      <c r="Q388">
        <f t="shared" si="274"/>
        <v>223.68614524007262</v>
      </c>
      <c r="R388">
        <f t="shared" si="275"/>
        <v>1.5663257623353697</v>
      </c>
      <c r="S388">
        <f t="shared" si="276"/>
        <v>0.13727637504578905</v>
      </c>
      <c r="T388">
        <f t="shared" si="277"/>
        <v>-1.4330850962049113</v>
      </c>
      <c r="U388">
        <f t="shared" si="278"/>
        <v>0.21926357690794318</v>
      </c>
      <c r="V388">
        <f t="shared" si="279"/>
        <v>-1.3497367108138678</v>
      </c>
      <c r="X388">
        <f t="shared" si="296"/>
        <v>-45.10125504776542</v>
      </c>
      <c r="Y388">
        <f t="shared" si="280"/>
        <v>-167.88064992005468</v>
      </c>
      <c r="Z388">
        <f t="shared" si="297"/>
        <v>12.11935007994532</v>
      </c>
      <c r="AC388">
        <v>1</v>
      </c>
      <c r="AD388">
        <f t="shared" si="281"/>
        <v>143.87489027352001</v>
      </c>
      <c r="AE388">
        <f t="shared" si="282"/>
        <v>-0.11797103372654304</v>
      </c>
      <c r="AF388">
        <f t="shared" si="283"/>
        <v>2.6511900373349998E-2</v>
      </c>
      <c r="AG388">
        <f t="shared" si="315"/>
        <v>252.83270718957684</v>
      </c>
      <c r="AH388">
        <f t="shared" si="316"/>
        <v>-1162.7584365103555</v>
      </c>
      <c r="AJ388">
        <f t="shared" si="284"/>
        <v>18000</v>
      </c>
      <c r="AK388">
        <f t="shared" si="285"/>
        <v>129880.97997336001</v>
      </c>
      <c r="AL388">
        <v>1</v>
      </c>
      <c r="AM388">
        <f t="shared" si="286"/>
        <v>223.68390995411997</v>
      </c>
      <c r="AN388">
        <f t="shared" si="317"/>
        <v>580.99330126639393</v>
      </c>
      <c r="AO388">
        <f t="shared" si="318"/>
        <v>-77.873311058924344</v>
      </c>
      <c r="AQ388">
        <f t="shared" si="287"/>
        <v>3.3029451370903892E-3</v>
      </c>
      <c r="AR388">
        <f t="shared" si="288"/>
        <v>-5.7471245385372773</v>
      </c>
      <c r="AT388">
        <f t="shared" si="313"/>
        <v>-6681.682450299194</v>
      </c>
      <c r="AU388">
        <f t="shared" si="314"/>
        <v>-1456.9015829575101</v>
      </c>
      <c r="AV388">
        <f t="shared" si="302"/>
        <v>-2.9269086962536228</v>
      </c>
      <c r="AW388">
        <f t="shared" si="303"/>
        <v>405.02299981863575</v>
      </c>
      <c r="AX388">
        <f t="shared" si="304"/>
        <v>-4787.5373357093276</v>
      </c>
      <c r="AY388">
        <f t="shared" si="312"/>
        <v>-1.4863978477957474</v>
      </c>
      <c r="BA388">
        <f t="shared" si="289"/>
        <v>1.4233478020236192</v>
      </c>
      <c r="BB388">
        <f t="shared" si="305"/>
        <v>3.066220700820304</v>
      </c>
      <c r="BC388">
        <f t="shared" si="306"/>
        <v>-1.4405108484578755</v>
      </c>
      <c r="BD388">
        <f t="shared" si="290"/>
        <v>-262.53519205375579</v>
      </c>
      <c r="BF388">
        <f t="shared" si="291"/>
        <v>-48.184704622729058</v>
      </c>
      <c r="BG388">
        <f t="shared" si="292"/>
        <v>-180.31752590457739</v>
      </c>
      <c r="BH388">
        <f t="shared" si="307"/>
        <v>-0.31752590457739416</v>
      </c>
      <c r="BI388">
        <f t="shared" si="308"/>
        <v>-0.31752590457739416</v>
      </c>
      <c r="BJ388">
        <f t="shared" si="293"/>
        <v>0</v>
      </c>
      <c r="BK388">
        <f t="shared" si="309"/>
        <v>0</v>
      </c>
      <c r="BM388">
        <f t="shared" si="310"/>
        <v>-51.250925323549367</v>
      </c>
      <c r="BN388">
        <f t="shared" si="294"/>
        <v>-97.782333850821644</v>
      </c>
      <c r="BQ388" s="56">
        <f t="shared" si="311"/>
        <v>19.968181501105441</v>
      </c>
      <c r="BR388" s="59"/>
      <c r="BS388" s="59"/>
      <c r="BT388" s="59">
        <v>602559.58600000001</v>
      </c>
      <c r="BU388" s="59">
        <v>10.6013</v>
      </c>
      <c r="BV388" s="59">
        <v>117.324</v>
      </c>
      <c r="BY388" s="59"/>
      <c r="BZ388" s="59"/>
      <c r="CA388" s="59"/>
      <c r="CC388" s="59"/>
    </row>
    <row r="389" spans="1:81" x14ac:dyDescent="0.25">
      <c r="A389">
        <f t="shared" si="319"/>
        <v>875000</v>
      </c>
      <c r="B389">
        <f t="shared" si="295"/>
        <v>875</v>
      </c>
      <c r="C389">
        <f t="shared" si="264"/>
        <v>7.3256532762816047</v>
      </c>
      <c r="D389">
        <f t="shared" si="265"/>
        <v>1.4338621897294936</v>
      </c>
      <c r="F389">
        <f t="shared" si="266"/>
        <v>2.4773111683136431E-5</v>
      </c>
      <c r="G389">
        <f t="shared" si="267"/>
        <v>1.8731142240308747E-3</v>
      </c>
      <c r="H389">
        <f t="shared" si="268"/>
        <v>-3.1397195357759693</v>
      </c>
      <c r="J389">
        <f t="shared" si="269"/>
        <v>15</v>
      </c>
      <c r="M389">
        <f t="shared" si="270"/>
        <v>2.0835207759614645E-3</v>
      </c>
      <c r="N389">
        <f t="shared" si="271"/>
        <v>-1.5707963250000001</v>
      </c>
      <c r="O389">
        <f t="shared" si="272"/>
        <v>144.70521280079467</v>
      </c>
      <c r="P389">
        <f t="shared" si="273"/>
        <v>1.5638856707085198</v>
      </c>
      <c r="Q389">
        <f t="shared" si="274"/>
        <v>224.97167217951659</v>
      </c>
      <c r="R389">
        <f t="shared" si="275"/>
        <v>1.5663513080805336</v>
      </c>
      <c r="S389">
        <f t="shared" si="276"/>
        <v>0.1365065970618235</v>
      </c>
      <c r="T389">
        <f t="shared" si="277"/>
        <v>-1.4338621897294936</v>
      </c>
      <c r="U389">
        <f t="shared" si="278"/>
        <v>0.21807038813904331</v>
      </c>
      <c r="V389">
        <f t="shared" si="279"/>
        <v>-1.3509594915185137</v>
      </c>
      <c r="X389">
        <f t="shared" si="296"/>
        <v>-45.198432715673327</v>
      </c>
      <c r="Y389">
        <f t="shared" si="280"/>
        <v>-167.94758774056123</v>
      </c>
      <c r="Z389">
        <f t="shared" si="297"/>
        <v>12.052412259438768</v>
      </c>
      <c r="AC389">
        <v>1</v>
      </c>
      <c r="AD389">
        <f t="shared" si="281"/>
        <v>144.70175745899999</v>
      </c>
      <c r="AE389">
        <f t="shared" si="282"/>
        <v>-0.11933091913976022</v>
      </c>
      <c r="AF389">
        <f t="shared" si="283"/>
        <v>2.6664267616874997E-2</v>
      </c>
      <c r="AG389">
        <f t="shared" si="315"/>
        <v>250.08846377841689</v>
      </c>
      <c r="AH389">
        <f t="shared" si="316"/>
        <v>-1156.7272985742668</v>
      </c>
      <c r="AJ389">
        <f t="shared" si="284"/>
        <v>18000</v>
      </c>
      <c r="AK389">
        <f t="shared" si="285"/>
        <v>130627.42238700001</v>
      </c>
      <c r="AL389">
        <v>1</v>
      </c>
      <c r="AM389">
        <f t="shared" si="286"/>
        <v>224.96944966649997</v>
      </c>
      <c r="AN389">
        <f t="shared" si="317"/>
        <v>580.98933397003373</v>
      </c>
      <c r="AO389">
        <f t="shared" si="318"/>
        <v>-77.428338344838906</v>
      </c>
      <c r="AQ389">
        <f t="shared" si="287"/>
        <v>3.2653050562269203E-3</v>
      </c>
      <c r="AR389">
        <f t="shared" si="288"/>
        <v>-5.7142838483971108</v>
      </c>
      <c r="AT389">
        <f t="shared" si="313"/>
        <v>-6609.051504117675</v>
      </c>
      <c r="AU389">
        <f t="shared" si="314"/>
        <v>-1432.8535367361637</v>
      </c>
      <c r="AV389">
        <f t="shared" si="302"/>
        <v>-2.9280950458905548</v>
      </c>
      <c r="AW389">
        <f t="shared" si="303"/>
        <v>407.17056907372159</v>
      </c>
      <c r="AX389">
        <f t="shared" si="304"/>
        <v>-4760.8091864670305</v>
      </c>
      <c r="AY389">
        <f t="shared" si="312"/>
        <v>-1.4854784485036869</v>
      </c>
      <c r="BA389">
        <f t="shared" si="289"/>
        <v>1.4153040579119005</v>
      </c>
      <c r="BB389">
        <f t="shared" si="305"/>
        <v>3.0169950373149956</v>
      </c>
      <c r="BC389">
        <f t="shared" si="306"/>
        <v>-1.4426165973868679</v>
      </c>
      <c r="BD389">
        <f t="shared" si="290"/>
        <v>-262.6558425802391</v>
      </c>
      <c r="BF389">
        <f t="shared" si="291"/>
        <v>-48.28464137787968</v>
      </c>
      <c r="BG389">
        <f t="shared" si="292"/>
        <v>-180.39426907177216</v>
      </c>
      <c r="BH389">
        <f t="shared" si="307"/>
        <v>-0.39426907177215753</v>
      </c>
      <c r="BI389">
        <f t="shared" si="308"/>
        <v>-0.39426907177215753</v>
      </c>
      <c r="BJ389">
        <f t="shared" si="293"/>
        <v>0</v>
      </c>
      <c r="BK389">
        <f t="shared" si="309"/>
        <v>0</v>
      </c>
      <c r="BM389">
        <f t="shared" si="310"/>
        <v>-51.301636415194672</v>
      </c>
      <c r="BN389">
        <f t="shared" si="294"/>
        <v>-97.738426491533076</v>
      </c>
      <c r="BQ389" s="56">
        <f t="shared" si="311"/>
        <v>19.91895583760013</v>
      </c>
      <c r="BR389" s="59"/>
      <c r="BS389" s="59"/>
      <c r="BT389" s="59">
        <v>616595.00199999998</v>
      </c>
      <c r="BU389" s="59">
        <v>10.4749</v>
      </c>
      <c r="BV389" s="59">
        <v>115.142</v>
      </c>
      <c r="BY389" s="59"/>
      <c r="BZ389" s="59"/>
      <c r="CA389" s="59"/>
      <c r="CC389" s="59"/>
    </row>
    <row r="390" spans="1:81" x14ac:dyDescent="0.25">
      <c r="A390">
        <f t="shared" si="319"/>
        <v>880000</v>
      </c>
      <c r="B390">
        <f t="shared" si="295"/>
        <v>880</v>
      </c>
      <c r="C390">
        <f t="shared" si="264"/>
        <v>7.3667362894013557</v>
      </c>
      <c r="D390">
        <f t="shared" si="265"/>
        <v>1.4346306162816589</v>
      </c>
      <c r="F390">
        <f t="shared" si="266"/>
        <v>2.4492392373276138E-5</v>
      </c>
      <c r="G390">
        <f t="shared" si="267"/>
        <v>1.8624710283631964E-3</v>
      </c>
      <c r="H390">
        <f t="shared" si="268"/>
        <v>-3.1397301789716372</v>
      </c>
      <c r="J390">
        <f t="shared" si="269"/>
        <v>15</v>
      </c>
      <c r="M390">
        <f t="shared" si="270"/>
        <v>2.0716825897344111E-3</v>
      </c>
      <c r="N390">
        <f t="shared" si="271"/>
        <v>-1.5707963250000001</v>
      </c>
      <c r="O390">
        <f t="shared" si="272"/>
        <v>145.53206035411563</v>
      </c>
      <c r="P390">
        <f t="shared" si="273"/>
        <v>1.5639249345604389</v>
      </c>
      <c r="Q390">
        <f t="shared" si="274"/>
        <v>226.2571992641054</v>
      </c>
      <c r="R390">
        <f t="shared" si="275"/>
        <v>1.566376563538842</v>
      </c>
      <c r="S390">
        <f t="shared" si="276"/>
        <v>0.13574532339900869</v>
      </c>
      <c r="T390">
        <f t="shared" si="277"/>
        <v>-1.4346306162816589</v>
      </c>
      <c r="U390">
        <f t="shared" si="278"/>
        <v>0.21688979623099616</v>
      </c>
      <c r="V390">
        <f t="shared" si="279"/>
        <v>-1.3521690342076489</v>
      </c>
      <c r="X390">
        <f t="shared" si="296"/>
        <v>-45.295082217355514</v>
      </c>
      <c r="Y390">
        <f t="shared" si="280"/>
        <v>-168.01380255788442</v>
      </c>
      <c r="Z390">
        <f t="shared" si="297"/>
        <v>11.986197442115582</v>
      </c>
      <c r="AC390">
        <v>1</v>
      </c>
      <c r="AD390">
        <f t="shared" si="281"/>
        <v>145.52862464448</v>
      </c>
      <c r="AE390">
        <f t="shared" si="282"/>
        <v>-0.12069859759259471</v>
      </c>
      <c r="AF390">
        <f t="shared" si="283"/>
        <v>2.6816634860399997E-2</v>
      </c>
      <c r="AG390">
        <f t="shared" si="315"/>
        <v>247.38793026053173</v>
      </c>
      <c r="AH390">
        <f t="shared" si="316"/>
        <v>-1150.7549848974788</v>
      </c>
      <c r="AJ390">
        <f t="shared" si="284"/>
        <v>18000</v>
      </c>
      <c r="AK390">
        <f t="shared" si="285"/>
        <v>131373.86480064</v>
      </c>
      <c r="AL390">
        <v>1</v>
      </c>
      <c r="AM390">
        <f t="shared" si="286"/>
        <v>226.25498937887997</v>
      </c>
      <c r="AN390">
        <f t="shared" si="317"/>
        <v>580.98543410398395</v>
      </c>
      <c r="AO390">
        <f t="shared" si="318"/>
        <v>-76.988421840840132</v>
      </c>
      <c r="AQ390">
        <f t="shared" si="287"/>
        <v>3.2283047429284791E-3</v>
      </c>
      <c r="AR390">
        <f t="shared" si="288"/>
        <v>-5.6818163475541237</v>
      </c>
      <c r="AT390">
        <f t="shared" si="313"/>
        <v>-6537.5798415912905</v>
      </c>
      <c r="AU390">
        <f t="shared" si="314"/>
        <v>-1409.3277741175618</v>
      </c>
      <c r="AV390">
        <f t="shared" si="302"/>
        <v>-2.9292685714799633</v>
      </c>
      <c r="AW390">
        <f t="shared" si="303"/>
        <v>409.27850579818767</v>
      </c>
      <c r="AX390">
        <f t="shared" si="304"/>
        <v>-4734.3748283946006</v>
      </c>
      <c r="AY390">
        <f t="shared" si="312"/>
        <v>-1.4845624492744185</v>
      </c>
      <c r="BA390">
        <f t="shared" si="289"/>
        <v>1.4073475777291882</v>
      </c>
      <c r="BB390">
        <f t="shared" si="305"/>
        <v>2.9680273992679829</v>
      </c>
      <c r="BC390">
        <f t="shared" si="306"/>
        <v>-1.4447061222055448</v>
      </c>
      <c r="BD390">
        <f t="shared" si="290"/>
        <v>-262.77556353367396</v>
      </c>
      <c r="BF390">
        <f t="shared" si="291"/>
        <v>-48.384020783753442</v>
      </c>
      <c r="BG390">
        <f t="shared" si="292"/>
        <v>-180.47057223704482</v>
      </c>
      <c r="BH390">
        <f t="shared" si="307"/>
        <v>-0.47057223704481999</v>
      </c>
      <c r="BI390">
        <f t="shared" si="308"/>
        <v>-0.47057223704481999</v>
      </c>
      <c r="BJ390">
        <f t="shared" si="293"/>
        <v>0</v>
      </c>
      <c r="BK390">
        <f t="shared" si="309"/>
        <v>0</v>
      </c>
      <c r="BM390">
        <f t="shared" si="310"/>
        <v>-51.352048183021417</v>
      </c>
      <c r="BN390">
        <f t="shared" si="294"/>
        <v>-97.695008703370902</v>
      </c>
      <c r="BQ390" s="56">
        <f t="shared" si="311"/>
        <v>19.86998819955312</v>
      </c>
      <c r="BR390" s="59"/>
      <c r="BS390" s="59"/>
      <c r="BT390" s="59">
        <v>630957.34400000004</v>
      </c>
      <c r="BU390" s="59">
        <v>10.283799999999999</v>
      </c>
      <c r="BV390" s="59">
        <v>115.247</v>
      </c>
      <c r="BY390" s="59"/>
      <c r="BZ390" s="59"/>
      <c r="CA390" s="59"/>
      <c r="CC390" s="59"/>
    </row>
    <row r="391" spans="1:81" x14ac:dyDescent="0.25">
      <c r="A391">
        <f t="shared" si="319"/>
        <v>885000</v>
      </c>
      <c r="B391">
        <f t="shared" si="295"/>
        <v>885</v>
      </c>
      <c r="C391">
        <f t="shared" si="264"/>
        <v>7.4078236041771479</v>
      </c>
      <c r="D391">
        <f t="shared" si="265"/>
        <v>1.4353905191597531</v>
      </c>
      <c r="F391">
        <f t="shared" si="266"/>
        <v>2.4216417708161097E-5</v>
      </c>
      <c r="G391">
        <f t="shared" si="267"/>
        <v>1.8519481032169621E-3</v>
      </c>
      <c r="H391">
        <f t="shared" si="268"/>
        <v>-3.1397407018967831</v>
      </c>
      <c r="J391">
        <f t="shared" si="269"/>
        <v>15</v>
      </c>
      <c r="M391">
        <f t="shared" si="270"/>
        <v>2.059978168323482E-3</v>
      </c>
      <c r="N391">
        <f t="shared" si="271"/>
        <v>-1.5707963250000001</v>
      </c>
      <c r="O391">
        <f t="shared" si="272"/>
        <v>146.3589081292611</v>
      </c>
      <c r="P391">
        <f t="shared" si="273"/>
        <v>1.5639637547738441</v>
      </c>
      <c r="Q391">
        <f t="shared" si="274"/>
        <v>227.54272649137906</v>
      </c>
      <c r="R391">
        <f t="shared" si="275"/>
        <v>1.5664015336302834</v>
      </c>
      <c r="S391">
        <f t="shared" si="276"/>
        <v>0.13499241524003311</v>
      </c>
      <c r="T391">
        <f t="shared" si="277"/>
        <v>-1.4353905191597531</v>
      </c>
      <c r="U391">
        <f t="shared" si="278"/>
        <v>0.21572160797502823</v>
      </c>
      <c r="V391">
        <f t="shared" si="279"/>
        <v>-1.353365549216762</v>
      </c>
      <c r="X391">
        <f t="shared" si="296"/>
        <v>-45.391209134065271</v>
      </c>
      <c r="Y391">
        <f t="shared" si="280"/>
        <v>-168.07930582206291</v>
      </c>
      <c r="Z391">
        <f t="shared" si="297"/>
        <v>11.920694177937094</v>
      </c>
      <c r="AC391">
        <v>1</v>
      </c>
      <c r="AD391">
        <f t="shared" si="281"/>
        <v>146.35549182996002</v>
      </c>
      <c r="AE391">
        <f t="shared" si="282"/>
        <v>-0.12207406908504648</v>
      </c>
      <c r="AF391">
        <f t="shared" si="283"/>
        <v>2.6969002103925003E-2</v>
      </c>
      <c r="AG391">
        <f t="shared" si="315"/>
        <v>244.73019899558003</v>
      </c>
      <c r="AH391">
        <f t="shared" si="316"/>
        <v>-1144.8406989775162</v>
      </c>
      <c r="AJ391">
        <f t="shared" si="284"/>
        <v>18000</v>
      </c>
      <c r="AK391">
        <f t="shared" si="285"/>
        <v>132120.30721428001</v>
      </c>
      <c r="AL391">
        <v>1</v>
      </c>
      <c r="AM391">
        <f t="shared" si="286"/>
        <v>227.54052909126</v>
      </c>
      <c r="AN391">
        <f t="shared" si="317"/>
        <v>580.98160014875748</v>
      </c>
      <c r="AO391">
        <f t="shared" si="318"/>
        <v>-76.553475855129847</v>
      </c>
      <c r="AQ391">
        <f t="shared" si="287"/>
        <v>3.1919297800983818E-3</v>
      </c>
      <c r="AR391">
        <f t="shared" si="288"/>
        <v>-5.6497157107741351</v>
      </c>
      <c r="AT391">
        <f t="shared" si="313"/>
        <v>-6467.2433217366524</v>
      </c>
      <c r="AU391">
        <f t="shared" si="314"/>
        <v>-1386.3103012867439</v>
      </c>
      <c r="AV391">
        <f t="shared" si="302"/>
        <v>-2.9304294763414105</v>
      </c>
      <c r="AW391">
        <f t="shared" si="303"/>
        <v>411.3477856390524</v>
      </c>
      <c r="AX391">
        <f t="shared" si="304"/>
        <v>-4708.2294864140331</v>
      </c>
      <c r="AY391">
        <f t="shared" si="312"/>
        <v>-1.4836497827417943</v>
      </c>
      <c r="BA391">
        <f t="shared" si="289"/>
        <v>1.3994769611152651</v>
      </c>
      <c r="BB391">
        <f t="shared" si="305"/>
        <v>2.9193150657918454</v>
      </c>
      <c r="BC391">
        <f t="shared" si="306"/>
        <v>-1.4467796935996162</v>
      </c>
      <c r="BD391">
        <f t="shared" si="290"/>
        <v>-262.89437042320901</v>
      </c>
      <c r="BF391">
        <f t="shared" si="291"/>
        <v>-48.482849123535317</v>
      </c>
      <c r="BG391">
        <f t="shared" si="292"/>
        <v>-180.54644281797522</v>
      </c>
      <c r="BH391">
        <f t="shared" si="307"/>
        <v>-0.54644281797521899</v>
      </c>
      <c r="BI391">
        <f t="shared" si="308"/>
        <v>-0.54644281797521899</v>
      </c>
      <c r="BJ391">
        <f t="shared" si="293"/>
        <v>0</v>
      </c>
      <c r="BK391">
        <f t="shared" si="309"/>
        <v>0</v>
      </c>
      <c r="BM391">
        <f t="shared" si="310"/>
        <v>-51.402164189327159</v>
      </c>
      <c r="BN391">
        <f t="shared" si="294"/>
        <v>-97.652072394766193</v>
      </c>
      <c r="BQ391" s="56">
        <f t="shared" si="311"/>
        <v>19.821275866076981</v>
      </c>
      <c r="BR391" s="59"/>
      <c r="BS391" s="59"/>
      <c r="BT391" s="59">
        <v>645654.22900000005</v>
      </c>
      <c r="BU391" s="59">
        <v>9.9821899999999992</v>
      </c>
      <c r="BV391" s="59">
        <v>113.164</v>
      </c>
      <c r="BY391" s="59"/>
      <c r="BZ391" s="59"/>
      <c r="CA391" s="59"/>
      <c r="CC391" s="59"/>
    </row>
    <row r="392" spans="1:81" x14ac:dyDescent="0.25">
      <c r="A392">
        <f t="shared" si="319"/>
        <v>890000</v>
      </c>
      <c r="B392">
        <f t="shared" si="295"/>
        <v>890</v>
      </c>
      <c r="C392">
        <f t="shared" si="264"/>
        <v>7.4489151494267407</v>
      </c>
      <c r="D392">
        <f t="shared" si="265"/>
        <v>1.4361420385400065</v>
      </c>
      <c r="F392">
        <f t="shared" si="266"/>
        <v>2.3945081362636001E-5</v>
      </c>
      <c r="G392">
        <f t="shared" si="267"/>
        <v>1.8415434213732047E-3</v>
      </c>
      <c r="H392">
        <f t="shared" si="268"/>
        <v>-3.1397511065786272</v>
      </c>
      <c r="J392">
        <f t="shared" si="269"/>
        <v>15</v>
      </c>
      <c r="M392">
        <f t="shared" si="270"/>
        <v>2.0484052572654851E-3</v>
      </c>
      <c r="N392">
        <f t="shared" si="271"/>
        <v>-1.5707963250000001</v>
      </c>
      <c r="O392">
        <f t="shared" si="272"/>
        <v>147.18575612249262</v>
      </c>
      <c r="P392">
        <f t="shared" si="273"/>
        <v>1.5640021388253247</v>
      </c>
      <c r="Q392">
        <f t="shared" si="274"/>
        <v>228.82825385893275</v>
      </c>
      <c r="R392">
        <f t="shared" si="275"/>
        <v>1.5664262231642883</v>
      </c>
      <c r="S392">
        <f t="shared" si="276"/>
        <v>0.13424773674284085</v>
      </c>
      <c r="T392">
        <f t="shared" si="277"/>
        <v>-1.4361420385400063</v>
      </c>
      <c r="U392">
        <f t="shared" si="278"/>
        <v>0.21456563397832409</v>
      </c>
      <c r="V392">
        <f t="shared" si="279"/>
        <v>-1.3545492425239185</v>
      </c>
      <c r="X392">
        <f t="shared" si="296"/>
        <v>-45.486818961037791</v>
      </c>
      <c r="Y392">
        <f t="shared" si="280"/>
        <v>-168.14410874698473</v>
      </c>
      <c r="Z392">
        <f t="shared" si="297"/>
        <v>11.855891253015272</v>
      </c>
      <c r="AC392">
        <v>1</v>
      </c>
      <c r="AD392">
        <f t="shared" si="281"/>
        <v>147.18235901544</v>
      </c>
      <c r="AE392">
        <f t="shared" si="282"/>
        <v>-0.12345733361711553</v>
      </c>
      <c r="AF392">
        <f t="shared" si="283"/>
        <v>2.7121369347450002E-2</v>
      </c>
      <c r="AG392">
        <f t="shared" si="315"/>
        <v>242.11438535616045</v>
      </c>
      <c r="AH392">
        <f t="shared" si="316"/>
        <v>-1138.9836571553044</v>
      </c>
      <c r="AJ392">
        <f t="shared" si="284"/>
        <v>18000</v>
      </c>
      <c r="AK392">
        <f t="shared" si="285"/>
        <v>132866.74962792001</v>
      </c>
      <c r="AL392">
        <v>1</v>
      </c>
      <c r="AM392">
        <f t="shared" si="286"/>
        <v>228.82606880364</v>
      </c>
      <c r="AN392">
        <f t="shared" si="317"/>
        <v>580.97783062742815</v>
      </c>
      <c r="AO392">
        <f t="shared" si="318"/>
        <v>-76.12341662138229</v>
      </c>
      <c r="AQ392">
        <f t="shared" si="287"/>
        <v>3.1561661544735027E-3</v>
      </c>
      <c r="AR392">
        <f t="shared" si="288"/>
        <v>-5.6179757549628349</v>
      </c>
      <c r="AT392">
        <f t="shared" si="313"/>
        <v>-6398.0184179688295</v>
      </c>
      <c r="AU392">
        <f t="shared" si="314"/>
        <v>-1363.7875685278502</v>
      </c>
      <c r="AV392">
        <f t="shared" si="302"/>
        <v>-2.9315779595946823</v>
      </c>
      <c r="AW392">
        <f t="shared" si="303"/>
        <v>413.37935434290279</v>
      </c>
      <c r="AX392">
        <f t="shared" si="304"/>
        <v>-4682.3684876237885</v>
      </c>
      <c r="AY392">
        <f t="shared" si="312"/>
        <v>-1.4827403833818251</v>
      </c>
      <c r="BA392">
        <f t="shared" si="289"/>
        <v>1.3916908370117098</v>
      </c>
      <c r="BB392">
        <f t="shared" si="305"/>
        <v>2.8708553564612971</v>
      </c>
      <c r="BC392">
        <f t="shared" si="306"/>
        <v>-1.4488375762128571</v>
      </c>
      <c r="BD392">
        <f t="shared" si="290"/>
        <v>-263.01227841181583</v>
      </c>
      <c r="BF392">
        <f t="shared" si="291"/>
        <v>-48.581132576045547</v>
      </c>
      <c r="BG392">
        <f t="shared" si="292"/>
        <v>-180.62188806217952</v>
      </c>
      <c r="BH392">
        <f t="shared" si="307"/>
        <v>-0.62188806217952219</v>
      </c>
      <c r="BI392">
        <f t="shared" si="308"/>
        <v>-0.62188806217952219</v>
      </c>
      <c r="BJ392">
        <f t="shared" si="293"/>
        <v>0</v>
      </c>
      <c r="BK392">
        <f t="shared" si="309"/>
        <v>0</v>
      </c>
      <c r="BM392">
        <f t="shared" si="310"/>
        <v>-51.451987932506846</v>
      </c>
      <c r="BN392">
        <f t="shared" si="294"/>
        <v>-97.609609650363723</v>
      </c>
      <c r="BQ392" s="56">
        <f t="shared" si="311"/>
        <v>19.772816156746433</v>
      </c>
      <c r="BR392" s="59"/>
      <c r="BS392" s="59"/>
      <c r="BT392" s="59">
        <v>660693.44799999997</v>
      </c>
      <c r="BU392" s="59">
        <v>9.7520900000000008</v>
      </c>
      <c r="BV392" s="59">
        <v>112.872</v>
      </c>
      <c r="BY392" s="59"/>
      <c r="BZ392" s="59"/>
      <c r="CA392" s="59"/>
      <c r="CC392" s="59"/>
    </row>
    <row r="393" spans="1:81" x14ac:dyDescent="0.25">
      <c r="A393">
        <f t="shared" si="319"/>
        <v>895000</v>
      </c>
      <c r="B393">
        <f t="shared" si="295"/>
        <v>895</v>
      </c>
      <c r="C393">
        <f t="shared" ref="C393:C456" si="320">SQRT((A393/Fesr)^2+1)</f>
        <v>7.4900108555227165</v>
      </c>
      <c r="D393">
        <f t="shared" ref="D393:D456" si="321">ATAN(A393/Fesr)</f>
        <v>1.4368853115605649</v>
      </c>
      <c r="F393">
        <f t="shared" ref="F393:F456" si="322">(Ro/(Ro+Rdcr))/SQRT((A393/(Q*Fo))^2+(1-(A393^2/Fo^2))^2)</f>
        <v>2.367827997333468E-5</v>
      </c>
      <c r="G393">
        <f t="shared" ref="G393:G456" si="323">-ATAN(A393*Fo/(Q*(Fo^2-A393^2)))</f>
        <v>1.8312550009191401E-3</v>
      </c>
      <c r="H393">
        <f t="shared" ref="H393:H456" si="324">IF(G393&gt;0,G393-Pi,G393)</f>
        <v>-3.139761394999081</v>
      </c>
      <c r="J393">
        <f t="shared" ref="J393:J456" si="325">Vin/Vramp</f>
        <v>15</v>
      </c>
      <c r="M393">
        <f t="shared" ref="M393:M456" si="326">1/(2*Pi*_Rfb1*(Cc1ea_u+Cc2ea_u)*A393)</f>
        <v>2.0369616524762921E-3</v>
      </c>
      <c r="N393">
        <f t="shared" ref="N393:N456" si="327">-Pi/2</f>
        <v>-1.5707963250000001</v>
      </c>
      <c r="O393">
        <f t="shared" ref="O393:O456" si="328">SQRT(1+(A393/Fz1_u)^2)</f>
        <v>148.01260433015528</v>
      </c>
      <c r="P393">
        <f t="shared" ref="P393:P456" si="329">ATAN2(Fz1_u,A393)</f>
        <v>1.5640400940244084</v>
      </c>
      <c r="Q393">
        <f t="shared" ref="Q393:Q456" si="330">SQRT(1+(A393/Fz2_u)^2)</f>
        <v>230.11378136441553</v>
      </c>
      <c r="R393">
        <f t="shared" ref="R393:R456" si="331">ATAN2(Fz2_u,A393)</f>
        <v>1.5664506368428166</v>
      </c>
      <c r="S393">
        <f t="shared" ref="S393:S456" si="332">1/SQRT(1+(A393/Fp1_u)^2)</f>
        <v>0.13351115496216617</v>
      </c>
      <c r="T393">
        <f t="shared" ref="T393:T456" si="333">-ATAN2(Fp1_u,A393)</f>
        <v>-1.4368853115605646</v>
      </c>
      <c r="U393">
        <f t="shared" ref="U393:U456" si="334">1/SQRT(1+(A393/Fp2_u)^2)</f>
        <v>0.21342168857348603</v>
      </c>
      <c r="V393">
        <f t="shared" ref="V393:V456" si="335">-ATAN2(Fp2_u,A393)</f>
        <v>-1.3557203158599955</v>
      </c>
      <c r="X393">
        <f t="shared" si="296"/>
        <v>-45.581917109208625</v>
      </c>
      <c r="Y393">
        <f t="shared" ref="Y393:Y456" si="336">(180/Pi)*(D393+H393+N393+P393+R393+T393+V393)</f>
        <v>-168.20822231632522</v>
      </c>
      <c r="Z393">
        <f t="shared" si="297"/>
        <v>11.791777683674781</v>
      </c>
      <c r="AC393">
        <v>1</v>
      </c>
      <c r="AD393">
        <f t="shared" ref="AD393:AD456" si="337">Rcea1_u*Cc1ea_u*A393*2*Pi</f>
        <v>148.00922620092001</v>
      </c>
      <c r="AE393">
        <f t="shared" ref="AE393:AE456" si="338">-Rcea1_u*Cc1ea_u*Cc2ea_u*(A393*2*Pi)^2</f>
        <v>-0.12484839118880188</v>
      </c>
      <c r="AF393">
        <f t="shared" ref="AF393:AF456" si="339">(Cc2ea_u+Cc1ea_u)*A393*2*Pi</f>
        <v>2.7273736590975001E-2</v>
      </c>
      <c r="AG393">
        <f t="shared" si="315"/>
        <v>239.53962704490377</v>
      </c>
      <c r="AH393">
        <f t="shared" si="316"/>
        <v>-1133.1830884055992</v>
      </c>
      <c r="AJ393">
        <f t="shared" ref="AJ393:AJ456" si="340">_Rfb1</f>
        <v>18000</v>
      </c>
      <c r="AK393">
        <f t="shared" ref="AK393:AK456" si="341">_Rfb1*Rcea2_u*Cc3ea_u*A393*2*Pi</f>
        <v>133613.19204156002</v>
      </c>
      <c r="AL393">
        <v>1</v>
      </c>
      <c r="AM393">
        <f t="shared" ref="AM393:AM456" si="342">(_Rfb1+Rcea2_u)*Cc3ea_u*A393*2*Pi</f>
        <v>230.11160851602</v>
      </c>
      <c r="AN393">
        <f t="shared" si="317"/>
        <v>580.97412410420725</v>
      </c>
      <c r="AO393">
        <f t="shared" si="318"/>
        <v>-75.698162244966042</v>
      </c>
      <c r="AQ393">
        <f t="shared" ref="AQ393:AQ456" si="343">Eadcg/(1+(Eadcg*A393/GBP)^2)</f>
        <v>3.1210002431259188E-3</v>
      </c>
      <c r="AR393">
        <f t="shared" ref="AR393:AR456" si="344">-(A393*Eadcg*Eadcg/GBP)/(1+(Eadcg*A393/GBP)^2)</f>
        <v>-5.5865904351953946</v>
      </c>
      <c r="AT393">
        <f t="shared" si="313"/>
        <v>-6329.8821997776522</v>
      </c>
      <c r="AU393">
        <f t="shared" si="314"/>
        <v>-1341.7464539937516</v>
      </c>
      <c r="AV393">
        <f t="shared" si="302"/>
        <v>-2.9327142162656226</v>
      </c>
      <c r="AW393">
        <f t="shared" si="303"/>
        <v>415.37412884740723</v>
      </c>
      <c r="AX393">
        <f t="shared" si="304"/>
        <v>-4656.7872585950354</v>
      </c>
      <c r="AY393">
        <f t="shared" si="312"/>
        <v>-1.4818341874516594</v>
      </c>
      <c r="BA393">
        <f t="shared" ref="BA393:BA456" si="345">SQRT(AT393^2+AU393^2)/SQRT(AW393^2+AX393^2)</f>
        <v>1.3839878629151046</v>
      </c>
      <c r="BB393">
        <f t="shared" si="305"/>
        <v>2.8226456305634922</v>
      </c>
      <c r="BC393">
        <f t="shared" si="306"/>
        <v>-1.4508800288139632</v>
      </c>
      <c r="BD393">
        <f t="shared" ref="BD393:BD456" si="346">BC393*180/Pi-180</f>
        <v>-263.12930232584847</v>
      </c>
      <c r="BF393">
        <f t="shared" ref="BF393:BF456" si="347">20*LOG(BA393*J393*F393*C393)</f>
        <v>-48.67887721802019</v>
      </c>
      <c r="BG393">
        <f t="shared" ref="BG393:BG456" si="348">(180/Pi)*(D393+H393+BC393)</f>
        <v>-180.69691505213007</v>
      </c>
      <c r="BH393">
        <f t="shared" si="307"/>
        <v>-0.69691505213006621</v>
      </c>
      <c r="BI393">
        <f t="shared" si="308"/>
        <v>-0.69691505213006621</v>
      </c>
      <c r="BJ393">
        <f t="shared" ref="BJ393:BJ456" si="349">SUM((BF394&lt;0)*(BF393&gt;0))*A393</f>
        <v>0</v>
      </c>
      <c r="BK393">
        <f t="shared" si="309"/>
        <v>0</v>
      </c>
      <c r="BM393">
        <f t="shared" si="310"/>
        <v>-51.501522848583676</v>
      </c>
      <c r="BN393">
        <f t="shared" ref="BN393:BN456" si="350">(H393+D393)*180/Pi</f>
        <v>-97.567612726281638</v>
      </c>
      <c r="BQ393" s="56">
        <f t="shared" si="311"/>
        <v>19.724606430848631</v>
      </c>
      <c r="BR393" s="59"/>
      <c r="BS393" s="59"/>
      <c r="BT393" s="59">
        <v>676082.97499999998</v>
      </c>
      <c r="BU393" s="59">
        <v>9.5117999999999991</v>
      </c>
      <c r="BV393" s="59">
        <v>110.592</v>
      </c>
      <c r="BY393" s="59"/>
      <c r="BZ393" s="59"/>
      <c r="CA393" s="59"/>
      <c r="CC393" s="59"/>
    </row>
    <row r="394" spans="1:81" x14ac:dyDescent="0.25">
      <c r="A394">
        <f t="shared" si="319"/>
        <v>900000</v>
      </c>
      <c r="B394">
        <f t="shared" ref="B394:B457" si="351">A394/1000</f>
        <v>900</v>
      </c>
      <c r="C394">
        <f t="shared" si="320"/>
        <v>7.531110654350452</v>
      </c>
      <c r="D394">
        <f t="shared" si="321"/>
        <v>1.4376204724028414</v>
      </c>
      <c r="F394">
        <f t="shared" si="322"/>
        <v>2.3415913040223985E-5</v>
      </c>
      <c r="G394">
        <f t="shared" si="323"/>
        <v>1.8210809039894897E-3</v>
      </c>
      <c r="H394">
        <f t="shared" si="324"/>
        <v>-3.1397715690960109</v>
      </c>
      <c r="J394">
        <f t="shared" si="325"/>
        <v>15</v>
      </c>
      <c r="M394">
        <f t="shared" si="326"/>
        <v>2.025645198851424E-3</v>
      </c>
      <c r="N394">
        <f t="shared" si="327"/>
        <v>-1.5707963250000001</v>
      </c>
      <c r="O394">
        <f t="shared" si="328"/>
        <v>148.83945274867543</v>
      </c>
      <c r="P394">
        <f t="shared" si="329"/>
        <v>1.5640776275182011</v>
      </c>
      <c r="Q394">
        <f t="shared" si="330"/>
        <v>231.39930900552861</v>
      </c>
      <c r="R394">
        <f t="shared" si="331"/>
        <v>1.5664747792633449</v>
      </c>
      <c r="S394">
        <f t="shared" si="332"/>
        <v>0.13278253977351084</v>
      </c>
      <c r="T394">
        <f t="shared" si="333"/>
        <v>-1.4376204724028414</v>
      </c>
      <c r="U394">
        <f t="shared" si="334"/>
        <v>0.21228958973045012</v>
      </c>
      <c r="V394">
        <f t="shared" si="335"/>
        <v>-1.3568789668156562</v>
      </c>
      <c r="X394">
        <f t="shared" ref="X394:X457" si="352">20*LOG(C394*J394*O394*Q394*F394*M394*S394*U394)</f>
        <v>-45.676508906890518</v>
      </c>
      <c r="Y394">
        <f t="shared" si="336"/>
        <v>-168.27165728931209</v>
      </c>
      <c r="Z394">
        <f t="shared" ref="Z394:Z457" si="353">Y394+180</f>
        <v>11.728342710687912</v>
      </c>
      <c r="AC394">
        <v>1</v>
      </c>
      <c r="AD394">
        <f t="shared" si="337"/>
        <v>148.83609338639999</v>
      </c>
      <c r="AE394">
        <f t="shared" si="338"/>
        <v>-0.12624724180010552</v>
      </c>
      <c r="AF394">
        <f t="shared" si="339"/>
        <v>2.7426103834500001E-2</v>
      </c>
      <c r="AG394">
        <f t="shared" si="315"/>
        <v>237.00508343457057</v>
      </c>
      <c r="AH394">
        <f t="shared" si="316"/>
        <v>-1127.4382341294058</v>
      </c>
      <c r="AJ394">
        <f t="shared" si="340"/>
        <v>18000</v>
      </c>
      <c r="AK394">
        <f t="shared" si="341"/>
        <v>134359.63445520002</v>
      </c>
      <c r="AL394">
        <v>1</v>
      </c>
      <c r="AM394">
        <f t="shared" si="342"/>
        <v>231.3971482284</v>
      </c>
      <c r="AN394">
        <f t="shared" si="317"/>
        <v>580.97047918307669</v>
      </c>
      <c r="AO394">
        <f t="shared" si="318"/>
        <v>-75.277632650958637</v>
      </c>
      <c r="AQ394">
        <f t="shared" si="343"/>
        <v>3.0864188004880245E-3</v>
      </c>
      <c r="AR394">
        <f t="shared" si="344"/>
        <v>-5.5555538408784439</v>
      </c>
      <c r="AT394">
        <f t="shared" si="313"/>
        <v>-6262.8123150255069</v>
      </c>
      <c r="AU394">
        <f t="shared" si="314"/>
        <v>-1320.1742481448505</v>
      </c>
      <c r="AV394">
        <f t="shared" ref="AV394:AV457" si="354">ATAN2(AT394,AU394)</f>
        <v>-2.9338384373888484</v>
      </c>
      <c r="AW394">
        <f t="shared" ref="AW394:AW457" si="355">AG394-AH394*AO394/_Rfb2+AG394*AN394/_Rfb2+AN394-AO394*AR394+AQ394*AN394</f>
        <v>417.33299832678614</v>
      </c>
      <c r="AX394">
        <f t="shared" ref="AX394:AX457" si="356">AH394+AH394*AN394/_Rfb2+AG394*AO394/_Rfb2+AO394+AO394*AQ394+AN394*AR394</f>
        <v>-4631.4813227530331</v>
      </c>
      <c r="AY394">
        <f t="shared" si="312"/>
        <v>-1.4809311329309292</v>
      </c>
      <c r="BA394">
        <f t="shared" si="345"/>
        <v>1.3763667241523965</v>
      </c>
      <c r="BB394">
        <f t="shared" ref="BB394:BB457" si="357">20*LOG(BA394)</f>
        <v>2.7746832863639641</v>
      </c>
      <c r="BC394">
        <f t="shared" ref="BC394:BC457" si="358">AV394-AY394</f>
        <v>-1.4529073044579193</v>
      </c>
      <c r="BD394">
        <f t="shared" si="346"/>
        <v>-263.24545666428952</v>
      </c>
      <c r="BF394">
        <f t="shared" si="347"/>
        <v>-48.776089026330276</v>
      </c>
      <c r="BG394">
        <f t="shared" si="348"/>
        <v>-180.7715307098124</v>
      </c>
      <c r="BH394">
        <f t="shared" ref="BH394:BH457" si="359">IF(BG394&gt;180,BG394-180,BG394+180)</f>
        <v>-0.7715307098123958</v>
      </c>
      <c r="BI394">
        <f t="shared" ref="BI394:BI457" si="360">IF(BH394&gt;180,BH394-360,BH394)</f>
        <v>-0.7715307098123958</v>
      </c>
      <c r="BJ394">
        <f t="shared" si="349"/>
        <v>0</v>
      </c>
      <c r="BK394">
        <f t="shared" ref="BK394:BK457" si="361">IF(BJ394&gt;0,BI394,0)</f>
        <v>0</v>
      </c>
      <c r="BM394">
        <f t="shared" ref="BM394:BM457" si="362">20*LOG(J394*F394*C394)</f>
        <v>-51.550772312694235</v>
      </c>
      <c r="BN394">
        <f t="shared" si="350"/>
        <v>-97.52607404552289</v>
      </c>
      <c r="BQ394" s="56">
        <f t="shared" ref="BQ394:BQ457" si="363">20*LOG(BA394*7)</f>
        <v>19.676644086649102</v>
      </c>
      <c r="BR394" s="59"/>
      <c r="BS394" s="59"/>
      <c r="BT394" s="59">
        <v>691830.97100000002</v>
      </c>
      <c r="BU394" s="59">
        <v>9.28308</v>
      </c>
      <c r="BV394" s="59">
        <v>111.01300000000001</v>
      </c>
      <c r="BY394" s="59"/>
      <c r="BZ394" s="59"/>
      <c r="CA394" s="59"/>
      <c r="CC394" s="59"/>
    </row>
    <row r="395" spans="1:81" x14ac:dyDescent="0.25">
      <c r="A395">
        <f t="shared" si="319"/>
        <v>905000</v>
      </c>
      <c r="B395">
        <f t="shared" si="351"/>
        <v>905</v>
      </c>
      <c r="C395">
        <f t="shared" si="320"/>
        <v>7.5722144792674424</v>
      </c>
      <c r="D395">
        <f t="shared" si="321"/>
        <v>1.4383476523702832</v>
      </c>
      <c r="F395">
        <f t="shared" si="322"/>
        <v>2.3157882831945032E-5</v>
      </c>
      <c r="G395">
        <f t="shared" si="323"/>
        <v>1.8110192355495331E-3</v>
      </c>
      <c r="H395">
        <f t="shared" si="324"/>
        <v>-3.1397816307644506</v>
      </c>
      <c r="J395">
        <f t="shared" si="325"/>
        <v>15</v>
      </c>
      <c r="M395">
        <f t="shared" si="326"/>
        <v>2.0144537889130181E-3</v>
      </c>
      <c r="N395">
        <f t="shared" si="327"/>
        <v>-1.5707963250000001</v>
      </c>
      <c r="O395">
        <f t="shared" si="328"/>
        <v>149.66630137455829</v>
      </c>
      <c r="P395">
        <f t="shared" si="329"/>
        <v>1.564114746295874</v>
      </c>
      <c r="Q395">
        <f t="shared" si="330"/>
        <v>232.68483678002397</v>
      </c>
      <c r="R395">
        <f t="shared" si="331"/>
        <v>1.5664986549217499</v>
      </c>
      <c r="S395">
        <f t="shared" si="332"/>
        <v>0.13206176379947748</v>
      </c>
      <c r="T395">
        <f t="shared" si="333"/>
        <v>-1.4383476523702832</v>
      </c>
      <c r="U395">
        <f t="shared" si="334"/>
        <v>0.21116915897078681</v>
      </c>
      <c r="V395">
        <f t="shared" si="335"/>
        <v>-1.3580253889451666</v>
      </c>
      <c r="X395">
        <f t="shared" si="352"/>
        <v>-45.770599601409643</v>
      </c>
      <c r="Y395">
        <f t="shared" si="336"/>
        <v>-168.33442420632056</v>
      </c>
      <c r="Z395">
        <f t="shared" si="353"/>
        <v>11.665575793679437</v>
      </c>
      <c r="AC395">
        <v>1</v>
      </c>
      <c r="AD395">
        <f t="shared" si="337"/>
        <v>149.66296057188001</v>
      </c>
      <c r="AE395">
        <f t="shared" si="338"/>
        <v>-0.12765388545102646</v>
      </c>
      <c r="AF395">
        <f t="shared" si="339"/>
        <v>2.7578471078025E-2</v>
      </c>
      <c r="AG395">
        <f t="shared" si="315"/>
        <v>234.50993493029759</v>
      </c>
      <c r="AH395">
        <f t="shared" si="316"/>
        <v>-1121.7483479484945</v>
      </c>
      <c r="AJ395">
        <f t="shared" si="340"/>
        <v>18000</v>
      </c>
      <c r="AK395">
        <f t="shared" si="341"/>
        <v>135106.07686884</v>
      </c>
      <c r="AL395">
        <v>1</v>
      </c>
      <c r="AM395">
        <f t="shared" si="342"/>
        <v>232.68268794077997</v>
      </c>
      <c r="AN395">
        <f t="shared" si="317"/>
        <v>580.96689450647375</v>
      </c>
      <c r="AO395">
        <f t="shared" si="318"/>
        <v>-74.861749533883852</v>
      </c>
      <c r="AQ395">
        <f t="shared" si="343"/>
        <v>3.0524089458780421E-3</v>
      </c>
      <c r="AR395">
        <f t="shared" si="344"/>
        <v>-5.5248601920392568</v>
      </c>
      <c r="AT395">
        <f t="shared" si="313"/>
        <v>-6196.7869728431597</v>
      </c>
      <c r="AU395">
        <f t="shared" si="314"/>
        <v>-1299.0586388264194</v>
      </c>
      <c r="AV395">
        <f t="shared" si="354"/>
        <v>-2.9349508101074542</v>
      </c>
      <c r="AW395">
        <f t="shared" si="355"/>
        <v>419.25682519344309</v>
      </c>
      <c r="AX395">
        <f t="shared" si="356"/>
        <v>-4606.4462978405318</v>
      </c>
      <c r="AY395">
        <f t="shared" ref="AY395:AY458" si="364">ATAN2(AW395,AX395)</f>
        <v>-1.4800311594653535</v>
      </c>
      <c r="BA395">
        <f t="shared" si="345"/>
        <v>1.3688261331776701</v>
      </c>
      <c r="BB395">
        <f t="shared" si="357"/>
        <v>2.7269657603878734</v>
      </c>
      <c r="BC395">
        <f t="shared" si="358"/>
        <v>-1.4549196506421007</v>
      </c>
      <c r="BD395">
        <f t="shared" si="346"/>
        <v>-263.3607556076941</v>
      </c>
      <c r="BF395">
        <f t="shared" si="347"/>
        <v>-48.872773880141558</v>
      </c>
      <c r="BG395">
        <f t="shared" si="348"/>
        <v>-180.84574180122564</v>
      </c>
      <c r="BH395">
        <f t="shared" si="359"/>
        <v>-0.84574180122564258</v>
      </c>
      <c r="BI395">
        <f t="shared" si="360"/>
        <v>-0.84574180122564258</v>
      </c>
      <c r="BJ395">
        <f t="shared" si="349"/>
        <v>0</v>
      </c>
      <c r="BK395">
        <f t="shared" si="361"/>
        <v>0</v>
      </c>
      <c r="BM395">
        <f t="shared" si="362"/>
        <v>-51.599739640529435</v>
      </c>
      <c r="BN395">
        <f t="shared" si="350"/>
        <v>-97.484986193531526</v>
      </c>
      <c r="BQ395" s="56">
        <f t="shared" si="363"/>
        <v>19.628926560673008</v>
      </c>
      <c r="BR395" s="59"/>
      <c r="BS395" s="59"/>
      <c r="BT395" s="59">
        <v>707945.78399999999</v>
      </c>
      <c r="BU395" s="59">
        <v>9.1002899999999993</v>
      </c>
      <c r="BV395" s="59">
        <v>109.21</v>
      </c>
      <c r="BY395" s="59"/>
      <c r="BZ395" s="59"/>
      <c r="CA395" s="59"/>
      <c r="CC395" s="59"/>
    </row>
    <row r="396" spans="1:81" x14ac:dyDescent="0.25">
      <c r="A396">
        <f t="shared" si="319"/>
        <v>910000</v>
      </c>
      <c r="B396">
        <f t="shared" si="351"/>
        <v>910</v>
      </c>
      <c r="C396">
        <f t="shared" si="320"/>
        <v>7.6133222650639132</v>
      </c>
      <c r="D396">
        <f t="shared" si="321"/>
        <v>1.4390669799646494</v>
      </c>
      <c r="F396">
        <f t="shared" si="322"/>
        <v>2.2904094294785294E-5</v>
      </c>
      <c r="G396">
        <f t="shared" si="323"/>
        <v>1.8010681422182878E-3</v>
      </c>
      <c r="H396">
        <f t="shared" si="324"/>
        <v>-3.1397915818577817</v>
      </c>
      <c r="J396">
        <f t="shared" si="325"/>
        <v>15</v>
      </c>
      <c r="M396">
        <f t="shared" si="326"/>
        <v>2.0033853615014081E-3</v>
      </c>
      <c r="N396">
        <f t="shared" si="327"/>
        <v>-1.5707963250000001</v>
      </c>
      <c r="O396">
        <f t="shared" si="328"/>
        <v>150.49315020438598</v>
      </c>
      <c r="P396">
        <f t="shared" si="329"/>
        <v>1.5641514571930013</v>
      </c>
      <c r="Q396">
        <f t="shared" si="330"/>
        <v>233.97036468570306</v>
      </c>
      <c r="R396">
        <f t="shared" si="331"/>
        <v>1.5665222682151019</v>
      </c>
      <c r="S396">
        <f t="shared" si="332"/>
        <v>0.13134870233837465</v>
      </c>
      <c r="T396">
        <f t="shared" si="333"/>
        <v>-1.4390669799646494</v>
      </c>
      <c r="U396">
        <f t="shared" si="334"/>
        <v>0.21006022128431487</v>
      </c>
      <c r="V396">
        <f t="shared" si="335"/>
        <v>-1.359159771867164</v>
      </c>
      <c r="X396">
        <f t="shared" si="352"/>
        <v>-45.864194360702484</v>
      </c>
      <c r="Y396">
        <f t="shared" si="336"/>
        <v>-168.39653339430612</v>
      </c>
      <c r="Z396">
        <f t="shared" si="353"/>
        <v>11.603466605693882</v>
      </c>
      <c r="AC396">
        <v>1</v>
      </c>
      <c r="AD396">
        <f t="shared" si="337"/>
        <v>150.48982775736002</v>
      </c>
      <c r="AE396">
        <f t="shared" si="338"/>
        <v>-0.12906832214156466</v>
      </c>
      <c r="AF396">
        <f t="shared" si="339"/>
        <v>2.7730838321550003E-2</v>
      </c>
      <c r="AG396">
        <f t="shared" si="315"/>
        <v>232.05338235316668</v>
      </c>
      <c r="AH396">
        <f t="shared" si="316"/>
        <v>-1116.1126955021032</v>
      </c>
      <c r="AJ396">
        <f t="shared" si="340"/>
        <v>18000</v>
      </c>
      <c r="AK396">
        <f t="shared" si="341"/>
        <v>135852.51928248</v>
      </c>
      <c r="AL396">
        <v>1</v>
      </c>
      <c r="AM396">
        <f t="shared" si="342"/>
        <v>233.96822765315997</v>
      </c>
      <c r="AN396">
        <f t="shared" si="317"/>
        <v>580.9633687540279</v>
      </c>
      <c r="AO396">
        <f t="shared" si="318"/>
        <v>-74.450436309105868</v>
      </c>
      <c r="AQ396">
        <f t="shared" si="343"/>
        <v>3.0189581515039999E-3</v>
      </c>
      <c r="AR396">
        <f t="shared" si="344"/>
        <v>-5.4945038357372793</v>
      </c>
      <c r="AT396">
        <f t="shared" si="313"/>
        <v>-6131.784927101141</v>
      </c>
      <c r="AU396">
        <f t="shared" si="314"/>
        <v>-1278.3876969553669</v>
      </c>
      <c r="AV396">
        <f t="shared" si="354"/>
        <v>-2.9360515177697972</v>
      </c>
      <c r="AW396">
        <f t="shared" si="355"/>
        <v>421.14644605783138</v>
      </c>
      <c r="AX396">
        <f t="shared" si="356"/>
        <v>-4581.6778934602235</v>
      </c>
      <c r="AY396">
        <f t="shared" si="364"/>
        <v>-1.4791342083125008</v>
      </c>
      <c r="BA396">
        <f t="shared" si="345"/>
        <v>1.3613648288896121</v>
      </c>
      <c r="BB396">
        <f t="shared" si="357"/>
        <v>2.6794905267161861</v>
      </c>
      <c r="BC396">
        <f t="shared" si="358"/>
        <v>-1.4569173094572965</v>
      </c>
      <c r="BD396">
        <f t="shared" si="346"/>
        <v>-263.47521302684271</v>
      </c>
      <c r="BF396">
        <f t="shared" si="347"/>
        <v>-48.968937563016738</v>
      </c>
      <c r="BG396">
        <f t="shared" si="348"/>
        <v>-180.91955494073272</v>
      </c>
      <c r="BH396">
        <f t="shared" si="359"/>
        <v>-0.91955494073272348</v>
      </c>
      <c r="BI396">
        <f t="shared" si="360"/>
        <v>-0.91955494073272348</v>
      </c>
      <c r="BJ396">
        <f t="shared" si="349"/>
        <v>0</v>
      </c>
      <c r="BK396">
        <f t="shared" si="361"/>
        <v>0</v>
      </c>
      <c r="BM396">
        <f t="shared" si="362"/>
        <v>-51.648428089732931</v>
      </c>
      <c r="BN396">
        <f t="shared" si="350"/>
        <v>-97.444341913890014</v>
      </c>
      <c r="BQ396" s="56">
        <f t="shared" si="363"/>
        <v>19.581451327001322</v>
      </c>
      <c r="BR396" s="59"/>
      <c r="BS396" s="59"/>
      <c r="BT396" s="59">
        <v>724435.96</v>
      </c>
      <c r="BU396" s="59">
        <v>8.7908299999999997</v>
      </c>
      <c r="BV396" s="59">
        <v>107.553</v>
      </c>
      <c r="BY396" s="59"/>
      <c r="BZ396" s="59"/>
      <c r="CA396" s="59"/>
      <c r="CC396" s="59"/>
    </row>
    <row r="397" spans="1:81" x14ac:dyDescent="0.25">
      <c r="A397">
        <f t="shared" si="319"/>
        <v>915000</v>
      </c>
      <c r="B397">
        <f t="shared" si="351"/>
        <v>915</v>
      </c>
      <c r="C397">
        <f t="shared" si="320"/>
        <v>7.6544339479247041</v>
      </c>
      <c r="D397">
        <f t="shared" si="321"/>
        <v>1.4397785809598918</v>
      </c>
      <c r="F397">
        <f t="shared" si="322"/>
        <v>2.2654454965123315E-5</v>
      </c>
      <c r="G397">
        <f t="shared" si="323"/>
        <v>1.7912258111302784E-3</v>
      </c>
      <c r="H397">
        <f t="shared" si="324"/>
        <v>-3.1398014241888701</v>
      </c>
      <c r="J397">
        <f t="shared" si="325"/>
        <v>15</v>
      </c>
      <c r="M397">
        <f t="shared" si="326"/>
        <v>1.9924379005095971E-3</v>
      </c>
      <c r="N397">
        <f t="shared" si="327"/>
        <v>-1.5707963250000001</v>
      </c>
      <c r="O397">
        <f t="shared" si="328"/>
        <v>151.3199992348153</v>
      </c>
      <c r="P397">
        <f t="shared" si="329"/>
        <v>1.5641877668957567</v>
      </c>
      <c r="Q397">
        <f t="shared" si="330"/>
        <v>235.2558927204154</v>
      </c>
      <c r="R397">
        <f t="shared" si="331"/>
        <v>1.5665456234443627</v>
      </c>
      <c r="S397">
        <f t="shared" si="332"/>
        <v>0.13064323329501376</v>
      </c>
      <c r="T397">
        <f t="shared" si="333"/>
        <v>-1.4397785809598918</v>
      </c>
      <c r="U397">
        <f t="shared" si="334"/>
        <v>0.20896260504795927</v>
      </c>
      <c r="V397">
        <f t="shared" si="335"/>
        <v>-1.360282301362479</v>
      </c>
      <c r="X397">
        <f t="shared" si="352"/>
        <v>-45.957298274874425</v>
      </c>
      <c r="Y397">
        <f t="shared" si="336"/>
        <v>-168.45799497207932</v>
      </c>
      <c r="Z397">
        <f t="shared" si="353"/>
        <v>11.542005027920681</v>
      </c>
      <c r="AC397">
        <v>1</v>
      </c>
      <c r="AD397">
        <f t="shared" si="337"/>
        <v>151.31669494284</v>
      </c>
      <c r="AE397">
        <f t="shared" si="338"/>
        <v>-0.13049055187172018</v>
      </c>
      <c r="AF397">
        <f t="shared" si="339"/>
        <v>2.7883205565075002E-2</v>
      </c>
      <c r="AG397">
        <f t="shared" si="315"/>
        <v>229.63464634430673</v>
      </c>
      <c r="AH397">
        <f t="shared" si="316"/>
        <v>-1110.5305542459275</v>
      </c>
      <c r="AJ397">
        <f t="shared" si="340"/>
        <v>18000</v>
      </c>
      <c r="AK397">
        <f t="shared" si="341"/>
        <v>136598.96169612001</v>
      </c>
      <c r="AL397">
        <v>1</v>
      </c>
      <c r="AM397">
        <f t="shared" si="342"/>
        <v>235.25376736553997</v>
      </c>
      <c r="AN397">
        <f t="shared" si="317"/>
        <v>580.95990064134344</v>
      </c>
      <c r="AO397">
        <f t="shared" si="318"/>
        <v>-74.043618065817213</v>
      </c>
      <c r="AQ397">
        <f t="shared" si="343"/>
        <v>2.9860542309253094E-3</v>
      </c>
      <c r="AR397">
        <f t="shared" si="344"/>
        <v>-5.4644792425933169</v>
      </c>
      <c r="AT397">
        <f t="shared" si="313"/>
        <v>-6067.7854604352387</v>
      </c>
      <c r="AU397">
        <f t="shared" si="314"/>
        <v>-1258.1498627887993</v>
      </c>
      <c r="AV397">
        <f t="shared" si="354"/>
        <v>-2.9371407400234744</v>
      </c>
      <c r="AW397">
        <f t="shared" si="355"/>
        <v>423.00267264851948</v>
      </c>
      <c r="AX397">
        <f t="shared" si="356"/>
        <v>-4557.1719086933772</v>
      </c>
      <c r="AY397">
        <f t="shared" si="364"/>
        <v>-1.4782402222896198</v>
      </c>
      <c r="BA397">
        <f t="shared" si="345"/>
        <v>1.3539815759690026</v>
      </c>
      <c r="BB397">
        <f t="shared" si="357"/>
        <v>2.63225509629661</v>
      </c>
      <c r="BC397">
        <f t="shared" si="358"/>
        <v>-1.4589005177338545</v>
      </c>
      <c r="BD397">
        <f t="shared" si="346"/>
        <v>-263.58884249111475</v>
      </c>
      <c r="BF397">
        <f t="shared" si="347"/>
        <v>-49.064585764961784</v>
      </c>
      <c r="BG397">
        <f t="shared" si="348"/>
        <v>-180.99297659526604</v>
      </c>
      <c r="BH397">
        <f t="shared" si="359"/>
        <v>-0.9929765952660432</v>
      </c>
      <c r="BI397">
        <f t="shared" si="360"/>
        <v>-0.9929765952660432</v>
      </c>
      <c r="BJ397">
        <f t="shared" si="349"/>
        <v>0</v>
      </c>
      <c r="BK397">
        <f t="shared" si="361"/>
        <v>0</v>
      </c>
      <c r="BM397">
        <f t="shared" si="362"/>
        <v>-51.696840861258401</v>
      </c>
      <c r="BN397">
        <f t="shared" si="350"/>
        <v>-97.404134104151311</v>
      </c>
      <c r="BQ397" s="56">
        <f t="shared" si="363"/>
        <v>19.534215896581745</v>
      </c>
      <c r="BR397" s="59"/>
      <c r="BS397" s="59"/>
      <c r="BT397" s="59">
        <v>741310.24100000004</v>
      </c>
      <c r="BU397" s="59">
        <v>8.6150300000000009</v>
      </c>
      <c r="BV397" s="59">
        <v>107.324</v>
      </c>
      <c r="BY397" s="59"/>
      <c r="BZ397" s="59"/>
      <c r="CA397" s="59"/>
      <c r="CC397" s="59"/>
    </row>
    <row r="398" spans="1:81" x14ac:dyDescent="0.25">
      <c r="A398">
        <f t="shared" si="319"/>
        <v>920000</v>
      </c>
      <c r="B398">
        <f t="shared" si="351"/>
        <v>920</v>
      </c>
      <c r="C398">
        <f t="shared" si="320"/>
        <v>7.695549465392336</v>
      </c>
      <c r="D398">
        <f t="shared" si="321"/>
        <v>1.440482578473723</v>
      </c>
      <c r="F398">
        <f t="shared" si="322"/>
        <v>2.2408874885195404E-5</v>
      </c>
      <c r="G398">
        <f t="shared" si="323"/>
        <v>1.7814904688344289E-3</v>
      </c>
      <c r="H398">
        <f t="shared" si="324"/>
        <v>-3.139811159531166</v>
      </c>
      <c r="J398">
        <f t="shared" si="325"/>
        <v>15</v>
      </c>
      <c r="M398">
        <f t="shared" si="326"/>
        <v>1.9816094336590016E-3</v>
      </c>
      <c r="N398">
        <f t="shared" si="327"/>
        <v>-1.5707963250000001</v>
      </c>
      <c r="O398">
        <f t="shared" si="328"/>
        <v>152.14684846257569</v>
      </c>
      <c r="P398">
        <f t="shared" si="329"/>
        <v>1.5642236819449729</v>
      </c>
      <c r="Q398">
        <f t="shared" si="330"/>
        <v>236.5414208820572</v>
      </c>
      <c r="R398">
        <f t="shared" si="331"/>
        <v>1.5665687248169979</v>
      </c>
      <c r="S398">
        <f t="shared" si="332"/>
        <v>0.12994523711362019</v>
      </c>
      <c r="T398">
        <f t="shared" si="333"/>
        <v>-1.440482578473723</v>
      </c>
      <c r="U398">
        <f t="shared" si="334"/>
        <v>0.20787614194678833</v>
      </c>
      <c r="V398">
        <f t="shared" si="335"/>
        <v>-1.3613931594691071</v>
      </c>
      <c r="X398">
        <f t="shared" si="352"/>
        <v>-46.049916357721145</v>
      </c>
      <c r="Y398">
        <f t="shared" si="336"/>
        <v>-168.51881885542812</v>
      </c>
      <c r="Z398">
        <f t="shared" si="353"/>
        <v>11.481181144571877</v>
      </c>
      <c r="AC398">
        <v>1</v>
      </c>
      <c r="AD398">
        <f t="shared" si="337"/>
        <v>152.14356212831999</v>
      </c>
      <c r="AE398">
        <f t="shared" si="338"/>
        <v>-0.13192057464149301</v>
      </c>
      <c r="AF398">
        <f t="shared" si="339"/>
        <v>2.8035572808600001E-2</v>
      </c>
      <c r="AG398">
        <f t="shared" si="315"/>
        <v>227.25296678876987</v>
      </c>
      <c r="AH398">
        <f t="shared" si="316"/>
        <v>-1105.0012132534575</v>
      </c>
      <c r="AJ398">
        <f t="shared" si="340"/>
        <v>18000</v>
      </c>
      <c r="AK398">
        <f t="shared" si="341"/>
        <v>137345.40410976001</v>
      </c>
      <c r="AL398">
        <v>1</v>
      </c>
      <c r="AM398">
        <f t="shared" si="342"/>
        <v>236.53930707791997</v>
      </c>
      <c r="AN398">
        <f t="shared" si="317"/>
        <v>580.95648891883093</v>
      </c>
      <c r="AO398">
        <f t="shared" si="318"/>
        <v>-73.641221521558975</v>
      </c>
      <c r="AQ398">
        <f t="shared" si="343"/>
        <v>2.9536853279521127E-3</v>
      </c>
      <c r="AR398">
        <f t="shared" si="344"/>
        <v>-5.4347810034318869</v>
      </c>
      <c r="AT398">
        <f t="shared" si="313"/>
        <v>-6004.7683688053412</v>
      </c>
      <c r="AU398">
        <f t="shared" si="314"/>
        <v>-1238.3339327480999</v>
      </c>
      <c r="AV398">
        <f t="shared" si="354"/>
        <v>-2.9382186529065666</v>
      </c>
      <c r="AW398">
        <f t="shared" si="355"/>
        <v>424.82629269433363</v>
      </c>
      <c r="AX398">
        <f t="shared" si="356"/>
        <v>-4532.92422979193</v>
      </c>
      <c r="AY398">
        <f t="shared" si="364"/>
        <v>-1.4773491457234442</v>
      </c>
      <c r="BA398">
        <f t="shared" si="345"/>
        <v>1.3466751642355534</v>
      </c>
      <c r="BB398">
        <f t="shared" si="357"/>
        <v>2.5852570162688555</v>
      </c>
      <c r="BC398">
        <f t="shared" si="358"/>
        <v>-1.4608695071831224</v>
      </c>
      <c r="BD398">
        <f t="shared" si="346"/>
        <v>-263.70165727659253</v>
      </c>
      <c r="BF398">
        <f t="shared" si="347"/>
        <v>-49.159724084418386</v>
      </c>
      <c r="BG398">
        <f t="shared" si="348"/>
        <v>-181.06601308839379</v>
      </c>
      <c r="BH398">
        <f t="shared" si="359"/>
        <v>-1.0660130883937882</v>
      </c>
      <c r="BI398">
        <f t="shared" si="360"/>
        <v>-1.0660130883937882</v>
      </c>
      <c r="BJ398">
        <f t="shared" si="349"/>
        <v>0</v>
      </c>
      <c r="BK398">
        <f t="shared" si="361"/>
        <v>0</v>
      </c>
      <c r="BM398">
        <f t="shared" si="362"/>
        <v>-51.744981100687241</v>
      </c>
      <c r="BN398">
        <f t="shared" si="350"/>
        <v>-97.364355811801303</v>
      </c>
      <c r="BQ398" s="56">
        <f t="shared" si="363"/>
        <v>19.487217816553994</v>
      </c>
      <c r="BR398" s="59"/>
      <c r="BS398" s="59"/>
      <c r="BT398" s="59">
        <v>758577.57499999995</v>
      </c>
      <c r="BU398" s="59">
        <v>8.3056699999999992</v>
      </c>
      <c r="BV398" s="59">
        <v>105.50700000000001</v>
      </c>
      <c r="BY398" s="59"/>
      <c r="BZ398" s="59"/>
      <c r="CA398" s="59"/>
      <c r="CC398" s="59"/>
    </row>
    <row r="399" spans="1:81" x14ac:dyDescent="0.25">
      <c r="A399">
        <f t="shared" si="319"/>
        <v>925000</v>
      </c>
      <c r="B399">
        <f t="shared" si="351"/>
        <v>925</v>
      </c>
      <c r="C399">
        <f t="shared" si="320"/>
        <v>7.7366687563312526</v>
      </c>
      <c r="D399">
        <f t="shared" si="321"/>
        <v>1.4411790930369583</v>
      </c>
      <c r="F399">
        <f t="shared" si="322"/>
        <v>2.216726652204106E-5</v>
      </c>
      <c r="G399">
        <f t="shared" si="323"/>
        <v>1.7718603802286692E-3</v>
      </c>
      <c r="H399">
        <f t="shared" si="324"/>
        <v>-3.1398207896197716</v>
      </c>
      <c r="J399">
        <f t="shared" si="325"/>
        <v>15</v>
      </c>
      <c r="M399">
        <f t="shared" si="326"/>
        <v>1.970898031314899E-3</v>
      </c>
      <c r="N399">
        <f t="shared" si="327"/>
        <v>-1.5707963250000001</v>
      </c>
      <c r="O399">
        <f t="shared" si="328"/>
        <v>152.97369788446736</v>
      </c>
      <c r="P399">
        <f t="shared" si="329"/>
        <v>1.5642592087400693</v>
      </c>
      <c r="Q399">
        <f t="shared" si="330"/>
        <v>237.82694916857017</v>
      </c>
      <c r="R399">
        <f t="shared" si="331"/>
        <v>1.5665915764495035</v>
      </c>
      <c r="S399">
        <f t="shared" si="332"/>
        <v>0.12925459671278502</v>
      </c>
      <c r="T399">
        <f t="shared" si="333"/>
        <v>-1.4411790930369583</v>
      </c>
      <c r="U399">
        <f t="shared" si="334"/>
        <v>0.20680066689716367</v>
      </c>
      <c r="V399">
        <f t="shared" si="335"/>
        <v>-1.3624925245744262</v>
      </c>
      <c r="X399">
        <f t="shared" si="352"/>
        <v>-46.142053548213731</v>
      </c>
      <c r="Y399">
        <f t="shared" si="336"/>
        <v>-168.57901476209287</v>
      </c>
      <c r="Z399">
        <f t="shared" si="353"/>
        <v>11.420985237907132</v>
      </c>
      <c r="AC399">
        <v>1</v>
      </c>
      <c r="AD399">
        <f t="shared" si="337"/>
        <v>152.9704293138</v>
      </c>
      <c r="AE399">
        <f t="shared" si="338"/>
        <v>-0.13335839045088307</v>
      </c>
      <c r="AF399">
        <f t="shared" si="339"/>
        <v>2.8187940052125E-2</v>
      </c>
      <c r="AG399">
        <f t="shared" si="315"/>
        <v>224.90760225845156</v>
      </c>
      <c r="AH399">
        <f t="shared" si="316"/>
        <v>-1099.5239730197313</v>
      </c>
      <c r="AJ399">
        <f t="shared" si="340"/>
        <v>18000</v>
      </c>
      <c r="AK399">
        <f t="shared" si="341"/>
        <v>138091.84652340002</v>
      </c>
      <c r="AL399">
        <v>1</v>
      </c>
      <c r="AM399">
        <f t="shared" si="342"/>
        <v>237.82484679029997</v>
      </c>
      <c r="AN399">
        <f t="shared" si="317"/>
        <v>580.95313237058087</v>
      </c>
      <c r="AO399">
        <f t="shared" si="318"/>
        <v>-73.243174978216288</v>
      </c>
      <c r="AQ399">
        <f t="shared" si="343"/>
        <v>2.9218399059635046E-3</v>
      </c>
      <c r="AR399">
        <f t="shared" si="344"/>
        <v>-5.405403826032483</v>
      </c>
      <c r="AT399">
        <f t="shared" si="313"/>
        <v>-5942.7139465678592</v>
      </c>
      <c r="AU399">
        <f t="shared" si="314"/>
        <v>-1218.9290467735586</v>
      </c>
      <c r="AV399">
        <f t="shared" si="354"/>
        <v>-2.9392854289362549</v>
      </c>
      <c r="AW399">
        <f t="shared" si="355"/>
        <v>426.61807077033137</v>
      </c>
      <c r="AX399">
        <f t="shared" si="356"/>
        <v>-4508.9308279413881</v>
      </c>
      <c r="AY399">
        <f t="shared" si="364"/>
        <v>-1.4764609244018907</v>
      </c>
      <c r="BA399">
        <f t="shared" si="345"/>
        <v>1.3394444080234658</v>
      </c>
      <c r="BB399">
        <f t="shared" si="357"/>
        <v>2.5384938693039851</v>
      </c>
      <c r="BC399">
        <f t="shared" si="358"/>
        <v>-1.4628245045343642</v>
      </c>
      <c r="BD399">
        <f t="shared" si="346"/>
        <v>-263.81367037390589</v>
      </c>
      <c r="BF399">
        <f t="shared" si="347"/>
        <v>-49.254358030204045</v>
      </c>
      <c r="BG399">
        <f t="shared" si="348"/>
        <v>-181.13867060425287</v>
      </c>
      <c r="BH399">
        <f t="shared" si="359"/>
        <v>-1.1386706042528658</v>
      </c>
      <c r="BI399">
        <f t="shared" si="360"/>
        <v>-1.1386706042528658</v>
      </c>
      <c r="BJ399">
        <f t="shared" si="349"/>
        <v>0</v>
      </c>
      <c r="BK399">
        <f t="shared" si="361"/>
        <v>0</v>
      </c>
      <c r="BM399">
        <f t="shared" si="362"/>
        <v>-51.79285189950803</v>
      </c>
      <c r="BN399">
        <f t="shared" si="350"/>
        <v>-97.325000230346973</v>
      </c>
      <c r="BQ399" s="56">
        <f t="shared" si="363"/>
        <v>19.440454669589119</v>
      </c>
      <c r="BR399" s="59"/>
      <c r="BS399" s="59"/>
      <c r="BT399" s="59">
        <v>776247.11699999997</v>
      </c>
      <c r="BU399" s="59">
        <v>7.9999099999999999</v>
      </c>
      <c r="BV399" s="59">
        <v>105.28700000000001</v>
      </c>
      <c r="BY399" s="59"/>
      <c r="BZ399" s="59"/>
      <c r="CA399" s="59"/>
      <c r="CC399" s="59"/>
    </row>
    <row r="400" spans="1:81" x14ac:dyDescent="0.25">
      <c r="A400">
        <f t="shared" si="319"/>
        <v>930000</v>
      </c>
      <c r="B400">
        <f t="shared" si="351"/>
        <v>930</v>
      </c>
      <c r="C400">
        <f t="shared" si="320"/>
        <v>7.7777917608931855</v>
      </c>
      <c r="D400">
        <f t="shared" si="321"/>
        <v>1.4418682426607083</v>
      </c>
      <c r="F400">
        <f t="shared" si="322"/>
        <v>2.192954468949079E-5</v>
      </c>
      <c r="G400">
        <f t="shared" si="323"/>
        <v>1.7623338475289184E-3</v>
      </c>
      <c r="H400">
        <f t="shared" si="324"/>
        <v>-3.1398303161524712</v>
      </c>
      <c r="J400">
        <f t="shared" si="325"/>
        <v>15</v>
      </c>
      <c r="M400">
        <f t="shared" si="326"/>
        <v>1.9603018053400878E-3</v>
      </c>
      <c r="N400">
        <f t="shared" si="327"/>
        <v>-1.5707963250000001</v>
      </c>
      <c r="O400">
        <f t="shared" si="328"/>
        <v>153.80054749735922</v>
      </c>
      <c r="P400">
        <f t="shared" si="329"/>
        <v>1.5642943535428533</v>
      </c>
      <c r="Q400">
        <f t="shared" si="330"/>
        <v>239.1124775779403</v>
      </c>
      <c r="R400">
        <f t="shared" si="331"/>
        <v>1.5666141823698516</v>
      </c>
      <c r="S400">
        <f t="shared" si="332"/>
        <v>0.12857119742238537</v>
      </c>
      <c r="T400">
        <f t="shared" si="333"/>
        <v>-1.4418682426607083</v>
      </c>
      <c r="U400">
        <f t="shared" si="334"/>
        <v>0.20573601797194202</v>
      </c>
      <c r="V400">
        <f t="shared" si="335"/>
        <v>-1.3635805715047478</v>
      </c>
      <c r="X400">
        <f t="shared" si="352"/>
        <v>-46.233714711948849</v>
      </c>
      <c r="Y400">
        <f t="shared" si="336"/>
        <v>-168.63859221659831</v>
      </c>
      <c r="Z400">
        <f t="shared" si="353"/>
        <v>11.361407783401688</v>
      </c>
      <c r="AC400">
        <v>1</v>
      </c>
      <c r="AD400">
        <f t="shared" si="337"/>
        <v>153.79729649928001</v>
      </c>
      <c r="AE400">
        <f t="shared" si="338"/>
        <v>-0.13480399929989045</v>
      </c>
      <c r="AF400">
        <f t="shared" si="339"/>
        <v>2.834030729565E-2</v>
      </c>
      <c r="AG400">
        <f t="shared" si="315"/>
        <v>222.5978294733568</v>
      </c>
      <c r="AH400">
        <f t="shared" si="316"/>
        <v>-1094.0981452675658</v>
      </c>
      <c r="AJ400">
        <f t="shared" si="340"/>
        <v>18000</v>
      </c>
      <c r="AK400">
        <f t="shared" si="341"/>
        <v>138838.28893703999</v>
      </c>
      <c r="AL400">
        <v>1</v>
      </c>
      <c r="AM400">
        <f t="shared" si="342"/>
        <v>239.11038650268</v>
      </c>
      <c r="AN400">
        <f t="shared" si="317"/>
        <v>580.94982981327951</v>
      </c>
      <c r="AO400">
        <f t="shared" si="318"/>
        <v>-72.849408279432836</v>
      </c>
      <c r="AQ400">
        <f t="shared" si="343"/>
        <v>2.8905067376266799E-3</v>
      </c>
      <c r="AR400">
        <f t="shared" si="344"/>
        <v>-5.3763425319856246</v>
      </c>
      <c r="AT400">
        <f t="shared" si="313"/>
        <v>-5881.6029720427268</v>
      </c>
      <c r="AU400">
        <f t="shared" si="314"/>
        <v>-1199.9246761858121</v>
      </c>
      <c r="AV400">
        <f t="shared" si="354"/>
        <v>-2.9403412371948865</v>
      </c>
      <c r="AW400">
        <f t="shared" si="355"/>
        <v>428.37874910929219</v>
      </c>
      <c r="AX400">
        <f t="shared" si="356"/>
        <v>-4485.1877570920351</v>
      </c>
      <c r="AY400">
        <f t="shared" si="364"/>
        <v>-1.475575505527565</v>
      </c>
      <c r="BA400">
        <f t="shared" si="345"/>
        <v>1.3322881455750937</v>
      </c>
      <c r="BB400">
        <f t="shared" si="357"/>
        <v>2.4919632729575549</v>
      </c>
      <c r="BC400">
        <f t="shared" si="358"/>
        <v>-1.4647657316673215</v>
      </c>
      <c r="BD400">
        <f t="shared" si="346"/>
        <v>-263.92489449582774</v>
      </c>
      <c r="BF400">
        <f t="shared" si="347"/>
        <v>-49.348493023401439</v>
      </c>
      <c r="BG400">
        <f t="shared" si="348"/>
        <v>-181.21095519135338</v>
      </c>
      <c r="BH400">
        <f t="shared" si="359"/>
        <v>-1.2109551913533778</v>
      </c>
      <c r="BI400">
        <f t="shared" si="360"/>
        <v>-1.2109551913533778</v>
      </c>
      <c r="BJ400">
        <f t="shared" si="349"/>
        <v>0</v>
      </c>
      <c r="BK400">
        <f t="shared" si="361"/>
        <v>0</v>
      </c>
      <c r="BM400">
        <f t="shared" si="362"/>
        <v>-51.840456296358994</v>
      </c>
      <c r="BN400">
        <f t="shared" si="350"/>
        <v>-97.286060695525649</v>
      </c>
      <c r="BQ400" s="56">
        <f t="shared" si="363"/>
        <v>19.393924073242694</v>
      </c>
      <c r="BR400" s="59"/>
      <c r="BS400" s="59"/>
      <c r="BT400" s="59">
        <v>794328.23499999999</v>
      </c>
      <c r="BU400" s="59">
        <v>7.7399399999999998</v>
      </c>
      <c r="BV400" s="59">
        <v>105.286</v>
      </c>
      <c r="BY400" s="59"/>
      <c r="BZ400" s="59"/>
      <c r="CA400" s="59"/>
      <c r="CC400" s="59"/>
    </row>
    <row r="401" spans="1:81" x14ac:dyDescent="0.25">
      <c r="A401">
        <f t="shared" si="319"/>
        <v>935000</v>
      </c>
      <c r="B401">
        <f t="shared" si="351"/>
        <v>935</v>
      </c>
      <c r="C401">
        <f t="shared" si="320"/>
        <v>7.8189184204835849</v>
      </c>
      <c r="D401">
        <f t="shared" si="321"/>
        <v>1.442550142901502</v>
      </c>
      <c r="F401">
        <f t="shared" si="322"/>
        <v>2.1695626473066455E-5</v>
      </c>
      <c r="G401">
        <f t="shared" si="323"/>
        <v>1.7529092092711481E-3</v>
      </c>
      <c r="H401">
        <f t="shared" si="324"/>
        <v>-3.139839740790729</v>
      </c>
      <c r="J401">
        <f t="shared" si="325"/>
        <v>15</v>
      </c>
      <c r="M401">
        <f t="shared" si="326"/>
        <v>1.9498189079853278E-3</v>
      </c>
      <c r="N401">
        <f t="shared" si="327"/>
        <v>-1.5707963250000001</v>
      </c>
      <c r="O401">
        <f t="shared" si="328"/>
        <v>154.6273972981873</v>
      </c>
      <c r="P401">
        <f t="shared" si="329"/>
        <v>1.5643291224811993</v>
      </c>
      <c r="Q401">
        <f t="shared" si="330"/>
        <v>240.39800610819665</v>
      </c>
      <c r="R401">
        <f t="shared" si="331"/>
        <v>1.5666365465198566</v>
      </c>
      <c r="S401">
        <f t="shared" si="332"/>
        <v>0.12789492692240575</v>
      </c>
      <c r="T401">
        <f t="shared" si="333"/>
        <v>-1.442550142901502</v>
      </c>
      <c r="U401">
        <f t="shared" si="334"/>
        <v>0.20468203632766818</v>
      </c>
      <c r="V401">
        <f t="shared" si="335"/>
        <v>-1.3646574716122961</v>
      </c>
      <c r="X401">
        <f t="shared" si="352"/>
        <v>-46.324904642564412</v>
      </c>
      <c r="Y401">
        <f t="shared" si="336"/>
        <v>-168.69756055494796</v>
      </c>
      <c r="Z401">
        <f t="shared" si="353"/>
        <v>11.302439445052045</v>
      </c>
      <c r="AC401">
        <v>1</v>
      </c>
      <c r="AD401">
        <f t="shared" si="337"/>
        <v>154.62416368475999</v>
      </c>
      <c r="AE401">
        <f t="shared" si="338"/>
        <v>-0.13625740118851509</v>
      </c>
      <c r="AF401">
        <f t="shared" si="339"/>
        <v>2.8492674539174999E-2</v>
      </c>
      <c r="AG401">
        <f t="shared" si="315"/>
        <v>220.32294278054121</v>
      </c>
      <c r="AH401">
        <f t="shared" si="316"/>
        <v>-1088.7230527563049</v>
      </c>
      <c r="AJ401">
        <f t="shared" si="340"/>
        <v>18000</v>
      </c>
      <c r="AK401">
        <f t="shared" si="341"/>
        <v>139584.73135068</v>
      </c>
      <c r="AL401">
        <v>1</v>
      </c>
      <c r="AM401">
        <f t="shared" si="342"/>
        <v>240.39592621506</v>
      </c>
      <c r="AN401">
        <f t="shared" si="317"/>
        <v>580.94658009516775</v>
      </c>
      <c r="AO401">
        <f t="shared" si="318"/>
        <v>-72.459852769391844</v>
      </c>
      <c r="AQ401">
        <f t="shared" si="343"/>
        <v>2.8596748949998871E-3</v>
      </c>
      <c r="AR401">
        <f t="shared" si="344"/>
        <v>-5.3475920536497892</v>
      </c>
      <c r="AT401">
        <f t="shared" si="313"/>
        <v>-5821.4166935566946</v>
      </c>
      <c r="AU401">
        <f t="shared" si="314"/>
        <v>-1181.3106120315342</v>
      </c>
      <c r="AV401">
        <f t="shared" si="354"/>
        <v>-2.9413862434135756</v>
      </c>
      <c r="AW401">
        <f t="shared" si="355"/>
        <v>430.10904838031411</v>
      </c>
      <c r="AX401">
        <f t="shared" si="356"/>
        <v>-4461.6911518560328</v>
      </c>
      <c r="AY401">
        <f t="shared" si="364"/>
        <v>-1.4746928376730033</v>
      </c>
      <c r="BA401">
        <f t="shared" si="345"/>
        <v>1.3252052384521167</v>
      </c>
      <c r="BB401">
        <f t="shared" si="357"/>
        <v>2.4456628790362296</v>
      </c>
      <c r="BC401">
        <f t="shared" si="358"/>
        <v>-1.4666934057405723</v>
      </c>
      <c r="BD401">
        <f t="shared" si="346"/>
        <v>-264.03534208462798</v>
      </c>
      <c r="BF401">
        <f t="shared" si="347"/>
        <v>-49.442134399198714</v>
      </c>
      <c r="BG401">
        <f t="shared" si="348"/>
        <v>-181.28287276625881</v>
      </c>
      <c r="BH401">
        <f t="shared" si="359"/>
        <v>-1.2828727662588051</v>
      </c>
      <c r="BI401">
        <f t="shared" si="360"/>
        <v>-1.2828727662588051</v>
      </c>
      <c r="BJ401">
        <f t="shared" si="349"/>
        <v>0</v>
      </c>
      <c r="BK401">
        <f t="shared" si="361"/>
        <v>0</v>
      </c>
      <c r="BM401">
        <f t="shared" si="362"/>
        <v>-51.887797278234942</v>
      </c>
      <c r="BN401">
        <f t="shared" si="350"/>
        <v>-97.24753068163082</v>
      </c>
      <c r="BQ401" s="56">
        <f t="shared" si="363"/>
        <v>19.347623679321366</v>
      </c>
      <c r="BR401" s="59"/>
      <c r="BS401" s="59"/>
      <c r="BT401" s="59">
        <v>812830.51599999995</v>
      </c>
      <c r="BU401" s="59">
        <v>7.5259600000000004</v>
      </c>
      <c r="BV401" s="59">
        <v>105.187</v>
      </c>
      <c r="BY401" s="59"/>
      <c r="BZ401" s="59"/>
      <c r="CA401" s="59"/>
      <c r="CC401" s="59"/>
    </row>
    <row r="402" spans="1:81" x14ac:dyDescent="0.25">
      <c r="A402">
        <f t="shared" si="319"/>
        <v>940000</v>
      </c>
      <c r="B402">
        <f t="shared" si="351"/>
        <v>940</v>
      </c>
      <c r="C402">
        <f t="shared" si="320"/>
        <v>7.8600486777290968</v>
      </c>
      <c r="D402">
        <f t="shared" si="321"/>
        <v>1.4432249069244099</v>
      </c>
      <c r="F402">
        <f t="shared" si="322"/>
        <v>2.1465431157670573E-5</v>
      </c>
      <c r="G402">
        <f t="shared" si="323"/>
        <v>1.7435848393453064E-3</v>
      </c>
      <c r="H402">
        <f t="shared" si="324"/>
        <v>-3.139849065160655</v>
      </c>
      <c r="J402">
        <f t="shared" si="325"/>
        <v>15</v>
      </c>
      <c r="M402">
        <f t="shared" si="326"/>
        <v>1.939447530815193E-3</v>
      </c>
      <c r="N402">
        <f t="shared" si="327"/>
        <v>-1.5707963250000001</v>
      </c>
      <c r="O402">
        <f t="shared" si="328"/>
        <v>155.4542472839527</v>
      </c>
      <c r="P402">
        <f t="shared" si="329"/>
        <v>1.5643635215526106</v>
      </c>
      <c r="Q402">
        <f t="shared" si="330"/>
        <v>241.68353475741026</v>
      </c>
      <c r="R402">
        <f t="shared" si="331"/>
        <v>1.5666586727574674</v>
      </c>
      <c r="S402">
        <f t="shared" si="332"/>
        <v>0.12722567518359409</v>
      </c>
      <c r="T402">
        <f t="shared" si="333"/>
        <v>-1.4432249069244099</v>
      </c>
      <c r="U402">
        <f t="shared" si="334"/>
        <v>0.20363856613369966</v>
      </c>
      <c r="V402">
        <f t="shared" si="335"/>
        <v>-1.3657233928596899</v>
      </c>
      <c r="X402">
        <f t="shared" si="352"/>
        <v>-46.415628063122284</v>
      </c>
      <c r="Y402">
        <f t="shared" si="336"/>
        <v>-168.75592892918436</v>
      </c>
      <c r="Z402">
        <f t="shared" si="353"/>
        <v>11.244071070815636</v>
      </c>
      <c r="AC402">
        <v>1</v>
      </c>
      <c r="AD402">
        <f t="shared" si="337"/>
        <v>155.45103087024</v>
      </c>
      <c r="AE402">
        <f t="shared" si="338"/>
        <v>-0.13771859611675707</v>
      </c>
      <c r="AF402">
        <f t="shared" si="339"/>
        <v>2.8645041782700002E-2</v>
      </c>
      <c r="AG402">
        <f t="shared" si="315"/>
        <v>218.08225365008101</v>
      </c>
      <c r="AH402">
        <f t="shared" si="316"/>
        <v>-1083.3980290931347</v>
      </c>
      <c r="AJ402">
        <f t="shared" si="340"/>
        <v>18000</v>
      </c>
      <c r="AK402">
        <f t="shared" si="341"/>
        <v>140331.17376432003</v>
      </c>
      <c r="AL402">
        <v>1</v>
      </c>
      <c r="AM402">
        <f t="shared" si="342"/>
        <v>241.68146592744</v>
      </c>
      <c r="AN402">
        <f t="shared" si="317"/>
        <v>580.94338209503485</v>
      </c>
      <c r="AO402">
        <f t="shared" si="318"/>
        <v>-72.074441252912152</v>
      </c>
      <c r="AQ402">
        <f t="shared" si="343"/>
        <v>2.829333740002903E-3</v>
      </c>
      <c r="AR402">
        <f t="shared" si="344"/>
        <v>-5.3191474312054572</v>
      </c>
      <c r="AT402">
        <f t="shared" si="313"/>
        <v>-5762.1368159454551</v>
      </c>
      <c r="AU402">
        <f t="shared" si="314"/>
        <v>-1163.0769538918912</v>
      </c>
      <c r="AV402">
        <f t="shared" si="354"/>
        <v>-2.9424206100534209</v>
      </c>
      <c r="AW402">
        <f t="shared" si="355"/>
        <v>431.80966843601959</v>
      </c>
      <c r="AX402">
        <f t="shared" si="356"/>
        <v>-4438.4372254680702</v>
      </c>
      <c r="AY402">
        <f t="shared" si="364"/>
        <v>-1.4738128707375699</v>
      </c>
      <c r="BA402">
        <f t="shared" si="345"/>
        <v>1.318194570963658</v>
      </c>
      <c r="BB402">
        <f t="shared" si="357"/>
        <v>2.3995903729776211</v>
      </c>
      <c r="BC402">
        <f t="shared" si="358"/>
        <v>-1.468607739315851</v>
      </c>
      <c r="BD402">
        <f t="shared" si="346"/>
        <v>-264.14502531919698</v>
      </c>
      <c r="BF402">
        <f t="shared" si="347"/>
        <v>-49.535287408682045</v>
      </c>
      <c r="BG402">
        <f t="shared" si="348"/>
        <v>-181.3544291171477</v>
      </c>
      <c r="BH402">
        <f t="shared" si="359"/>
        <v>-1.3544291171477028</v>
      </c>
      <c r="BI402">
        <f t="shared" si="360"/>
        <v>-1.3544291171477028</v>
      </c>
      <c r="BJ402">
        <f t="shared" si="349"/>
        <v>0</v>
      </c>
      <c r="BK402">
        <f t="shared" si="361"/>
        <v>0</v>
      </c>
      <c r="BM402">
        <f t="shared" si="362"/>
        <v>-51.934877781659665</v>
      </c>
      <c r="BN402">
        <f t="shared" si="350"/>
        <v>-97.209403797950742</v>
      </c>
      <c r="BQ402" s="56">
        <f t="shared" si="363"/>
        <v>19.301551173262755</v>
      </c>
      <c r="BR402" s="59"/>
      <c r="BS402" s="59"/>
      <c r="BT402" s="59">
        <v>831763.77099999995</v>
      </c>
      <c r="BU402" s="59">
        <v>7.3913599999999997</v>
      </c>
      <c r="BV402" s="59">
        <v>104.541</v>
      </c>
      <c r="BY402" s="59"/>
      <c r="BZ402" s="59"/>
      <c r="CA402" s="59"/>
      <c r="CC402" s="59"/>
    </row>
    <row r="403" spans="1:81" x14ac:dyDescent="0.25">
      <c r="A403">
        <f t="shared" si="319"/>
        <v>945000</v>
      </c>
      <c r="B403">
        <f t="shared" si="351"/>
        <v>945</v>
      </c>
      <c r="C403">
        <f t="shared" si="320"/>
        <v>7.9011824764460519</v>
      </c>
      <c r="D403">
        <f t="shared" si="321"/>
        <v>1.4438926455642438</v>
      </c>
      <c r="F403">
        <f t="shared" si="322"/>
        <v>2.1238880157946853E-5</v>
      </c>
      <c r="G403">
        <f t="shared" si="323"/>
        <v>1.7343591460599096E-3</v>
      </c>
      <c r="H403">
        <f t="shared" si="324"/>
        <v>-3.1398582908539403</v>
      </c>
      <c r="J403">
        <f t="shared" si="325"/>
        <v>15</v>
      </c>
      <c r="M403">
        <f t="shared" si="326"/>
        <v>1.9291859036680229E-3</v>
      </c>
      <c r="N403">
        <f t="shared" si="327"/>
        <v>-1.5707963250000001</v>
      </c>
      <c r="O403">
        <f t="shared" si="328"/>
        <v>156.28109745172006</v>
      </c>
      <c r="P403">
        <f t="shared" si="329"/>
        <v>1.5643975566276676</v>
      </c>
      <c r="Q403">
        <f t="shared" si="330"/>
        <v>242.96906352369288</v>
      </c>
      <c r="R403">
        <f t="shared" si="331"/>
        <v>1.5666805648589848</v>
      </c>
      <c r="S403">
        <f t="shared" si="332"/>
        <v>0.12656333440988946</v>
      </c>
      <c r="T403">
        <f t="shared" si="333"/>
        <v>-1.4438926455642438</v>
      </c>
      <c r="U403">
        <f t="shared" si="334"/>
        <v>0.2026054545032076</v>
      </c>
      <c r="V403">
        <f t="shared" si="335"/>
        <v>-1.3667784999020174</v>
      </c>
      <c r="X403">
        <f t="shared" si="352"/>
        <v>-46.505889627458387</v>
      </c>
      <c r="Y403">
        <f t="shared" si="336"/>
        <v>-168.81370631182082</v>
      </c>
      <c r="Z403">
        <f t="shared" si="353"/>
        <v>11.186293688179177</v>
      </c>
      <c r="AC403">
        <v>1</v>
      </c>
      <c r="AD403">
        <f t="shared" si="337"/>
        <v>156.27789805572002</v>
      </c>
      <c r="AE403">
        <f t="shared" si="338"/>
        <v>-0.13918758408461632</v>
      </c>
      <c r="AF403">
        <f t="shared" si="339"/>
        <v>2.8797409026225001E-2</v>
      </c>
      <c r="AG403">
        <f t="shared" si="315"/>
        <v>215.87509018745504</v>
      </c>
      <c r="AH403">
        <f t="shared" si="316"/>
        <v>-1078.1224185469869</v>
      </c>
      <c r="AJ403">
        <f t="shared" si="340"/>
        <v>18000</v>
      </c>
      <c r="AK403">
        <f t="shared" si="341"/>
        <v>141077.61617796001</v>
      </c>
      <c r="AL403">
        <v>1</v>
      </c>
      <c r="AM403">
        <f t="shared" si="342"/>
        <v>242.96700563982</v>
      </c>
      <c r="AN403">
        <f t="shared" si="317"/>
        <v>580.94023472125218</v>
      </c>
      <c r="AO403">
        <f t="shared" si="318"/>
        <v>-71.693107956811104</v>
      </c>
      <c r="AQ403">
        <f t="shared" si="343"/>
        <v>2.7994729152395186E-3</v>
      </c>
      <c r="AR403">
        <f t="shared" si="344"/>
        <v>-5.2910038098026906</v>
      </c>
      <c r="AT403">
        <f t="shared" si="313"/>
        <v>-5703.7454874977439</v>
      </c>
      <c r="AU403">
        <f t="shared" si="314"/>
        <v>-1145.214099133359</v>
      </c>
      <c r="AV403">
        <f t="shared" si="354"/>
        <v>-2.9434444963844157</v>
      </c>
      <c r="AW403">
        <f t="shared" si="355"/>
        <v>433.48128902980909</v>
      </c>
      <c r="AX403">
        <f t="shared" si="356"/>
        <v>-4415.4222678073656</v>
      </c>
      <c r="AY403">
        <f t="shared" si="364"/>
        <v>-1.472935555905948</v>
      </c>
      <c r="BA403">
        <f t="shared" si="345"/>
        <v>1.311255049610788</v>
      </c>
      <c r="BB403">
        <f t="shared" si="357"/>
        <v>2.3537434732430134</v>
      </c>
      <c r="BC403">
        <f t="shared" si="358"/>
        <v>-1.4705089404784677</v>
      </c>
      <c r="BD403">
        <f t="shared" si="346"/>
        <v>-264.25395612194473</v>
      </c>
      <c r="BF403">
        <f t="shared" si="347"/>
        <v>-49.627957220582147</v>
      </c>
      <c r="BG403">
        <f t="shared" si="348"/>
        <v>-181.4256299072604</v>
      </c>
      <c r="BH403">
        <f t="shared" si="359"/>
        <v>-1.4256299072604008</v>
      </c>
      <c r="BI403">
        <f t="shared" si="360"/>
        <v>-1.4256299072604008</v>
      </c>
      <c r="BJ403">
        <f t="shared" si="349"/>
        <v>0</v>
      </c>
      <c r="BK403">
        <f t="shared" si="361"/>
        <v>0</v>
      </c>
      <c r="BM403">
        <f t="shared" si="362"/>
        <v>-51.981700693825161</v>
      </c>
      <c r="BN403">
        <f t="shared" si="350"/>
        <v>-97.171673785315662</v>
      </c>
      <c r="BQ403" s="56">
        <f t="shared" si="363"/>
        <v>19.255704273528153</v>
      </c>
      <c r="BR403" s="59"/>
      <c r="BS403" s="59"/>
      <c r="BT403" s="59">
        <v>851138.03799999994</v>
      </c>
      <c r="BU403" s="59">
        <v>7.3125499999999999</v>
      </c>
      <c r="BV403" s="59">
        <v>103.205</v>
      </c>
      <c r="BY403" s="59"/>
      <c r="BZ403" s="59"/>
      <c r="CA403" s="59"/>
      <c r="CC403" s="59"/>
    </row>
    <row r="404" spans="1:81" x14ac:dyDescent="0.25">
      <c r="A404">
        <f t="shared" si="319"/>
        <v>950000</v>
      </c>
      <c r="B404">
        <f t="shared" si="351"/>
        <v>950</v>
      </c>
      <c r="C404">
        <f t="shared" si="320"/>
        <v>7.9423197616099062</v>
      </c>
      <c r="D404">
        <f t="shared" si="321"/>
        <v>1.4445534673848945</v>
      </c>
      <c r="F404">
        <f t="shared" si="322"/>
        <v>2.1015896951199662E-5</v>
      </c>
      <c r="G404">
        <f t="shared" si="323"/>
        <v>1.7252305712361785E-3</v>
      </c>
      <c r="H404">
        <f t="shared" si="324"/>
        <v>-3.1398674194287639</v>
      </c>
      <c r="J404">
        <f t="shared" si="325"/>
        <v>15</v>
      </c>
      <c r="M404">
        <f t="shared" si="326"/>
        <v>1.9190322936487175E-3</v>
      </c>
      <c r="N404">
        <f t="shared" si="327"/>
        <v>-1.5707963250000001</v>
      </c>
      <c r="O404">
        <f t="shared" si="328"/>
        <v>157.10794779861573</v>
      </c>
      <c r="P404">
        <f t="shared" si="329"/>
        <v>1.5644312334533685</v>
      </c>
      <c r="Q404">
        <f t="shared" si="330"/>
        <v>244.25459240519615</v>
      </c>
      <c r="R404">
        <f t="shared" si="331"/>
        <v>1.5667022265212114</v>
      </c>
      <c r="S404">
        <f t="shared" si="332"/>
        <v>0.1259077989825608</v>
      </c>
      <c r="T404">
        <f t="shared" si="333"/>
        <v>-1.4445534673848945</v>
      </c>
      <c r="U404">
        <f t="shared" si="334"/>
        <v>0.20158255142599812</v>
      </c>
      <c r="V404">
        <f t="shared" si="335"/>
        <v>-1.3678229541665767</v>
      </c>
      <c r="X404">
        <f t="shared" si="352"/>
        <v>-46.595693921501578</v>
      </c>
      <c r="Y404">
        <f t="shared" si="336"/>
        <v>-168.87090150014737</v>
      </c>
      <c r="Z404">
        <f t="shared" si="353"/>
        <v>11.129098499852631</v>
      </c>
      <c r="AC404">
        <v>1</v>
      </c>
      <c r="AD404">
        <f t="shared" si="337"/>
        <v>157.1047652412</v>
      </c>
      <c r="AE404">
        <f t="shared" si="338"/>
        <v>-0.14066436509209285</v>
      </c>
      <c r="AF404">
        <f t="shared" si="339"/>
        <v>2.894977626975E-2</v>
      </c>
      <c r="AG404">
        <f t="shared" si="315"/>
        <v>213.70079666174169</v>
      </c>
      <c r="AH404">
        <f t="shared" si="316"/>
        <v>-1072.8955758650688</v>
      </c>
      <c r="AJ404">
        <f t="shared" si="340"/>
        <v>18000</v>
      </c>
      <c r="AK404">
        <f t="shared" si="341"/>
        <v>141824.05859160001</v>
      </c>
      <c r="AL404">
        <v>1</v>
      </c>
      <c r="AM404">
        <f t="shared" si="342"/>
        <v>244.25254535219997</v>
      </c>
      <c r="AN404">
        <f t="shared" si="317"/>
        <v>580.93713691084145</v>
      </c>
      <c r="AO404">
        <f t="shared" si="318"/>
        <v>-71.315788492487314</v>
      </c>
      <c r="AQ404">
        <f t="shared" si="343"/>
        <v>2.770082335157248E-3</v>
      </c>
      <c r="AR404">
        <f t="shared" si="344"/>
        <v>-5.2631564367987709</v>
      </c>
      <c r="AT404">
        <f t="shared" si="313"/>
        <v>-5646.2252873253192</v>
      </c>
      <c r="AU404">
        <f t="shared" si="314"/>
        <v>-1127.7127325814433</v>
      </c>
      <c r="AV404">
        <f t="shared" si="354"/>
        <v>-2.9444580585621254</v>
      </c>
      <c r="AW404">
        <f t="shared" si="355"/>
        <v>435.12457050451752</v>
      </c>
      <c r="AX404">
        <f t="shared" si="356"/>
        <v>-4392.6426434788527</v>
      </c>
      <c r="AY404">
        <f t="shared" si="364"/>
        <v>-1.4720608456081479</v>
      </c>
      <c r="BA404">
        <f t="shared" si="345"/>
        <v>1.3043856025468947</v>
      </c>
      <c r="BB404">
        <f t="shared" si="357"/>
        <v>2.3081199307227767</v>
      </c>
      <c r="BC404">
        <f t="shared" si="358"/>
        <v>-1.4723972129539775</v>
      </c>
      <c r="BD404">
        <f t="shared" si="346"/>
        <v>-264.3621461654858</v>
      </c>
      <c r="BF404">
        <f t="shared" si="347"/>
        <v>-49.720148922975945</v>
      </c>
      <c r="BG404">
        <f t="shared" si="348"/>
        <v>-181.49648067823574</v>
      </c>
      <c r="BH404">
        <f t="shared" si="359"/>
        <v>-1.4964806782357414</v>
      </c>
      <c r="BI404">
        <f t="shared" si="360"/>
        <v>-1.4964806782357414</v>
      </c>
      <c r="BJ404">
        <f t="shared" si="349"/>
        <v>0</v>
      </c>
      <c r="BK404">
        <f t="shared" si="361"/>
        <v>0</v>
      </c>
      <c r="BM404">
        <f t="shared" si="362"/>
        <v>-52.028268853698727</v>
      </c>
      <c r="BN404">
        <f t="shared" si="350"/>
        <v>-97.134334512749916</v>
      </c>
      <c r="BQ404" s="56">
        <f t="shared" si="363"/>
        <v>19.210080731007913</v>
      </c>
      <c r="BR404" s="59"/>
      <c r="BS404" s="59"/>
      <c r="BT404" s="59">
        <v>870963.59</v>
      </c>
      <c r="BU404" s="59">
        <v>7.1463099999999997</v>
      </c>
      <c r="BV404" s="59">
        <v>103.91</v>
      </c>
      <c r="BY404" s="59"/>
      <c r="BZ404" s="59"/>
      <c r="CA404" s="59"/>
      <c r="CC404" s="59"/>
    </row>
    <row r="405" spans="1:81" x14ac:dyDescent="0.25">
      <c r="A405">
        <f t="shared" si="319"/>
        <v>955000</v>
      </c>
      <c r="B405">
        <f t="shared" si="351"/>
        <v>955</v>
      </c>
      <c r="C405">
        <f t="shared" si="320"/>
        <v>7.9834604793256254</v>
      </c>
      <c r="D405">
        <f t="shared" si="321"/>
        <v>1.4452074787368774</v>
      </c>
      <c r="F405">
        <f t="shared" si="322"/>
        <v>2.0796407012765734E-5</v>
      </c>
      <c r="G405">
        <f t="shared" si="323"/>
        <v>1.7161975893306394E-3</v>
      </c>
      <c r="H405">
        <f t="shared" si="324"/>
        <v>-3.1398764524106695</v>
      </c>
      <c r="J405">
        <f t="shared" si="325"/>
        <v>15</v>
      </c>
      <c r="M405">
        <f t="shared" si="326"/>
        <v>1.9089850041531743E-3</v>
      </c>
      <c r="N405">
        <f t="shared" si="327"/>
        <v>-1.5707963250000001</v>
      </c>
      <c r="O405">
        <f t="shared" si="328"/>
        <v>157.93479832182635</v>
      </c>
      <c r="P405">
        <f t="shared" si="329"/>
        <v>1.5644645576563632</v>
      </c>
      <c r="Q405">
        <f t="shared" si="330"/>
        <v>245.54012140011031</v>
      </c>
      <c r="R405">
        <f t="shared" si="331"/>
        <v>1.566723661363532</v>
      </c>
      <c r="S405">
        <f t="shared" si="332"/>
        <v>0.12525896540599793</v>
      </c>
      <c r="T405">
        <f t="shared" si="333"/>
        <v>-1.4452074787368774</v>
      </c>
      <c r="U405">
        <f t="shared" si="334"/>
        <v>0.2005697097031007</v>
      </c>
      <c r="V405">
        <f t="shared" si="335"/>
        <v>-1.3688569139303597</v>
      </c>
      <c r="X405">
        <f t="shared" si="352"/>
        <v>-46.685045464561725</v>
      </c>
      <c r="Y405">
        <f t="shared" si="336"/>
        <v>-168.92752312041605</v>
      </c>
      <c r="Z405">
        <f t="shared" si="353"/>
        <v>11.072476879583945</v>
      </c>
      <c r="AC405">
        <v>1</v>
      </c>
      <c r="AD405">
        <f t="shared" si="337"/>
        <v>157.93163242668001</v>
      </c>
      <c r="AE405">
        <f t="shared" si="338"/>
        <v>-0.14214893913918669</v>
      </c>
      <c r="AF405">
        <f t="shared" si="339"/>
        <v>2.9102143513274999E-2</v>
      </c>
      <c r="AG405">
        <f t="shared" si="315"/>
        <v>211.55873304906214</v>
      </c>
      <c r="AH405">
        <f t="shared" si="316"/>
        <v>-1067.7168660920333</v>
      </c>
      <c r="AJ405">
        <f t="shared" si="340"/>
        <v>18000</v>
      </c>
      <c r="AK405">
        <f t="shared" si="341"/>
        <v>142570.50100524002</v>
      </c>
      <c r="AL405">
        <v>1</v>
      </c>
      <c r="AM405">
        <f t="shared" si="342"/>
        <v>245.53808506457997</v>
      </c>
      <c r="AN405">
        <f t="shared" si="317"/>
        <v>580.93408762857689</v>
      </c>
      <c r="AO405">
        <f t="shared" si="318"/>
        <v>-70.942419819678747</v>
      </c>
      <c r="AQ405">
        <f t="shared" si="343"/>
        <v>2.7411521775301726E-3</v>
      </c>
      <c r="AR405">
        <f t="shared" si="344"/>
        <v>-5.2356006590826292</v>
      </c>
      <c r="AT405">
        <f t="shared" si="313"/>
        <v>-5589.5592131433168</v>
      </c>
      <c r="AU405">
        <f t="shared" si="314"/>
        <v>-1110.5638165988296</v>
      </c>
      <c r="AV405">
        <f t="shared" si="354"/>
        <v>-2.9454614497022042</v>
      </c>
      <c r="AW405">
        <f t="shared" si="355"/>
        <v>436.74015445376324</v>
      </c>
      <c r="AX405">
        <f t="shared" si="356"/>
        <v>-4370.0947899515231</v>
      </c>
      <c r="AY405">
        <f t="shared" si="364"/>
        <v>-1.4711886934809795</v>
      </c>
      <c r="BA405">
        <f t="shared" si="345"/>
        <v>1.2975851790533963</v>
      </c>
      <c r="BB405">
        <f t="shared" si="357"/>
        <v>2.2627175281541012</v>
      </c>
      <c r="BC405">
        <f t="shared" si="358"/>
        <v>-1.4742727562212248</v>
      </c>
      <c r="BD405">
        <f t="shared" si="346"/>
        <v>-264.46960687911604</v>
      </c>
      <c r="BF405">
        <f t="shared" si="347"/>
        <v>-49.811867524944901</v>
      </c>
      <c r="BG405">
        <f t="shared" si="348"/>
        <v>-181.56698685334106</v>
      </c>
      <c r="BH405">
        <f t="shared" si="359"/>
        <v>-1.5669868533410636</v>
      </c>
      <c r="BI405">
        <f t="shared" si="360"/>
        <v>-1.5669868533410636</v>
      </c>
      <c r="BJ405">
        <f t="shared" si="349"/>
        <v>0</v>
      </c>
      <c r="BK405">
        <f t="shared" si="361"/>
        <v>0</v>
      </c>
      <c r="BM405">
        <f t="shared" si="362"/>
        <v>-52.074585053099</v>
      </c>
      <c r="BN405">
        <f t="shared" si="350"/>
        <v>-97.097379974225035</v>
      </c>
      <c r="BQ405" s="56">
        <f t="shared" si="363"/>
        <v>19.164678328439237</v>
      </c>
      <c r="BR405" s="59"/>
      <c r="BS405" s="59"/>
      <c r="BT405" s="59">
        <v>891250.93799999997</v>
      </c>
      <c r="BU405" s="59">
        <v>6.8612700000000002</v>
      </c>
      <c r="BV405" s="59">
        <v>102.337</v>
      </c>
      <c r="BY405" s="59"/>
      <c r="BZ405" s="59"/>
      <c r="CA405" s="59"/>
      <c r="CC405" s="59"/>
    </row>
    <row r="406" spans="1:81" x14ac:dyDescent="0.25">
      <c r="A406">
        <f t="shared" si="319"/>
        <v>960000</v>
      </c>
      <c r="B406">
        <f t="shared" si="351"/>
        <v>960</v>
      </c>
      <c r="C406">
        <f t="shared" si="320"/>
        <v>8.0246045767989642</v>
      </c>
      <c r="D406">
        <f t="shared" si="321"/>
        <v>1.4458547838131466</v>
      </c>
      <c r="F406">
        <f t="shared" si="322"/>
        <v>2.0580337753735946E-5</v>
      </c>
      <c r="G406">
        <f t="shared" si="323"/>
        <v>1.7072587065851408E-3</v>
      </c>
      <c r="H406">
        <f t="shared" si="324"/>
        <v>-3.139885391293415</v>
      </c>
      <c r="J406">
        <f t="shared" si="325"/>
        <v>15</v>
      </c>
      <c r="M406">
        <f t="shared" si="326"/>
        <v>1.8990423739232098E-3</v>
      </c>
      <c r="N406">
        <f t="shared" si="327"/>
        <v>-1.5707963250000001</v>
      </c>
      <c r="O406">
        <f t="shared" si="328"/>
        <v>158.7616490185971</v>
      </c>
      <c r="P406">
        <f t="shared" si="329"/>
        <v>1.5644975347460877</v>
      </c>
      <c r="Q406">
        <f t="shared" si="330"/>
        <v>246.82565050666338</v>
      </c>
      <c r="R406">
        <f t="shared" si="331"/>
        <v>1.5667448729299291</v>
      </c>
      <c r="S406">
        <f t="shared" si="332"/>
        <v>0.12461673225509921</v>
      </c>
      <c r="T406">
        <f t="shared" si="333"/>
        <v>-1.4458547838131466</v>
      </c>
      <c r="U406">
        <f t="shared" si="334"/>
        <v>0.19956678488307289</v>
      </c>
      <c r="V406">
        <f t="shared" si="335"/>
        <v>-1.3698805343953517</v>
      </c>
      <c r="X406">
        <f t="shared" si="352"/>
        <v>-46.77394871058813</v>
      </c>
      <c r="Y406">
        <f t="shared" si="336"/>
        <v>-168.98357963190895</v>
      </c>
      <c r="Z406">
        <f t="shared" si="353"/>
        <v>11.016420368091048</v>
      </c>
      <c r="AC406">
        <v>1</v>
      </c>
      <c r="AD406">
        <f t="shared" si="337"/>
        <v>158.75849961215999</v>
      </c>
      <c r="AE406">
        <f t="shared" si="338"/>
        <v>-0.14364130622589782</v>
      </c>
      <c r="AF406">
        <f t="shared" si="339"/>
        <v>2.9254510756799999E-2</v>
      </c>
      <c r="AG406">
        <f t="shared" si="315"/>
        <v>209.44827459072022</v>
      </c>
      <c r="AH406">
        <f t="shared" si="316"/>
        <v>-1062.5856643918064</v>
      </c>
      <c r="AJ406">
        <f t="shared" si="340"/>
        <v>18000</v>
      </c>
      <c r="AK406">
        <f t="shared" si="341"/>
        <v>143316.94341887999</v>
      </c>
      <c r="AL406">
        <v>1</v>
      </c>
      <c r="AM406">
        <f t="shared" si="342"/>
        <v>246.82362477695997</v>
      </c>
      <c r="AN406">
        <f t="shared" si="317"/>
        <v>580.93108586612084</v>
      </c>
      <c r="AO406">
        <f t="shared" si="318"/>
        <v>-70.572940211353227</v>
      </c>
      <c r="AQ406">
        <f t="shared" si="343"/>
        <v>2.7126728752514986E-3</v>
      </c>
      <c r="AR406">
        <f t="shared" si="344"/>
        <v>-5.2083319204828777</v>
      </c>
      <c r="AT406">
        <f t="shared" ref="AT406:AT469" si="365">-AR406*AH406+AG406*AQ406</f>
        <v>-5533.7306694461013</v>
      </c>
      <c r="AU406">
        <f t="shared" ref="AU406:AU469" si="366">AQ406*AH406+AG406*AR406</f>
        <v>-1093.7585815503376</v>
      </c>
      <c r="AV406">
        <f t="shared" si="354"/>
        <v>-2.9464548199528191</v>
      </c>
      <c r="AW406">
        <f t="shared" si="355"/>
        <v>438.32866435721871</v>
      </c>
      <c r="AX406">
        <f t="shared" si="356"/>
        <v>-4347.775215751939</v>
      </c>
      <c r="AY406">
        <f t="shared" si="364"/>
        <v>-1.4703190543309193</v>
      </c>
      <c r="BA406">
        <f t="shared" si="345"/>
        <v>1.2908527490303088</v>
      </c>
      <c r="BB406">
        <f t="shared" si="357"/>
        <v>2.2175340795508434</v>
      </c>
      <c r="BC406">
        <f t="shared" si="358"/>
        <v>-1.4761357656218999</v>
      </c>
      <c r="BD406">
        <f t="shared" si="346"/>
        <v>-264.57634945508994</v>
      </c>
      <c r="BF406">
        <f t="shared" si="347"/>
        <v>-49.903117958191174</v>
      </c>
      <c r="BG406">
        <f t="shared" si="348"/>
        <v>-181.63715374060041</v>
      </c>
      <c r="BH406">
        <f t="shared" si="359"/>
        <v>-1.6371537406004109</v>
      </c>
      <c r="BI406">
        <f t="shared" si="360"/>
        <v>-1.6371537406004109</v>
      </c>
      <c r="BJ406">
        <f t="shared" si="349"/>
        <v>0</v>
      </c>
      <c r="BK406">
        <f t="shared" si="361"/>
        <v>0</v>
      </c>
      <c r="BM406">
        <f t="shared" si="362"/>
        <v>-52.120652037742019</v>
      </c>
      <c r="BN406">
        <f t="shared" si="350"/>
        <v>-97.060804285510514</v>
      </c>
      <c r="BQ406" s="56">
        <f t="shared" si="363"/>
        <v>19.11949487983598</v>
      </c>
      <c r="BR406" s="59"/>
      <c r="BS406" s="59"/>
      <c r="BT406" s="59">
        <v>912010.83900000004</v>
      </c>
      <c r="BU406" s="59">
        <v>6.4708399999999999</v>
      </c>
      <c r="BV406" s="59">
        <v>100.33499999999999</v>
      </c>
      <c r="BY406" s="59"/>
      <c r="BZ406" s="59"/>
      <c r="CA406" s="59"/>
      <c r="CC406" s="59"/>
    </row>
    <row r="407" spans="1:81" x14ac:dyDescent="0.25">
      <c r="A407">
        <f t="shared" si="319"/>
        <v>965000</v>
      </c>
      <c r="B407">
        <f t="shared" si="351"/>
        <v>965</v>
      </c>
      <c r="C407">
        <f t="shared" si="320"/>
        <v>8.0657520023086171</v>
      </c>
      <c r="D407">
        <f t="shared" si="321"/>
        <v>1.4464954847032381</v>
      </c>
      <c r="F407">
        <f t="shared" si="322"/>
        <v>2.0367618460930224E-5</v>
      </c>
      <c r="G407">
        <f t="shared" si="323"/>
        <v>1.6984124602033043E-3</v>
      </c>
      <c r="H407">
        <f t="shared" si="324"/>
        <v>-3.1398942375397967</v>
      </c>
      <c r="J407">
        <f t="shared" si="325"/>
        <v>15</v>
      </c>
      <c r="M407">
        <f t="shared" si="326"/>
        <v>1.8892027761308618E-3</v>
      </c>
      <c r="N407">
        <f t="shared" si="327"/>
        <v>-1.5707963250000001</v>
      </c>
      <c r="O407">
        <f t="shared" si="328"/>
        <v>159.58849988623021</v>
      </c>
      <c r="P407">
        <f t="shared" si="329"/>
        <v>1.5645301701178003</v>
      </c>
      <c r="Q407">
        <f t="shared" si="330"/>
        <v>248.11117972312002</v>
      </c>
      <c r="R407">
        <f t="shared" si="331"/>
        <v>1.5667658646909377</v>
      </c>
      <c r="S407">
        <f t="shared" si="332"/>
        <v>0.12398100012420113</v>
      </c>
      <c r="T407">
        <f t="shared" si="333"/>
        <v>-1.4464954847032381</v>
      </c>
      <c r="U407">
        <f t="shared" si="334"/>
        <v>0.19857363519997054</v>
      </c>
      <c r="V407">
        <f t="shared" si="335"/>
        <v>-1.3708939677617182</v>
      </c>
      <c r="X407">
        <f t="shared" si="352"/>
        <v>-46.862408049398958</v>
      </c>
      <c r="Y407">
        <f t="shared" si="336"/>
        <v>-169.03907933089283</v>
      </c>
      <c r="Z407">
        <f t="shared" si="353"/>
        <v>10.960920669107168</v>
      </c>
      <c r="AC407">
        <v>1</v>
      </c>
      <c r="AD407">
        <f t="shared" si="337"/>
        <v>159.58536679764001</v>
      </c>
      <c r="AE407">
        <f t="shared" si="338"/>
        <v>-0.14514146635222624</v>
      </c>
      <c r="AF407">
        <f t="shared" si="339"/>
        <v>2.9406878000324998E-2</v>
      </c>
      <c r="AG407">
        <f t="shared" si="315"/>
        <v>207.36881136551258</v>
      </c>
      <c r="AH407">
        <f t="shared" si="316"/>
        <v>-1057.5013558720857</v>
      </c>
      <c r="AJ407">
        <f t="shared" si="340"/>
        <v>18000</v>
      </c>
      <c r="AK407">
        <f t="shared" si="341"/>
        <v>144063.38583252003</v>
      </c>
      <c r="AL407">
        <v>1</v>
      </c>
      <c r="AM407">
        <f t="shared" si="342"/>
        <v>248.10916448933997</v>
      </c>
      <c r="AN407">
        <f t="shared" si="317"/>
        <v>580.92813064118968</v>
      </c>
      <c r="AO407">
        <f t="shared" si="318"/>
        <v>-70.207289219690324</v>
      </c>
      <c r="AQ407">
        <f t="shared" si="343"/>
        <v>2.6846351084230157E-3</v>
      </c>
      <c r="AR407">
        <f t="shared" si="344"/>
        <v>-5.1813457592564207</v>
      </c>
      <c r="AT407">
        <f t="shared" si="365"/>
        <v>-5478.7234560643619</v>
      </c>
      <c r="AU407">
        <f t="shared" si="366"/>
        <v>-1077.2885166379224</v>
      </c>
      <c r="AV407">
        <f t="shared" si="354"/>
        <v>-2.947438316565052</v>
      </c>
      <c r="AW407">
        <f t="shared" si="355"/>
        <v>439.89070619096378</v>
      </c>
      <c r="AX407">
        <f t="shared" si="356"/>
        <v>-4325.6804987110136</v>
      </c>
      <c r="AY407">
        <f t="shared" si="364"/>
        <v>-1.4694518840983184</v>
      </c>
      <c r="BA407">
        <f t="shared" si="345"/>
        <v>1.2841873025011992</v>
      </c>
      <c r="BB407">
        <f t="shared" si="357"/>
        <v>2.1725674296452526</v>
      </c>
      <c r="BC407">
        <f t="shared" si="358"/>
        <v>-1.4779864324667336</v>
      </c>
      <c r="BD407">
        <f t="shared" si="346"/>
        <v>-264.68238485470482</v>
      </c>
      <c r="BF407">
        <f t="shared" si="347"/>
        <v>-49.993905078613025</v>
      </c>
      <c r="BG407">
        <f t="shared" si="348"/>
        <v>-181.70698653582363</v>
      </c>
      <c r="BH407">
        <f t="shared" si="359"/>
        <v>-1.7069865358236314</v>
      </c>
      <c r="BI407">
        <f t="shared" si="360"/>
        <v>-1.7069865358236314</v>
      </c>
      <c r="BJ407">
        <f t="shared" si="349"/>
        <v>0</v>
      </c>
      <c r="BK407">
        <f t="shared" si="361"/>
        <v>0</v>
      </c>
      <c r="BM407">
        <f t="shared" si="362"/>
        <v>-52.166472508258281</v>
      </c>
      <c r="BN407">
        <f t="shared" si="350"/>
        <v>-97.024601681118824</v>
      </c>
      <c r="BQ407" s="56">
        <f t="shared" si="363"/>
        <v>19.07452822993039</v>
      </c>
      <c r="BR407" s="59"/>
      <c r="BS407" s="59"/>
      <c r="BT407" s="59">
        <v>933254.30099999998</v>
      </c>
      <c r="BU407" s="59">
        <v>6.2453099999999999</v>
      </c>
      <c r="BV407" s="59">
        <v>100.20399999999999</v>
      </c>
      <c r="BY407" s="59"/>
      <c r="BZ407" s="59"/>
      <c r="CA407" s="59"/>
      <c r="CC407" s="59"/>
    </row>
    <row r="408" spans="1:81" x14ac:dyDescent="0.25">
      <c r="A408">
        <f t="shared" si="319"/>
        <v>970000</v>
      </c>
      <c r="B408">
        <f t="shared" si="351"/>
        <v>970</v>
      </c>
      <c r="C408">
        <f t="shared" si="320"/>
        <v>8.106902705179202</v>
      </c>
      <c r="D408">
        <f t="shared" si="321"/>
        <v>1.447129681445799</v>
      </c>
      <c r="F408">
        <f t="shared" si="322"/>
        <v>2.015818023903275E-5</v>
      </c>
      <c r="G408">
        <f t="shared" si="323"/>
        <v>1.6896574175524466E-3</v>
      </c>
      <c r="H408">
        <f t="shared" si="324"/>
        <v>-3.139902992582448</v>
      </c>
      <c r="J408">
        <f t="shared" si="325"/>
        <v>15</v>
      </c>
      <c r="M408">
        <f t="shared" si="326"/>
        <v>1.8794646174910121E-3</v>
      </c>
      <c r="N408">
        <f t="shared" si="327"/>
        <v>-1.5707963250000001</v>
      </c>
      <c r="O408">
        <f t="shared" si="328"/>
        <v>160.41535092208366</v>
      </c>
      <c r="P408">
        <f t="shared" si="329"/>
        <v>1.5645624690555244</v>
      </c>
      <c r="Q408">
        <f t="shared" si="330"/>
        <v>249.39670904778075</v>
      </c>
      <c r="R408">
        <f t="shared" si="331"/>
        <v>1.5667866400455361</v>
      </c>
      <c r="S408">
        <f t="shared" si="332"/>
        <v>0.12335167157749864</v>
      </c>
      <c r="T408">
        <f t="shared" si="333"/>
        <v>-1.4471296814457988</v>
      </c>
      <c r="U408">
        <f t="shared" si="334"/>
        <v>0.19759012151293526</v>
      </c>
      <c r="V408">
        <f t="shared" si="335"/>
        <v>-1.3718973632989431</v>
      </c>
      <c r="X408">
        <f t="shared" si="352"/>
        <v>-46.950427807882427</v>
      </c>
      <c r="Y408">
        <f t="shared" si="336"/>
        <v>-169.09403035446348</v>
      </c>
      <c r="Z408">
        <f t="shared" si="353"/>
        <v>10.905969645536516</v>
      </c>
      <c r="AC408">
        <v>1</v>
      </c>
      <c r="AD408">
        <f t="shared" si="337"/>
        <v>160.41223398312002</v>
      </c>
      <c r="AE408">
        <f t="shared" si="338"/>
        <v>-0.14664941951817195</v>
      </c>
      <c r="AF408">
        <f t="shared" si="339"/>
        <v>2.9559245243849997E-2</v>
      </c>
      <c r="AG408">
        <f t="shared" si="315"/>
        <v>205.31974787570195</v>
      </c>
      <c r="AH408">
        <f t="shared" si="316"/>
        <v>-1052.4633354115076</v>
      </c>
      <c r="AJ408">
        <f t="shared" si="340"/>
        <v>18000</v>
      </c>
      <c r="AK408">
        <f t="shared" si="341"/>
        <v>144809.82824616</v>
      </c>
      <c r="AL408">
        <v>1</v>
      </c>
      <c r="AM408">
        <f t="shared" si="342"/>
        <v>249.39470420171997</v>
      </c>
      <c r="AN408">
        <f t="shared" si="317"/>
        <v>580.92522099674932</v>
      </c>
      <c r="AO408">
        <f t="shared" si="318"/>
        <v>-69.845407643115138</v>
      </c>
      <c r="AQ408">
        <f t="shared" si="343"/>
        <v>2.6570297967292494E-3</v>
      </c>
      <c r="AR408">
        <f t="shared" si="344"/>
        <v>-5.1546378056547439</v>
      </c>
      <c r="AT408">
        <f t="shared" si="365"/>
        <v>-5424.5217570896839</v>
      </c>
      <c r="AU408">
        <f t="shared" si="366"/>
        <v>-1061.145361089747</v>
      </c>
      <c r="AV408">
        <f t="shared" si="354"/>
        <v>-2.9484120839613395</v>
      </c>
      <c r="AW408">
        <f t="shared" si="355"/>
        <v>441.42686901402703</v>
      </c>
      <c r="AX408">
        <f t="shared" si="356"/>
        <v>-4303.8072842622569</v>
      </c>
      <c r="AY408">
        <f t="shared" si="364"/>
        <v>-1.4685871398228967</v>
      </c>
      <c r="BA408">
        <f t="shared" si="345"/>
        <v>1.2775878491320489</v>
      </c>
      <c r="BB408">
        <f t="shared" si="357"/>
        <v>2.1278154533412188</v>
      </c>
      <c r="BC408">
        <f t="shared" si="358"/>
        <v>-1.4798249441384428</v>
      </c>
      <c r="BD408">
        <f t="shared" si="346"/>
        <v>-264.78772381419969</v>
      </c>
      <c r="BF408">
        <f t="shared" si="347"/>
        <v>-50.084233667840536</v>
      </c>
      <c r="BG408">
        <f t="shared" si="348"/>
        <v>-181.77649032554123</v>
      </c>
      <c r="BH408">
        <f t="shared" si="359"/>
        <v>-1.7764903255412321</v>
      </c>
      <c r="BI408">
        <f t="shared" si="360"/>
        <v>-1.7764903255412321</v>
      </c>
      <c r="BJ408">
        <f t="shared" si="349"/>
        <v>0</v>
      </c>
      <c r="BK408">
        <f t="shared" si="361"/>
        <v>0</v>
      </c>
      <c r="BM408">
        <f t="shared" si="362"/>
        <v>-52.212049121181749</v>
      </c>
      <c r="BN408">
        <f t="shared" si="350"/>
        <v>-96.988766511341566</v>
      </c>
      <c r="BQ408" s="56">
        <f t="shared" si="363"/>
        <v>19.029776253626355</v>
      </c>
      <c r="BR408" s="59"/>
      <c r="BS408" s="59"/>
      <c r="BT408" s="59">
        <v>954992.58600000001</v>
      </c>
      <c r="BU408" s="59">
        <v>6.1328699999999996</v>
      </c>
      <c r="BV408" s="59">
        <v>99.956599999999995</v>
      </c>
      <c r="BY408" s="59"/>
      <c r="BZ408" s="59"/>
      <c r="CA408" s="59"/>
      <c r="CC408" s="59"/>
    </row>
    <row r="409" spans="1:81" x14ac:dyDescent="0.25">
      <c r="A409">
        <f t="shared" si="319"/>
        <v>975000</v>
      </c>
      <c r="B409">
        <f t="shared" si="351"/>
        <v>975</v>
      </c>
      <c r="C409">
        <f t="shared" si="320"/>
        <v>8.1480566357550614</v>
      </c>
      <c r="D409">
        <f t="shared" si="321"/>
        <v>1.4477574720795592</v>
      </c>
      <c r="F409">
        <f t="shared" si="322"/>
        <v>1.9951955954799172E-5</v>
      </c>
      <c r="G409">
        <f t="shared" si="323"/>
        <v>1.6809921753900595E-3</v>
      </c>
      <c r="H409">
        <f t="shared" si="324"/>
        <v>-3.13991165782461</v>
      </c>
      <c r="J409">
        <f t="shared" si="325"/>
        <v>15</v>
      </c>
      <c r="M409">
        <f t="shared" si="326"/>
        <v>1.8698263374013143E-3</v>
      </c>
      <c r="N409">
        <f t="shared" si="327"/>
        <v>-1.5707963250000001</v>
      </c>
      <c r="O409">
        <f t="shared" si="328"/>
        <v>161.24220212356946</v>
      </c>
      <c r="P409">
        <f t="shared" si="329"/>
        <v>1.5645944367348998</v>
      </c>
      <c r="Q409">
        <f t="shared" si="330"/>
        <v>250.68223847898091</v>
      </c>
      <c r="R409">
        <f t="shared" si="331"/>
        <v>1.5668072023229829</v>
      </c>
      <c r="S409">
        <f t="shared" si="332"/>
        <v>0.12272865110090543</v>
      </c>
      <c r="T409">
        <f t="shared" si="333"/>
        <v>-1.4477574720795592</v>
      </c>
      <c r="U409">
        <f t="shared" si="334"/>
        <v>0.1966161072473526</v>
      </c>
      <c r="V409">
        <f t="shared" si="335"/>
        <v>-1.3728908674149873</v>
      </c>
      <c r="X409">
        <f t="shared" si="352"/>
        <v>-47.038012251170684</v>
      </c>
      <c r="Y409">
        <f t="shared" si="336"/>
        <v>-169.14844068428431</v>
      </c>
      <c r="Z409">
        <f t="shared" si="353"/>
        <v>10.85155931571569</v>
      </c>
      <c r="AC409">
        <v>1</v>
      </c>
      <c r="AD409">
        <f t="shared" si="337"/>
        <v>161.2391011686</v>
      </c>
      <c r="AE409">
        <f t="shared" si="338"/>
        <v>-0.14816516572373495</v>
      </c>
      <c r="AF409">
        <f t="shared" si="339"/>
        <v>2.9711612487375E-2</v>
      </c>
      <c r="AG409">
        <f t="shared" si="315"/>
        <v>203.30050264616818</v>
      </c>
      <c r="AH409">
        <f t="shared" si="316"/>
        <v>-1047.471007489494</v>
      </c>
      <c r="AJ409">
        <f t="shared" si="340"/>
        <v>18000</v>
      </c>
      <c r="AK409">
        <f t="shared" si="341"/>
        <v>145556.27065980001</v>
      </c>
      <c r="AL409">
        <v>1</v>
      </c>
      <c r="AM409">
        <f t="shared" si="342"/>
        <v>250.68024391409998</v>
      </c>
      <c r="AN409">
        <f t="shared" si="317"/>
        <v>580.9223560002423</v>
      </c>
      <c r="AO409">
        <f t="shared" si="318"/>
        <v>-69.487237494346431</v>
      </c>
      <c r="AQ409">
        <f t="shared" si="343"/>
        <v>2.6298480920846569E-3</v>
      </c>
      <c r="AR409">
        <f t="shared" si="344"/>
        <v>-5.128203779565081</v>
      </c>
      <c r="AT409">
        <f t="shared" si="365"/>
        <v>-5371.1101301534627</v>
      </c>
      <c r="AU409">
        <f t="shared" si="366"/>
        <v>-1045.3210956881207</v>
      </c>
      <c r="AV409">
        <f t="shared" si="354"/>
        <v>-2.9493762638020149</v>
      </c>
      <c r="AW409">
        <f t="shared" si="355"/>
        <v>442.93772553217497</v>
      </c>
      <c r="AX409">
        <f t="shared" si="356"/>
        <v>-4282.1522837897364</v>
      </c>
      <c r="AY409">
        <f t="shared" si="364"/>
        <v>-1.4677247796104691</v>
      </c>
      <c r="BA409">
        <f t="shared" si="345"/>
        <v>1.2710534177635906</v>
      </c>
      <c r="BB409">
        <f t="shared" si="357"/>
        <v>2.0832760551788327</v>
      </c>
      <c r="BC409">
        <f t="shared" si="358"/>
        <v>-1.4816514841915458</v>
      </c>
      <c r="BD409">
        <f t="shared" si="346"/>
        <v>-264.89237685047368</v>
      </c>
      <c r="BF409">
        <f t="shared" si="347"/>
        <v>-50.174108434733</v>
      </c>
      <c r="BG409">
        <f t="shared" si="348"/>
        <v>-181.84567008984672</v>
      </c>
      <c r="BH409">
        <f t="shared" si="359"/>
        <v>-1.8456700898467204</v>
      </c>
      <c r="BI409">
        <f t="shared" si="360"/>
        <v>-1.8456700898467204</v>
      </c>
      <c r="BJ409">
        <f t="shared" si="349"/>
        <v>0</v>
      </c>
      <c r="BK409">
        <f t="shared" si="361"/>
        <v>0</v>
      </c>
      <c r="BM409">
        <f t="shared" si="362"/>
        <v>-52.257384489911836</v>
      </c>
      <c r="BN409">
        <f t="shared" si="350"/>
        <v>-96.953293239373082</v>
      </c>
      <c r="BQ409" s="56">
        <f t="shared" si="363"/>
        <v>18.98523685546397</v>
      </c>
      <c r="BR409" s="59"/>
      <c r="BS409" s="59"/>
      <c r="BT409" s="59">
        <v>977237.22100000002</v>
      </c>
      <c r="BU409" s="59">
        <v>5.7547600000000001</v>
      </c>
      <c r="BV409" s="59">
        <v>98.699600000000004</v>
      </c>
      <c r="BY409" s="59"/>
      <c r="BZ409" s="59"/>
      <c r="CA409" s="59"/>
      <c r="CC409" s="59"/>
    </row>
    <row r="410" spans="1:81" x14ac:dyDescent="0.25">
      <c r="A410">
        <f t="shared" si="319"/>
        <v>980000</v>
      </c>
      <c r="B410">
        <f t="shared" si="351"/>
        <v>980</v>
      </c>
      <c r="C410">
        <f t="shared" si="320"/>
        <v>8.1892137453748379</v>
      </c>
      <c r="D410">
        <f t="shared" si="321"/>
        <v>1.4483789526927993</v>
      </c>
      <c r="F410">
        <f t="shared" si="322"/>
        <v>1.9748880183251328E-5</v>
      </c>
      <c r="G410">
        <f t="shared" si="323"/>
        <v>1.6724153591139775E-3</v>
      </c>
      <c r="H410">
        <f t="shared" si="324"/>
        <v>-3.1399202346408863</v>
      </c>
      <c r="J410">
        <f t="shared" si="325"/>
        <v>15</v>
      </c>
      <c r="M410">
        <f t="shared" si="326"/>
        <v>1.8602864071084505E-3</v>
      </c>
      <c r="N410">
        <f t="shared" si="327"/>
        <v>-1.5707963250000001</v>
      </c>
      <c r="O410">
        <f t="shared" si="328"/>
        <v>162.06905348815258</v>
      </c>
      <c r="P410">
        <f t="shared" si="329"/>
        <v>1.5646260782259482</v>
      </c>
      <c r="Q410">
        <f t="shared" si="330"/>
        <v>251.96776801508983</v>
      </c>
      <c r="R410">
        <f t="shared" si="331"/>
        <v>1.566827554784594</v>
      </c>
      <c r="S410">
        <f t="shared" si="332"/>
        <v>0.12211184505530671</v>
      </c>
      <c r="T410">
        <f t="shared" si="333"/>
        <v>-1.4483789526927993</v>
      </c>
      <c r="U410">
        <f t="shared" si="334"/>
        <v>0.19565145833753489</v>
      </c>
      <c r="V410">
        <f t="shared" si="335"/>
        <v>-1.3738746237235298</v>
      </c>
      <c r="X410">
        <f t="shared" si="352"/>
        <v>-47.125165583786803</v>
      </c>
      <c r="Y410">
        <f t="shared" si="336"/>
        <v>-169.2023181502214</v>
      </c>
      <c r="Z410">
        <f t="shared" si="353"/>
        <v>10.797681849778598</v>
      </c>
      <c r="AC410">
        <v>1</v>
      </c>
      <c r="AD410">
        <f t="shared" si="337"/>
        <v>162.06596835407998</v>
      </c>
      <c r="AE410">
        <f t="shared" si="338"/>
        <v>-0.14968870496891523</v>
      </c>
      <c r="AF410">
        <f t="shared" si="339"/>
        <v>2.9863979730899999E-2</v>
      </c>
      <c r="AG410">
        <f t="shared" si="315"/>
        <v>201.31050783626875</v>
      </c>
      <c r="AH410">
        <f t="shared" si="316"/>
        <v>-1042.5237860187717</v>
      </c>
      <c r="AJ410">
        <f t="shared" si="340"/>
        <v>18000</v>
      </c>
      <c r="AK410">
        <f t="shared" si="341"/>
        <v>146302.71307344001</v>
      </c>
      <c r="AL410">
        <v>1</v>
      </c>
      <c r="AM410">
        <f t="shared" si="342"/>
        <v>251.96578362648</v>
      </c>
      <c r="AN410">
        <f t="shared" si="317"/>
        <v>580.91953474283832</v>
      </c>
      <c r="AO410">
        <f t="shared" si="318"/>
        <v>-69.132721969422704</v>
      </c>
      <c r="AQ410">
        <f t="shared" si="343"/>
        <v>2.6030813715427498E-3</v>
      </c>
      <c r="AR410">
        <f t="shared" si="344"/>
        <v>-5.1020394882237898</v>
      </c>
      <c r="AT410">
        <f t="shared" si="365"/>
        <v>-5318.473496047498</v>
      </c>
      <c r="AU410">
        <f t="shared" si="366"/>
        <v>-1029.8079346218037</v>
      </c>
      <c r="AV410">
        <f t="shared" si="354"/>
        <v>-2.9503309950500118</v>
      </c>
      <c r="AW410">
        <f t="shared" si="355"/>
        <v>444.42383263993571</v>
      </c>
      <c r="AX410">
        <f t="shared" si="356"/>
        <v>-4260.712273024038</v>
      </c>
      <c r="AY410">
        <f t="shared" si="364"/>
        <v>-1.4668647626008535</v>
      </c>
      <c r="BA410">
        <f t="shared" si="345"/>
        <v>1.2645830559567055</v>
      </c>
      <c r="BB410">
        <f t="shared" si="357"/>
        <v>2.0389471688101124</v>
      </c>
      <c r="BC410">
        <f t="shared" si="358"/>
        <v>-1.4834662324491583</v>
      </c>
      <c r="BD410">
        <f t="shared" si="346"/>
        <v>-264.99635426663241</v>
      </c>
      <c r="BF410">
        <f t="shared" si="347"/>
        <v>-50.263534016838911</v>
      </c>
      <c r="BG410">
        <f t="shared" si="348"/>
        <v>-181.91453070515178</v>
      </c>
      <c r="BH410">
        <f t="shared" si="359"/>
        <v>-1.9145307051517761</v>
      </c>
      <c r="BI410">
        <f t="shared" si="360"/>
        <v>-1.9145307051517761</v>
      </c>
      <c r="BJ410">
        <f t="shared" si="349"/>
        <v>0</v>
      </c>
      <c r="BK410">
        <f t="shared" si="361"/>
        <v>0</v>
      </c>
      <c r="BM410">
        <f t="shared" si="362"/>
        <v>-52.302481185649022</v>
      </c>
      <c r="BN410">
        <f t="shared" si="350"/>
        <v>-96.918176438519382</v>
      </c>
      <c r="BQ410" s="56">
        <f t="shared" si="363"/>
        <v>18.94090796909525</v>
      </c>
    </row>
    <row r="411" spans="1:81" x14ac:dyDescent="0.25">
      <c r="A411">
        <f t="shared" si="319"/>
        <v>985000</v>
      </c>
      <c r="B411">
        <f t="shared" si="351"/>
        <v>985</v>
      </c>
      <c r="C411">
        <f t="shared" si="320"/>
        <v>8.2303739863467964</v>
      </c>
      <c r="D411">
        <f t="shared" si="321"/>
        <v>1.4489942174713644</v>
      </c>
      <c r="F411">
        <f t="shared" si="322"/>
        <v>1.9548889155779156E-5</v>
      </c>
      <c r="G411">
        <f t="shared" si="323"/>
        <v>1.6639256220353797E-3</v>
      </c>
      <c r="H411">
        <f t="shared" si="324"/>
        <v>-3.139928724377965</v>
      </c>
      <c r="J411">
        <f t="shared" si="325"/>
        <v>15</v>
      </c>
      <c r="M411">
        <f t="shared" si="326"/>
        <v>1.8508433288997783E-3</v>
      </c>
      <c r="N411">
        <f t="shared" si="327"/>
        <v>-1.5707963250000001</v>
      </c>
      <c r="O411">
        <f t="shared" si="328"/>
        <v>162.89590501334939</v>
      </c>
      <c r="P411">
        <f t="shared" si="329"/>
        <v>1.564657398495753</v>
      </c>
      <c r="Q411">
        <f t="shared" si="330"/>
        <v>253.25329765450994</v>
      </c>
      <c r="R411">
        <f t="shared" si="331"/>
        <v>1.5668477006254675</v>
      </c>
      <c r="S411">
        <f t="shared" si="332"/>
        <v>0.12150116163115798</v>
      </c>
      <c r="T411">
        <f t="shared" si="333"/>
        <v>-1.4489942174713644</v>
      </c>
      <c r="U411">
        <f t="shared" si="334"/>
        <v>0.19469604317088526</v>
      </c>
      <c r="V411">
        <f t="shared" si="335"/>
        <v>-1.3748487731093488</v>
      </c>
      <c r="X411">
        <f t="shared" si="352"/>
        <v>-47.211891950765967</v>
      </c>
      <c r="Y411">
        <f t="shared" si="336"/>
        <v>-169.25567043387903</v>
      </c>
      <c r="Z411">
        <f t="shared" si="353"/>
        <v>10.744329566120967</v>
      </c>
      <c r="AC411">
        <v>1</v>
      </c>
      <c r="AD411">
        <f t="shared" si="337"/>
        <v>162.89283553956002</v>
      </c>
      <c r="AE411">
        <f t="shared" si="338"/>
        <v>-0.15122003725371283</v>
      </c>
      <c r="AF411">
        <f t="shared" si="339"/>
        <v>3.0016346974424998E-2</v>
      </c>
      <c r="AG411">
        <f t="shared" si="315"/>
        <v>199.34920886395963</v>
      </c>
      <c r="AH411">
        <f t="shared" si="316"/>
        <v>-1037.6210941805582</v>
      </c>
      <c r="AJ411">
        <f t="shared" si="340"/>
        <v>18000</v>
      </c>
      <c r="AK411">
        <f t="shared" si="341"/>
        <v>147049.15548707999</v>
      </c>
      <c r="AL411">
        <v>1</v>
      </c>
      <c r="AM411">
        <f t="shared" si="342"/>
        <v>253.25132333886</v>
      </c>
      <c r="AN411">
        <f t="shared" si="317"/>
        <v>580.916756338715</v>
      </c>
      <c r="AO411">
        <f t="shared" si="318"/>
        <v>-68.781805417671521</v>
      </c>
      <c r="AQ411">
        <f t="shared" si="343"/>
        <v>2.5767212304565359E-3</v>
      </c>
      <c r="AR411">
        <f t="shared" si="344"/>
        <v>-5.0761408239993751</v>
      </c>
      <c r="AT411">
        <f t="shared" si="365"/>
        <v>-5266.5971286740778</v>
      </c>
      <c r="AU411">
        <f t="shared" si="366"/>
        <v>-1014.5983176488681</v>
      </c>
      <c r="AV411">
        <f t="shared" si="354"/>
        <v>-2.9512764140337904</v>
      </c>
      <c r="AW411">
        <f t="shared" si="355"/>
        <v>445.8857319418222</v>
      </c>
      <c r="AX411">
        <f t="shared" si="356"/>
        <v>-4239.4840904846606</v>
      </c>
      <c r="AY411">
        <f t="shared" si="364"/>
        <v>-1.4660070489369135</v>
      </c>
      <c r="BA411">
        <f t="shared" si="345"/>
        <v>1.2581758295504399</v>
      </c>
      <c r="BB411">
        <f t="shared" si="357"/>
        <v>1.9948267564854449</v>
      </c>
      <c r="BC411">
        <f t="shared" si="358"/>
        <v>-1.4852693650968769</v>
      </c>
      <c r="BD411">
        <f t="shared" si="346"/>
        <v>-265.09966615736698</v>
      </c>
      <c r="BF411">
        <f t="shared" si="347"/>
        <v>-50.352514981819823</v>
      </c>
      <c r="BG411">
        <f t="shared" si="348"/>
        <v>-181.98307694685556</v>
      </c>
      <c r="BH411">
        <f t="shared" si="359"/>
        <v>-1.9830769468555616</v>
      </c>
      <c r="BI411">
        <f t="shared" si="360"/>
        <v>-1.9830769468555616</v>
      </c>
      <c r="BJ411">
        <f t="shared" si="349"/>
        <v>0</v>
      </c>
      <c r="BK411">
        <f t="shared" si="361"/>
        <v>0</v>
      </c>
      <c r="BM411">
        <f t="shared" si="362"/>
        <v>-52.347341738305275</v>
      </c>
      <c r="BN411">
        <f t="shared" si="350"/>
        <v>-96.883410789488607</v>
      </c>
      <c r="BQ411" s="56">
        <f t="shared" si="363"/>
        <v>18.89678755677058</v>
      </c>
    </row>
    <row r="412" spans="1:81" x14ac:dyDescent="0.25">
      <c r="A412">
        <f t="shared" si="319"/>
        <v>990000</v>
      </c>
      <c r="B412">
        <f t="shared" si="351"/>
        <v>990</v>
      </c>
      <c r="C412">
        <f t="shared" si="320"/>
        <v>8.2715373119248987</v>
      </c>
      <c r="D412">
        <f t="shared" si="321"/>
        <v>1.4496033587452735</v>
      </c>
      <c r="F412">
        <f t="shared" si="322"/>
        <v>1.9351920710072736E-5</v>
      </c>
      <c r="G412">
        <f t="shared" si="323"/>
        <v>1.65552164467383E-3</v>
      </c>
      <c r="H412">
        <f t="shared" si="324"/>
        <v>-3.1399371283553266</v>
      </c>
      <c r="J412">
        <f t="shared" si="325"/>
        <v>15</v>
      </c>
      <c r="M412">
        <f t="shared" si="326"/>
        <v>1.8414956353194763E-3</v>
      </c>
      <c r="N412">
        <f t="shared" si="327"/>
        <v>-1.5707963250000001</v>
      </c>
      <c r="O412">
        <f t="shared" si="328"/>
        <v>163.72275669672641</v>
      </c>
      <c r="P412">
        <f t="shared" si="329"/>
        <v>1.5646884024110586</v>
      </c>
      <c r="Q412">
        <f t="shared" si="330"/>
        <v>254.5388273956759</v>
      </c>
      <c r="R412">
        <f t="shared" si="331"/>
        <v>1.5668676429761554</v>
      </c>
      <c r="S412">
        <f t="shared" si="332"/>
        <v>0.12089651080438477</v>
      </c>
      <c r="T412">
        <f t="shared" si="333"/>
        <v>-1.4496033587452735</v>
      </c>
      <c r="U412">
        <f t="shared" si="334"/>
        <v>0.19374973253349981</v>
      </c>
      <c r="V412">
        <f t="shared" si="335"/>
        <v>-1.3758134537919073</v>
      </c>
      <c r="X412">
        <f t="shared" si="352"/>
        <v>-47.298195438751279</v>
      </c>
      <c r="Y412">
        <f t="shared" si="336"/>
        <v>-169.3085050720384</v>
      </c>
      <c r="Z412">
        <f t="shared" si="353"/>
        <v>10.6914949279616</v>
      </c>
      <c r="AC412">
        <v>1</v>
      </c>
      <c r="AD412">
        <f t="shared" si="337"/>
        <v>163.71970272504001</v>
      </c>
      <c r="AE412">
        <f t="shared" si="338"/>
        <v>-0.15275916257812769</v>
      </c>
      <c r="AF412">
        <f t="shared" si="339"/>
        <v>3.0168714217949998E-2</v>
      </c>
      <c r="AG412">
        <f t="shared" si="315"/>
        <v>197.41606404174405</v>
      </c>
      <c r="AH412">
        <f t="shared" si="316"/>
        <v>-1032.7623642624042</v>
      </c>
      <c r="AJ412">
        <f t="shared" si="340"/>
        <v>18000</v>
      </c>
      <c r="AK412">
        <f t="shared" si="341"/>
        <v>147795.59790072002</v>
      </c>
      <c r="AL412">
        <v>1</v>
      </c>
      <c r="AM412">
        <f t="shared" si="342"/>
        <v>254.53686305124</v>
      </c>
      <c r="AN412">
        <f t="shared" si="317"/>
        <v>580.91401992436192</v>
      </c>
      <c r="AO412">
        <f t="shared" si="318"/>
        <v>-68.434433312588837</v>
      </c>
      <c r="AQ412">
        <f t="shared" si="343"/>
        <v>2.5507594758801457E-3</v>
      </c>
      <c r="AR412">
        <f t="shared" si="344"/>
        <v>-5.0505037622426894</v>
      </c>
      <c r="AT412">
        <f t="shared" si="365"/>
        <v>-5215.4666453138816</v>
      </c>
      <c r="AU412">
        <f t="shared" si="366"/>
        <v>-999.68490255694678</v>
      </c>
      <c r="AV412">
        <f t="shared" si="354"/>
        <v>-2.9522126545085334</v>
      </c>
      <c r="AW412">
        <f t="shared" si="355"/>
        <v>447.32395025364912</v>
      </c>
      <c r="AX412">
        <f t="shared" si="356"/>
        <v>-4218.4646359672397</v>
      </c>
      <c r="AY412">
        <f t="shared" si="364"/>
        <v>-1.46515159973469</v>
      </c>
      <c r="BA412">
        <f t="shared" si="345"/>
        <v>1.251830822232266</v>
      </c>
      <c r="BB412">
        <f t="shared" si="357"/>
        <v>1.9509128085506842</v>
      </c>
      <c r="BC412">
        <f t="shared" si="358"/>
        <v>-1.4870610547738434</v>
      </c>
      <c r="BD412">
        <f t="shared" si="346"/>
        <v>-265.20232241417159</v>
      </c>
      <c r="BF412">
        <f t="shared" si="347"/>
        <v>-50.441055828839097</v>
      </c>
      <c r="BG412">
        <f t="shared" si="348"/>
        <v>-182.0513134919326</v>
      </c>
      <c r="BH412">
        <f t="shared" si="359"/>
        <v>-2.0513134919326035</v>
      </c>
      <c r="BI412">
        <f t="shared" si="360"/>
        <v>-2.0513134919326035</v>
      </c>
      <c r="BJ412">
        <f t="shared" si="349"/>
        <v>0</v>
      </c>
      <c r="BK412">
        <f t="shared" si="361"/>
        <v>0</v>
      </c>
      <c r="BM412">
        <f t="shared" si="362"/>
        <v>-52.39196863738978</v>
      </c>
      <c r="BN412">
        <f t="shared" si="350"/>
        <v>-96.848991077760999</v>
      </c>
      <c r="BQ412" s="56">
        <f t="shared" si="363"/>
        <v>18.852873608835822</v>
      </c>
    </row>
    <row r="413" spans="1:81" x14ac:dyDescent="0.25">
      <c r="A413">
        <f t="shared" si="319"/>
        <v>995000</v>
      </c>
      <c r="B413">
        <f t="shared" si="351"/>
        <v>995</v>
      </c>
      <c r="C413">
        <f t="shared" si="320"/>
        <v>8.3127036762855546</v>
      </c>
      <c r="D413">
        <f t="shared" si="321"/>
        <v>1.4502064670339743</v>
      </c>
      <c r="F413">
        <f t="shared" si="322"/>
        <v>1.9157914241811206E-5</v>
      </c>
      <c r="G413">
        <f t="shared" si="323"/>
        <v>1.6472021340735729E-3</v>
      </c>
      <c r="H413">
        <f t="shared" si="324"/>
        <v>-3.1399454478659266</v>
      </c>
      <c r="J413">
        <f t="shared" si="325"/>
        <v>15</v>
      </c>
      <c r="M413">
        <f t="shared" si="326"/>
        <v>1.8322418884083231E-3</v>
      </c>
      <c r="N413">
        <f t="shared" si="327"/>
        <v>-1.5707963250000001</v>
      </c>
      <c r="O413">
        <f t="shared" si="328"/>
        <v>164.54960853589915</v>
      </c>
      <c r="P413">
        <f t="shared" si="329"/>
        <v>1.5647190947407918</v>
      </c>
      <c r="Q413">
        <f t="shared" si="330"/>
        <v>255.82435723705396</v>
      </c>
      <c r="R413">
        <f t="shared" si="331"/>
        <v>1.5668873849042866</v>
      </c>
      <c r="S413">
        <f t="shared" si="332"/>
        <v>0.12029780429354124</v>
      </c>
      <c r="T413">
        <f t="shared" si="333"/>
        <v>-1.4502064670339743</v>
      </c>
      <c r="U413">
        <f t="shared" si="334"/>
        <v>0.19281239955716634</v>
      </c>
      <c r="V413">
        <f t="shared" si="335"/>
        <v>-1.3767688013871935</v>
      </c>
      <c r="X413">
        <f t="shared" si="352"/>
        <v>-47.384080077064901</v>
      </c>
      <c r="Y413">
        <f t="shared" si="336"/>
        <v>-169.36082946000255</v>
      </c>
      <c r="Z413">
        <f t="shared" si="353"/>
        <v>10.639170539997451</v>
      </c>
      <c r="AC413">
        <v>1</v>
      </c>
      <c r="AD413">
        <f t="shared" si="337"/>
        <v>164.54656991051999</v>
      </c>
      <c r="AE413">
        <f t="shared" si="338"/>
        <v>-0.15430608094215986</v>
      </c>
      <c r="AF413">
        <f t="shared" si="339"/>
        <v>3.0321081461474997E-2</v>
      </c>
      <c r="AG413">
        <f t="shared" si="315"/>
        <v>195.51054422403433</v>
      </c>
      <c r="AH413">
        <f t="shared" si="316"/>
        <v>-1027.9470374986863</v>
      </c>
      <c r="AJ413">
        <f t="shared" si="340"/>
        <v>18000</v>
      </c>
      <c r="AK413">
        <f t="shared" si="341"/>
        <v>148542.04031436003</v>
      </c>
      <c r="AL413">
        <v>1</v>
      </c>
      <c r="AM413">
        <f t="shared" si="342"/>
        <v>255.82240276361998</v>
      </c>
      <c r="AN413">
        <f t="shared" si="317"/>
        <v>580.91132465790906</v>
      </c>
      <c r="AO413">
        <f t="shared" si="318"/>
        <v>-68.090552223596063</v>
      </c>
      <c r="AQ413">
        <f t="shared" si="343"/>
        <v>2.5251881202019849E-3</v>
      </c>
      <c r="AR413">
        <f t="shared" si="344"/>
        <v>-5.0251243592019499</v>
      </c>
      <c r="AT413">
        <f t="shared" si="365"/>
        <v>-5165.06799720048</v>
      </c>
      <c r="AU413">
        <f t="shared" si="366"/>
        <v>-985.06055790831363</v>
      </c>
      <c r="AV413">
        <f t="shared" si="354"/>
        <v>-2.9531398477156787</v>
      </c>
      <c r="AW413">
        <f t="shared" si="355"/>
        <v>448.73900008481024</v>
      </c>
      <c r="AX413">
        <f t="shared" si="356"/>
        <v>-4197.6508690741366</v>
      </c>
      <c r="AY413">
        <f t="shared" si="364"/>
        <v>-1.4642983770545772</v>
      </c>
      <c r="BA413">
        <f t="shared" si="345"/>
        <v>1.2455471351201943</v>
      </c>
      <c r="BB413">
        <f t="shared" si="357"/>
        <v>1.9072033429545987</v>
      </c>
      <c r="BC413">
        <f t="shared" si="358"/>
        <v>-1.4888414706611015</v>
      </c>
      <c r="BD413">
        <f t="shared" si="346"/>
        <v>-265.30433273040609</v>
      </c>
      <c r="BF413">
        <f t="shared" si="347"/>
        <v>-50.529160989916448</v>
      </c>
      <c r="BG413">
        <f t="shared" si="348"/>
        <v>-182.11924492144124</v>
      </c>
      <c r="BH413">
        <f t="shared" si="359"/>
        <v>-2.1192449214412363</v>
      </c>
      <c r="BI413">
        <f t="shared" si="360"/>
        <v>-2.1192449214412363</v>
      </c>
      <c r="BJ413">
        <f t="shared" si="349"/>
        <v>0</v>
      </c>
      <c r="BK413">
        <f t="shared" si="361"/>
        <v>0</v>
      </c>
      <c r="BM413">
        <f t="shared" si="362"/>
        <v>-52.436364332871051</v>
      </c>
      <c r="BN413">
        <f t="shared" si="350"/>
        <v>-96.814912191035134</v>
      </c>
      <c r="BQ413" s="56">
        <f t="shared" si="363"/>
        <v>18.809164143239737</v>
      </c>
    </row>
    <row r="414" spans="1:81" x14ac:dyDescent="0.25">
      <c r="A414">
        <f t="shared" si="319"/>
        <v>1000000</v>
      </c>
      <c r="B414">
        <f t="shared" si="351"/>
        <v>1000</v>
      </c>
      <c r="C414">
        <f t="shared" si="320"/>
        <v>8.3538730345050585</v>
      </c>
      <c r="D414">
        <f t="shared" si="321"/>
        <v>1.4508036310902848</v>
      </c>
      <c r="F414">
        <f t="shared" si="322"/>
        <v>1.8966810658038382E-5</v>
      </c>
      <c r="G414">
        <f t="shared" si="323"/>
        <v>1.6389658231403413E-3</v>
      </c>
      <c r="H414">
        <f t="shared" si="324"/>
        <v>-3.1399536841768598</v>
      </c>
      <c r="J414">
        <f t="shared" si="325"/>
        <v>15</v>
      </c>
      <c r="M414">
        <f t="shared" si="326"/>
        <v>1.8230806789662813E-3</v>
      </c>
      <c r="N414">
        <f t="shared" si="327"/>
        <v>-1.5707963250000001</v>
      </c>
      <c r="O414">
        <f t="shared" si="328"/>
        <v>165.37646052853069</v>
      </c>
      <c r="P414">
        <f t="shared" si="329"/>
        <v>1.5647494801585067</v>
      </c>
      <c r="Q414">
        <f t="shared" si="330"/>
        <v>257.10988717714093</v>
      </c>
      <c r="R414">
        <f t="shared" si="331"/>
        <v>1.5669069294161377</v>
      </c>
      <c r="S414">
        <f t="shared" si="332"/>
        <v>0.11970495551818587</v>
      </c>
      <c r="T414">
        <f t="shared" si="333"/>
        <v>-1.4508036310902848</v>
      </c>
      <c r="U414">
        <f t="shared" si="334"/>
        <v>0.19188391966772045</v>
      </c>
      <c r="V414">
        <f t="shared" si="335"/>
        <v>-1.3777149489678746</v>
      </c>
      <c r="X414">
        <f t="shared" si="352"/>
        <v>-47.469549838755292</v>
      </c>
      <c r="Y414">
        <f t="shared" si="336"/>
        <v>-169.41265085485102</v>
      </c>
      <c r="Z414">
        <f t="shared" si="353"/>
        <v>10.587349145148977</v>
      </c>
      <c r="AC414">
        <v>1</v>
      </c>
      <c r="AD414">
        <f t="shared" si="337"/>
        <v>165.373437096</v>
      </c>
      <c r="AE414">
        <f t="shared" si="338"/>
        <v>-0.1558607923458093</v>
      </c>
      <c r="AF414">
        <f t="shared" si="339"/>
        <v>3.0473448704999996E-2</v>
      </c>
      <c r="AG414">
        <f t="shared" si="315"/>
        <v>193.63213246552746</v>
      </c>
      <c r="AH414">
        <f t="shared" si="316"/>
        <v>-1023.1745639137309</v>
      </c>
      <c r="AJ414">
        <f t="shared" si="340"/>
        <v>18000</v>
      </c>
      <c r="AK414">
        <f t="shared" si="341"/>
        <v>149288.482728</v>
      </c>
      <c r="AL414">
        <v>1</v>
      </c>
      <c r="AM414">
        <f t="shared" si="342"/>
        <v>257.10794247600001</v>
      </c>
      <c r="AN414">
        <f t="shared" si="317"/>
        <v>580.90866971847993</v>
      </c>
      <c r="AO414">
        <f t="shared" si="318"/>
        <v>-67.750109788644593</v>
      </c>
      <c r="AQ414">
        <f t="shared" si="343"/>
        <v>2.4999993750001561E-3</v>
      </c>
      <c r="AR414">
        <f t="shared" si="344"/>
        <v>-4.9999987500003122</v>
      </c>
      <c r="AT414">
        <f t="shared" si="365"/>
        <v>-5115.3874603906261</v>
      </c>
      <c r="AU414">
        <f t="shared" si="366"/>
        <v>-970.71835605783247</v>
      </c>
      <c r="AV414">
        <f t="shared" si="354"/>
        <v>-2.954058122440828</v>
      </c>
      <c r="AW414">
        <f t="shared" si="355"/>
        <v>450.13138010233394</v>
      </c>
      <c r="AX414">
        <f t="shared" si="356"/>
        <v>-4177.0398077869459</v>
      </c>
      <c r="AY414">
        <f t="shared" si="364"/>
        <v>-1.4634473438735025</v>
      </c>
      <c r="BA414">
        <f t="shared" si="345"/>
        <v>1.2393238863563631</v>
      </c>
      <c r="BB414">
        <f t="shared" si="357"/>
        <v>1.8636964047664257</v>
      </c>
      <c r="BC414">
        <f t="shared" si="358"/>
        <v>-1.4906107785673255</v>
      </c>
      <c r="BD414">
        <f t="shared" si="346"/>
        <v>-265.40570660620767</v>
      </c>
      <c r="BF414">
        <f t="shared" si="347"/>
        <v>-50.616834831249527</v>
      </c>
      <c r="BG414">
        <f t="shared" si="348"/>
        <v>-182.18687572295599</v>
      </c>
      <c r="BH414">
        <f t="shared" si="359"/>
        <v>-2.186875722955989</v>
      </c>
      <c r="BI414">
        <f t="shared" si="360"/>
        <v>-2.186875722955989</v>
      </c>
      <c r="BJ414">
        <f t="shared" si="349"/>
        <v>0</v>
      </c>
      <c r="BK414">
        <f t="shared" si="361"/>
        <v>0</v>
      </c>
      <c r="BM414">
        <f t="shared" si="362"/>
        <v>-52.480531236015949</v>
      </c>
      <c r="BN414">
        <f t="shared" si="350"/>
        <v>-96.781169116748302</v>
      </c>
      <c r="BQ414" s="56">
        <f t="shared" si="363"/>
        <v>18.765657205051561</v>
      </c>
    </row>
    <row r="415" spans="1:81" x14ac:dyDescent="0.25">
      <c r="A415">
        <f t="shared" si="319"/>
        <v>1005000</v>
      </c>
      <c r="B415">
        <f t="shared" si="351"/>
        <v>1005</v>
      </c>
      <c r="C415">
        <f t="shared" si="320"/>
        <v>8.395045342537701</v>
      </c>
      <c r="D415">
        <f t="shared" si="321"/>
        <v>1.4513949379430691</v>
      </c>
      <c r="F415">
        <f t="shared" si="322"/>
        <v>1.8778552332158121E-5</v>
      </c>
      <c r="G415">
        <f t="shared" si="323"/>
        <v>1.6308114699979681E-3</v>
      </c>
      <c r="H415">
        <f t="shared" si="324"/>
        <v>-3.1399618385300023</v>
      </c>
      <c r="J415">
        <f t="shared" si="325"/>
        <v>15</v>
      </c>
      <c r="M415">
        <f t="shared" si="326"/>
        <v>1.8140106258370961E-3</v>
      </c>
      <c r="N415">
        <f t="shared" si="327"/>
        <v>-1.5707963250000001</v>
      </c>
      <c r="O415">
        <f t="shared" si="328"/>
        <v>166.20331267233078</v>
      </c>
      <c r="P415">
        <f t="shared" si="329"/>
        <v>1.5647795632447565</v>
      </c>
      <c r="Q415">
        <f t="shared" si="330"/>
        <v>258.39541721446346</v>
      </c>
      <c r="R415">
        <f t="shared" si="331"/>
        <v>1.5669262794581613</v>
      </c>
      <c r="S415">
        <f t="shared" si="332"/>
        <v>0.11911787955843424</v>
      </c>
      <c r="T415">
        <f t="shared" si="333"/>
        <v>-1.4513949379430691</v>
      </c>
      <c r="U415">
        <f t="shared" si="334"/>
        <v>0.19096417053471904</v>
      </c>
      <c r="V415">
        <f t="shared" si="335"/>
        <v>-1.378652027121815</v>
      </c>
      <c r="X415">
        <f t="shared" si="352"/>
        <v>-47.554608641621002</v>
      </c>
      <c r="Y415">
        <f t="shared" si="336"/>
        <v>-169.46397637860588</v>
      </c>
      <c r="Z415">
        <f t="shared" si="353"/>
        <v>10.536023621394122</v>
      </c>
      <c r="AC415">
        <v>1</v>
      </c>
      <c r="AD415">
        <f t="shared" si="337"/>
        <v>166.20030428148002</v>
      </c>
      <c r="AE415">
        <f t="shared" si="338"/>
        <v>-0.15742329678907604</v>
      </c>
      <c r="AF415">
        <f t="shared" si="339"/>
        <v>3.0625815948524999E-2</v>
      </c>
      <c r="AG415">
        <f t="shared" si="315"/>
        <v>191.78032369020946</v>
      </c>
      <c r="AH415">
        <f t="shared" si="316"/>
        <v>-1018.4444021675486</v>
      </c>
      <c r="AJ415">
        <f t="shared" si="340"/>
        <v>18000</v>
      </c>
      <c r="AK415">
        <f t="shared" si="341"/>
        <v>150034.92514164001</v>
      </c>
      <c r="AL415">
        <v>1</v>
      </c>
      <c r="AM415">
        <f t="shared" si="342"/>
        <v>258.39348218838001</v>
      </c>
      <c r="AN415">
        <f t="shared" si="317"/>
        <v>580.90605430556707</v>
      </c>
      <c r="AO415">
        <f t="shared" si="318"/>
        <v>-67.413054687637825</v>
      </c>
      <c r="AQ415">
        <f t="shared" si="343"/>
        <v>2.4751856451113476E-3</v>
      </c>
      <c r="AR415">
        <f t="shared" si="344"/>
        <v>-4.9751231466738082</v>
      </c>
      <c r="AT415">
        <f t="shared" si="365"/>
        <v>-5066.4116269199267</v>
      </c>
      <c r="AU415">
        <f t="shared" si="366"/>
        <v>-956.65156643234548</v>
      </c>
      <c r="AV415">
        <f t="shared" si="354"/>
        <v>-2.9549676050700886</v>
      </c>
      <c r="AW415">
        <f t="shared" si="355"/>
        <v>451.50157557749662</v>
      </c>
      <c r="AX415">
        <f t="shared" si="356"/>
        <v>-4156.6285270795242</v>
      </c>
      <c r="AY415">
        <f t="shared" si="364"/>
        <v>-1.4625984640580678</v>
      </c>
      <c r="BA415">
        <f t="shared" si="345"/>
        <v>1.233160210711751</v>
      </c>
      <c r="BB415">
        <f t="shared" si="357"/>
        <v>1.8203900657033283</v>
      </c>
      <c r="BC415">
        <f t="shared" si="358"/>
        <v>-1.4923691410120208</v>
      </c>
      <c r="BD415">
        <f t="shared" si="346"/>
        <v>-265.50645335325817</v>
      </c>
      <c r="BF415">
        <f t="shared" si="347"/>
        <v>-50.704081654503206</v>
      </c>
      <c r="BG415">
        <f t="shared" si="348"/>
        <v>-182.2542102929263</v>
      </c>
      <c r="BH415">
        <f t="shared" si="359"/>
        <v>-2.2542102929263024</v>
      </c>
      <c r="BI415">
        <f t="shared" si="360"/>
        <v>-2.2542102929263024</v>
      </c>
      <c r="BJ415">
        <f t="shared" si="349"/>
        <v>0</v>
      </c>
      <c r="BK415">
        <f t="shared" si="361"/>
        <v>0</v>
      </c>
      <c r="BM415">
        <f t="shared" si="362"/>
        <v>-52.524471720206535</v>
      </c>
      <c r="BN415">
        <f t="shared" si="350"/>
        <v>-96.747756939668164</v>
      </c>
      <c r="BQ415" s="56">
        <f t="shared" si="363"/>
        <v>18.722350865988464</v>
      </c>
    </row>
    <row r="416" spans="1:81" x14ac:dyDescent="0.25">
      <c r="A416">
        <f t="shared" si="319"/>
        <v>1010000</v>
      </c>
      <c r="B416">
        <f t="shared" si="351"/>
        <v>1010</v>
      </c>
      <c r="C416">
        <f t="shared" si="320"/>
        <v>8.4362205571944973</v>
      </c>
      <c r="D416">
        <f t="shared" si="321"/>
        <v>1.4519804729386885</v>
      </c>
      <c r="F416">
        <f t="shared" si="322"/>
        <v>1.8593083060485495E-5</v>
      </c>
      <c r="G416">
        <f t="shared" si="323"/>
        <v>1.6227378573641059E-3</v>
      </c>
      <c r="H416">
        <f t="shared" si="324"/>
        <v>-3.1399699121426363</v>
      </c>
      <c r="J416">
        <f t="shared" si="325"/>
        <v>15</v>
      </c>
      <c r="M416">
        <f t="shared" si="326"/>
        <v>1.8050303752141401E-3</v>
      </c>
      <c r="N416">
        <f t="shared" si="327"/>
        <v>-1.5707963250000001</v>
      </c>
      <c r="O416">
        <f t="shared" si="328"/>
        <v>167.03016496505433</v>
      </c>
      <c r="P416">
        <f t="shared" si="329"/>
        <v>1.5648093484893968</v>
      </c>
      <c r="Q416">
        <f t="shared" si="330"/>
        <v>259.68094734757767</v>
      </c>
      <c r="R416">
        <f t="shared" si="331"/>
        <v>1.5669454379184657</v>
      </c>
      <c r="S416">
        <f t="shared" si="332"/>
        <v>0.11853649311565118</v>
      </c>
      <c r="T416">
        <f t="shared" si="333"/>
        <v>-1.4519804729386885</v>
      </c>
      <c r="U416">
        <f t="shared" si="334"/>
        <v>0.19005303202239457</v>
      </c>
      <c r="V416">
        <f t="shared" si="335"/>
        <v>-1.3795801640090106</v>
      </c>
      <c r="X416">
        <f t="shared" si="352"/>
        <v>-47.639260349211838</v>
      </c>
      <c r="Y416">
        <f t="shared" si="336"/>
        <v>-169.51481302131296</v>
      </c>
      <c r="Z416">
        <f t="shared" si="353"/>
        <v>10.48518697868704</v>
      </c>
      <c r="AC416">
        <v>1</v>
      </c>
      <c r="AD416">
        <f t="shared" si="337"/>
        <v>167.02717146696</v>
      </c>
      <c r="AE416">
        <f t="shared" si="338"/>
        <v>-0.15899359427196005</v>
      </c>
      <c r="AF416">
        <f t="shared" si="339"/>
        <v>3.0778183192049998E-2</v>
      </c>
      <c r="AG416">
        <f t="shared" si="315"/>
        <v>189.95462437062017</v>
      </c>
      <c r="AH416">
        <f t="shared" si="316"/>
        <v>-1013.7560194041707</v>
      </c>
      <c r="AJ416">
        <f t="shared" si="340"/>
        <v>18000</v>
      </c>
      <c r="AK416">
        <f t="shared" si="341"/>
        <v>150781.36755528001</v>
      </c>
      <c r="AL416">
        <v>1</v>
      </c>
      <c r="AM416">
        <f t="shared" si="342"/>
        <v>259.67902190075995</v>
      </c>
      <c r="AN416">
        <f t="shared" si="317"/>
        <v>580.90347763842692</v>
      </c>
      <c r="AO416">
        <f t="shared" si="318"/>
        <v>-67.079336616642564</v>
      </c>
      <c r="AQ416">
        <f t="shared" si="343"/>
        <v>2.4507395229047342E-3</v>
      </c>
      <c r="AR416">
        <f t="shared" si="344"/>
        <v>-4.9504938362675626</v>
      </c>
      <c r="AT416">
        <f t="shared" si="365"/>
        <v>-5018.1273962339828</v>
      </c>
      <c r="AU416">
        <f t="shared" si="366"/>
        <v>-942.85364906061159</v>
      </c>
      <c r="AV416">
        <f t="shared" si="354"/>
        <v>-2.9558684196448977</v>
      </c>
      <c r="AW416">
        <f t="shared" si="355"/>
        <v>452.85005881573699</v>
      </c>
      <c r="AX416">
        <f t="shared" si="356"/>
        <v>-4136.4141575702179</v>
      </c>
      <c r="AY416">
        <f t="shared" si="364"/>
        <v>-1.4617517023386191</v>
      </c>
      <c r="BA416">
        <f t="shared" si="345"/>
        <v>1.227055259201667</v>
      </c>
      <c r="BB416">
        <f t="shared" si="357"/>
        <v>1.7772824236675517</v>
      </c>
      <c r="BC416">
        <f t="shared" si="358"/>
        <v>-1.4941167173062786</v>
      </c>
      <c r="BD416">
        <f t="shared" si="346"/>
        <v>-265.60658209941067</v>
      </c>
      <c r="BF416">
        <f t="shared" si="347"/>
        <v>-50.790905698067746</v>
      </c>
      <c r="BG416">
        <f t="shared" si="348"/>
        <v>-182.32125293896414</v>
      </c>
      <c r="BH416">
        <f t="shared" si="359"/>
        <v>-2.3212529389641361</v>
      </c>
      <c r="BI416">
        <f t="shared" si="360"/>
        <v>-2.3212529389641361</v>
      </c>
      <c r="BJ416">
        <f t="shared" si="349"/>
        <v>0</v>
      </c>
      <c r="BK416">
        <f t="shared" si="361"/>
        <v>0</v>
      </c>
      <c r="BM416">
        <f t="shared" si="362"/>
        <v>-52.568188121735304</v>
      </c>
      <c r="BN416">
        <f t="shared" si="350"/>
        <v>-96.714670839553506</v>
      </c>
      <c r="BQ416" s="56">
        <f t="shared" si="363"/>
        <v>18.679243223952689</v>
      </c>
    </row>
    <row r="417" spans="1:69" x14ac:dyDescent="0.25">
      <c r="A417">
        <f t="shared" si="319"/>
        <v>1015000</v>
      </c>
      <c r="B417">
        <f t="shared" si="351"/>
        <v>1015</v>
      </c>
      <c r="C417">
        <f t="shared" si="320"/>
        <v>8.4773986361225173</v>
      </c>
      <c r="D417">
        <f t="shared" si="321"/>
        <v>1.4525603197812673</v>
      </c>
      <c r="F417">
        <f t="shared" si="322"/>
        <v>1.8410348020292511E-5</v>
      </c>
      <c r="G417">
        <f t="shared" si="323"/>
        <v>1.6147437919444051E-3</v>
      </c>
      <c r="H417">
        <f t="shared" si="324"/>
        <v>-3.1399779062080557</v>
      </c>
      <c r="J417">
        <f t="shared" si="325"/>
        <v>15</v>
      </c>
      <c r="M417">
        <f t="shared" si="326"/>
        <v>1.7961385999667799E-3</v>
      </c>
      <c r="N417">
        <f t="shared" si="327"/>
        <v>-1.5707963250000001</v>
      </c>
      <c r="O417">
        <f t="shared" si="328"/>
        <v>167.85701740450062</v>
      </c>
      <c r="P417">
        <f t="shared" si="329"/>
        <v>1.5648388402938174</v>
      </c>
      <c r="Q417">
        <f t="shared" si="330"/>
        <v>260.96647757506776</v>
      </c>
      <c r="R417">
        <f t="shared" si="331"/>
        <v>1.5669644076282521</v>
      </c>
      <c r="S417">
        <f t="shared" si="332"/>
        <v>0.11796071447424476</v>
      </c>
      <c r="T417">
        <f t="shared" si="333"/>
        <v>-1.4525603197812673</v>
      </c>
      <c r="U417">
        <f t="shared" si="334"/>
        <v>0.18915038614185287</v>
      </c>
      <c r="V417">
        <f t="shared" si="335"/>
        <v>-1.380499485416987</v>
      </c>
      <c r="X417">
        <f t="shared" si="352"/>
        <v>-47.723508771807758</v>
      </c>
      <c r="Y417">
        <f t="shared" si="336"/>
        <v>-169.56516764404043</v>
      </c>
      <c r="Z417">
        <f t="shared" si="353"/>
        <v>10.434832355959571</v>
      </c>
      <c r="AC417">
        <v>1</v>
      </c>
      <c r="AD417">
        <f t="shared" si="337"/>
        <v>167.85403865244001</v>
      </c>
      <c r="AE417">
        <f t="shared" si="338"/>
        <v>-0.16057168479446135</v>
      </c>
      <c r="AF417">
        <f t="shared" si="339"/>
        <v>3.0930550435574997E-2</v>
      </c>
      <c r="AG417">
        <f t="shared" si="315"/>
        <v>188.15455221702291</v>
      </c>
      <c r="AH417">
        <f t="shared" si="316"/>
        <v>-1009.1088911025578</v>
      </c>
      <c r="AJ417">
        <f t="shared" si="340"/>
        <v>18000</v>
      </c>
      <c r="AK417">
        <f t="shared" si="341"/>
        <v>151527.80996892002</v>
      </c>
      <c r="AL417">
        <v>1</v>
      </c>
      <c r="AM417">
        <f t="shared" si="342"/>
        <v>260.96456161313995</v>
      </c>
      <c r="AN417">
        <f t="shared" si="317"/>
        <v>580.90093895549785</v>
      </c>
      <c r="AO417">
        <f t="shared" si="318"/>
        <v>-66.748906262862562</v>
      </c>
      <c r="AQ417">
        <f t="shared" si="343"/>
        <v>2.4266537827528495E-3</v>
      </c>
      <c r="AR417">
        <f t="shared" si="344"/>
        <v>-4.9261071789882847</v>
      </c>
      <c r="AT417">
        <f t="shared" si="365"/>
        <v>-4970.521966885337</v>
      </c>
      <c r="AU417">
        <f t="shared" si="366"/>
        <v>-929.31824834340625</v>
      </c>
      <c r="AV417">
        <f t="shared" si="354"/>
        <v>-2.9567606879153705</v>
      </c>
      <c r="AW417">
        <f t="shared" si="355"/>
        <v>454.17728957058114</v>
      </c>
      <c r="AX417">
        <f t="shared" si="356"/>
        <v>-4116.393884212006</v>
      </c>
      <c r="AY417">
        <f t="shared" si="364"/>
        <v>-1.4609070242842015</v>
      </c>
      <c r="BA417">
        <f t="shared" si="345"/>
        <v>1.2210081987116828</v>
      </c>
      <c r="BB417">
        <f t="shared" si="357"/>
        <v>1.7343716022930324</v>
      </c>
      <c r="BC417">
        <f t="shared" si="358"/>
        <v>-1.495853663631169</v>
      </c>
      <c r="BD417">
        <f t="shared" si="346"/>
        <v>-265.70610179318135</v>
      </c>
      <c r="BF417">
        <f t="shared" si="347"/>
        <v>-50.877311138286558</v>
      </c>
      <c r="BG417">
        <f t="shared" si="348"/>
        <v>-182.38800788206333</v>
      </c>
      <c r="BH417">
        <f t="shared" si="359"/>
        <v>-2.3880078820633344</v>
      </c>
      <c r="BI417">
        <f t="shared" si="360"/>
        <v>-2.3880078820633344</v>
      </c>
      <c r="BJ417">
        <f t="shared" si="349"/>
        <v>0</v>
      </c>
      <c r="BK417">
        <f t="shared" si="361"/>
        <v>0</v>
      </c>
      <c r="BM417">
        <f t="shared" si="362"/>
        <v>-52.611682740579589</v>
      </c>
      <c r="BN417">
        <f t="shared" si="350"/>
        <v>-96.681906088881988</v>
      </c>
      <c r="BQ417" s="56">
        <f t="shared" si="363"/>
        <v>18.636332402578169</v>
      </c>
    </row>
    <row r="418" spans="1:69" x14ac:dyDescent="0.25">
      <c r="A418">
        <f t="shared" si="319"/>
        <v>1020000</v>
      </c>
      <c r="B418">
        <f t="shared" si="351"/>
        <v>1020</v>
      </c>
      <c r="C418">
        <f t="shared" si="320"/>
        <v>8.5185795377848432</v>
      </c>
      <c r="D418">
        <f t="shared" si="321"/>
        <v>1.453134560571814</v>
      </c>
      <c r="F418">
        <f t="shared" si="322"/>
        <v>1.8230293729289982E-5</v>
      </c>
      <c r="G418">
        <f t="shared" si="323"/>
        <v>1.6068281038445088E-3</v>
      </c>
      <c r="H418">
        <f t="shared" si="324"/>
        <v>-3.1399858218961558</v>
      </c>
      <c r="J418">
        <f t="shared" si="325"/>
        <v>15</v>
      </c>
      <c r="M418">
        <f t="shared" si="326"/>
        <v>1.7873339989865505E-3</v>
      </c>
      <c r="N418">
        <f t="shared" si="327"/>
        <v>-1.5707963250000001</v>
      </c>
      <c r="O418">
        <f t="shared" si="328"/>
        <v>168.68386998851207</v>
      </c>
      <c r="P418">
        <f t="shared" si="329"/>
        <v>1.5648680429731123</v>
      </c>
      <c r="Q418">
        <f t="shared" si="330"/>
        <v>262.25200789554594</v>
      </c>
      <c r="R418">
        <f t="shared" si="331"/>
        <v>1.5669831913632088</v>
      </c>
      <c r="S418">
        <f t="shared" si="332"/>
        <v>0.11739046346452717</v>
      </c>
      <c r="T418">
        <f t="shared" si="333"/>
        <v>-1.4531345605718138</v>
      </c>
      <c r="U418">
        <f t="shared" si="334"/>
        <v>0.18825611700447964</v>
      </c>
      <c r="V418">
        <f t="shared" si="335"/>
        <v>-1.3814101148147098</v>
      </c>
      <c r="X418">
        <f t="shared" si="352"/>
        <v>-47.807357667376252</v>
      </c>
      <c r="Y418">
        <f t="shared" si="336"/>
        <v>-169.61504698179692</v>
      </c>
      <c r="Z418">
        <f t="shared" si="353"/>
        <v>10.384953018203078</v>
      </c>
      <c r="AC418">
        <v>1</v>
      </c>
      <c r="AD418">
        <f t="shared" si="337"/>
        <v>168.68090583791999</v>
      </c>
      <c r="AE418">
        <f t="shared" si="338"/>
        <v>-0.16215756835657996</v>
      </c>
      <c r="AF418">
        <f t="shared" si="339"/>
        <v>3.1082917679100003E-2</v>
      </c>
      <c r="AG418">
        <f t="shared" si="315"/>
        <v>186.37963587613638</v>
      </c>
      <c r="AH418">
        <f t="shared" si="316"/>
        <v>-1004.5025009300582</v>
      </c>
      <c r="AJ418">
        <f t="shared" si="340"/>
        <v>18000</v>
      </c>
      <c r="AK418">
        <f t="shared" si="341"/>
        <v>152274.25238256002</v>
      </c>
      <c r="AL418">
        <v>1</v>
      </c>
      <c r="AM418">
        <f t="shared" si="342"/>
        <v>262.25010132551995</v>
      </c>
      <c r="AN418">
        <f t="shared" si="317"/>
        <v>580.89843751383864</v>
      </c>
      <c r="AO418">
        <f t="shared" si="318"/>
        <v>-66.421715280348238</v>
      </c>
      <c r="AQ418">
        <f t="shared" si="343"/>
        <v>2.402921375691711E-3</v>
      </c>
      <c r="AR418">
        <f t="shared" si="344"/>
        <v>-4.90195960641109</v>
      </c>
      <c r="AT418">
        <f t="shared" si="365"/>
        <v>-4923.5828284870231</v>
      </c>
      <c r="AU418">
        <f t="shared" si="366"/>
        <v>-916.03918705384842</v>
      </c>
      <c r="AV418">
        <f t="shared" si="354"/>
        <v>-2.9576445293922227</v>
      </c>
      <c r="AW418">
        <f t="shared" si="355"/>
        <v>455.48371544224892</v>
      </c>
      <c r="AX418">
        <f t="shared" si="356"/>
        <v>-4096.5649450193305</v>
      </c>
      <c r="AY418">
        <f t="shared" si="364"/>
        <v>-1.4600643962783706</v>
      </c>
      <c r="BA418">
        <f t="shared" si="345"/>
        <v>1.2150182116336761</v>
      </c>
      <c r="BB418">
        <f t="shared" si="357"/>
        <v>1.69165575050122</v>
      </c>
      <c r="BC418">
        <f t="shared" si="358"/>
        <v>-1.4975801331138521</v>
      </c>
      <c r="BD418">
        <f t="shared" si="346"/>
        <v>-265.80502120811025</v>
      </c>
      <c r="BF418">
        <f t="shared" si="347"/>
        <v>-50.963302090654601</v>
      </c>
      <c r="BG418">
        <f t="shared" si="348"/>
        <v>-182.45447925875268</v>
      </c>
      <c r="BH418">
        <f t="shared" si="359"/>
        <v>-2.4544792587526842</v>
      </c>
      <c r="BI418">
        <f t="shared" si="360"/>
        <v>-2.4544792587526842</v>
      </c>
      <c r="BJ418">
        <f t="shared" si="349"/>
        <v>0</v>
      </c>
      <c r="BK418">
        <f t="shared" si="361"/>
        <v>0</v>
      </c>
      <c r="BM418">
        <f t="shared" si="362"/>
        <v>-52.65495784115582</v>
      </c>
      <c r="BN418">
        <f t="shared" si="350"/>
        <v>-96.649458050642394</v>
      </c>
      <c r="BQ418" s="56">
        <f t="shared" si="363"/>
        <v>18.593616550786358</v>
      </c>
    </row>
    <row r="419" spans="1:69" x14ac:dyDescent="0.25">
      <c r="A419">
        <f t="shared" si="319"/>
        <v>1025000</v>
      </c>
      <c r="B419">
        <f t="shared" si="351"/>
        <v>1025</v>
      </c>
      <c r="C419">
        <f t="shared" si="320"/>
        <v>8.5597632214410684</v>
      </c>
      <c r="D419">
        <f t="shared" si="321"/>
        <v>1.4537032758462352</v>
      </c>
      <c r="F419">
        <f t="shared" si="322"/>
        <v>1.8052868006489628E-5</v>
      </c>
      <c r="G419">
        <f t="shared" si="323"/>
        <v>1.5989896459992618E-3</v>
      </c>
      <c r="H419">
        <f t="shared" si="324"/>
        <v>-3.1399936603540008</v>
      </c>
      <c r="J419">
        <f t="shared" si="325"/>
        <v>15</v>
      </c>
      <c r="M419">
        <f t="shared" si="326"/>
        <v>1.77861529655247E-3</v>
      </c>
      <c r="N419">
        <f t="shared" si="327"/>
        <v>-1.5707963250000001</v>
      </c>
      <c r="O419">
        <f t="shared" si="328"/>
        <v>169.5107227149731</v>
      </c>
      <c r="P419">
        <f t="shared" si="329"/>
        <v>1.5648969607581831</v>
      </c>
      <c r="Q419">
        <f t="shared" si="330"/>
        <v>263.53753830765152</v>
      </c>
      <c r="R419">
        <f t="shared" si="331"/>
        <v>1.5670017918448664</v>
      </c>
      <c r="S419">
        <f t="shared" si="332"/>
        <v>0.11682566142660739</v>
      </c>
      <c r="T419">
        <f t="shared" si="333"/>
        <v>-1.4537032758462352</v>
      </c>
      <c r="U419">
        <f t="shared" si="334"/>
        <v>0.18737011077652138</v>
      </c>
      <c r="V419">
        <f t="shared" si="335"/>
        <v>-1.3823121734050521</v>
      </c>
      <c r="X419">
        <f t="shared" si="352"/>
        <v>-47.890810742508719</v>
      </c>
      <c r="Y419">
        <f t="shared" si="336"/>
        <v>-169.66445764637263</v>
      </c>
      <c r="Z419">
        <f t="shared" si="353"/>
        <v>10.335542353627375</v>
      </c>
      <c r="AC419">
        <v>1</v>
      </c>
      <c r="AD419">
        <f t="shared" si="337"/>
        <v>169.50777302340001</v>
      </c>
      <c r="AE419">
        <f t="shared" si="338"/>
        <v>-0.16375124495831586</v>
      </c>
      <c r="AF419">
        <f t="shared" si="339"/>
        <v>3.1235284922625003E-2</v>
      </c>
      <c r="AG419">
        <f t="shared" si="315"/>
        <v>184.62941463910136</v>
      </c>
      <c r="AH419">
        <f t="shared" si="316"/>
        <v>-999.93634059839769</v>
      </c>
      <c r="AJ419">
        <f t="shared" si="340"/>
        <v>18000</v>
      </c>
      <c r="AK419">
        <f t="shared" si="341"/>
        <v>153020.6947962</v>
      </c>
      <c r="AL419">
        <v>1</v>
      </c>
      <c r="AM419">
        <f t="shared" si="342"/>
        <v>263.53564103790001</v>
      </c>
      <c r="AN419">
        <f t="shared" si="317"/>
        <v>580.89597258858225</v>
      </c>
      <c r="AO419">
        <f t="shared" si="318"/>
        <v>-66.097716266416938</v>
      </c>
      <c r="AQ419">
        <f t="shared" si="343"/>
        <v>2.3795354242628379E-3</v>
      </c>
      <c r="AR419">
        <f t="shared" si="344"/>
        <v>-4.8780476197388172</v>
      </c>
      <c r="AT419">
        <f t="shared" si="365"/>
        <v>-4877.2977539138619</v>
      </c>
      <c r="AU419">
        <f t="shared" si="366"/>
        <v>-903.01046055850111</v>
      </c>
      <c r="AV419">
        <f t="shared" si="354"/>
        <v>-2.9585200613973051</v>
      </c>
      <c r="AW419">
        <f t="shared" si="355"/>
        <v>456.76977226158647</v>
      </c>
      <c r="AX419">
        <f t="shared" si="356"/>
        <v>-4076.9246298303879</v>
      </c>
      <c r="AY419">
        <f t="shared" si="364"/>
        <v>-1.4592237854958232</v>
      </c>
      <c r="BA419">
        <f t="shared" si="345"/>
        <v>1.2090844955116975</v>
      </c>
      <c r="BB419">
        <f t="shared" si="357"/>
        <v>1.6491330420660395</v>
      </c>
      <c r="BC419">
        <f t="shared" si="358"/>
        <v>-1.4992962759014818</v>
      </c>
      <c r="BD419">
        <f t="shared" si="346"/>
        <v>-265.90334894699561</v>
      </c>
      <c r="BF419">
        <f t="shared" si="347"/>
        <v>-51.048882610987995</v>
      </c>
      <c r="BG419">
        <f t="shared" si="348"/>
        <v>-182.52067112318477</v>
      </c>
      <c r="BH419">
        <f t="shared" si="359"/>
        <v>-2.5206711231847692</v>
      </c>
      <c r="BI419">
        <f t="shared" si="360"/>
        <v>-2.5206711231847692</v>
      </c>
      <c r="BJ419">
        <f t="shared" si="349"/>
        <v>0</v>
      </c>
      <c r="BK419">
        <f t="shared" si="361"/>
        <v>0</v>
      </c>
      <c r="BM419">
        <f t="shared" si="362"/>
        <v>-52.698015653054036</v>
      </c>
      <c r="BN419">
        <f t="shared" si="350"/>
        <v>-96.617322176189134</v>
      </c>
      <c r="BQ419" s="56">
        <f t="shared" si="363"/>
        <v>18.551093842351175</v>
      </c>
    </row>
    <row r="420" spans="1:69" x14ac:dyDescent="0.25">
      <c r="A420">
        <f t="shared" si="319"/>
        <v>1030000</v>
      </c>
      <c r="B420">
        <f t="shared" si="351"/>
        <v>1030</v>
      </c>
      <c r="C420">
        <f t="shared" si="320"/>
        <v>8.6009496471283651</v>
      </c>
      <c r="D420">
        <f t="shared" si="321"/>
        <v>1.4542665446122776</v>
      </c>
      <c r="F420">
        <f t="shared" si="322"/>
        <v>1.7878019934392913E-5</v>
      </c>
      <c r="G420">
        <f t="shared" si="323"/>
        <v>1.5912272936185463E-3</v>
      </c>
      <c r="H420">
        <f t="shared" si="324"/>
        <v>-3.1400014227063817</v>
      </c>
      <c r="J420">
        <f t="shared" si="325"/>
        <v>15</v>
      </c>
      <c r="M420">
        <f t="shared" si="326"/>
        <v>1.7699812417148364E-3</v>
      </c>
      <c r="N420">
        <f t="shared" si="327"/>
        <v>-1.5707963250000001</v>
      </c>
      <c r="O420">
        <f t="shared" si="328"/>
        <v>170.33757558180932</v>
      </c>
      <c r="P420">
        <f t="shared" si="329"/>
        <v>1.5649255977977825</v>
      </c>
      <c r="Q420">
        <f t="shared" si="330"/>
        <v>264.82306881005002</v>
      </c>
      <c r="R420">
        <f t="shared" si="331"/>
        <v>1.5670202117419112</v>
      </c>
      <c r="S420">
        <f t="shared" si="332"/>
        <v>0.11626623117528358</v>
      </c>
      <c r="T420">
        <f t="shared" si="333"/>
        <v>-1.4542665446122776</v>
      </c>
      <c r="U420">
        <f t="shared" si="334"/>
        <v>0.18649225563480673</v>
      </c>
      <c r="V420">
        <f t="shared" si="335"/>
        <v>-1.3832057801758653</v>
      </c>
      <c r="X420">
        <f t="shared" si="352"/>
        <v>-47.973871653336303</v>
      </c>
      <c r="Y420">
        <f t="shared" si="336"/>
        <v>-169.71340612910444</v>
      </c>
      <c r="Z420">
        <f t="shared" si="353"/>
        <v>10.286593870895558</v>
      </c>
      <c r="AC420">
        <v>1</v>
      </c>
      <c r="AD420">
        <f t="shared" si="337"/>
        <v>170.33464020888002</v>
      </c>
      <c r="AE420">
        <f t="shared" si="338"/>
        <v>-0.16535271459966905</v>
      </c>
      <c r="AF420">
        <f t="shared" si="339"/>
        <v>3.1387652166149999E-2</v>
      </c>
      <c r="AG420">
        <f t="shared" si="315"/>
        <v>182.90343815836445</v>
      </c>
      <c r="AH420">
        <f t="shared" si="316"/>
        <v>-995.40990972217026</v>
      </c>
      <c r="AJ420">
        <f t="shared" si="340"/>
        <v>18000</v>
      </c>
      <c r="AK420">
        <f t="shared" si="341"/>
        <v>153767.13720984</v>
      </c>
      <c r="AL420">
        <v>1</v>
      </c>
      <c r="AM420">
        <f t="shared" si="342"/>
        <v>264.82118075028001</v>
      </c>
      <c r="AN420">
        <f t="shared" si="317"/>
        <v>580.89354347241385</v>
      </c>
      <c r="AO420">
        <f t="shared" si="318"/>
        <v>-65.776862738760244</v>
      </c>
      <c r="AQ420">
        <f t="shared" si="343"/>
        <v>2.3564892175301118E-3</v>
      </c>
      <c r="AR420">
        <f t="shared" si="344"/>
        <v>-4.8543677881120306</v>
      </c>
      <c r="AT420">
        <f t="shared" si="365"/>
        <v>-4831.654791742938</v>
      </c>
      <c r="AU420">
        <f t="shared" si="366"/>
        <v>-890.22623125018811</v>
      </c>
      <c r="AV420">
        <f t="shared" si="354"/>
        <v>-2.9593873991128028</v>
      </c>
      <c r="AW420">
        <f t="shared" si="355"/>
        <v>458.03588445993881</v>
      </c>
      <c r="AX420">
        <f t="shared" si="356"/>
        <v>-4057.4702791038053</v>
      </c>
      <c r="AY420">
        <f t="shared" si="364"/>
        <v>-1.4583851598798174</v>
      </c>
      <c r="BA420">
        <f t="shared" si="345"/>
        <v>1.2032062626973272</v>
      </c>
      <c r="BB420">
        <f t="shared" si="357"/>
        <v>1.6068016751875871</v>
      </c>
      <c r="BC420">
        <f t="shared" si="358"/>
        <v>-1.5010022392329854</v>
      </c>
      <c r="BD420">
        <f t="shared" si="346"/>
        <v>-266.00109344600651</v>
      </c>
      <c r="BF420">
        <f t="shared" si="347"/>
        <v>-51.13405669656602</v>
      </c>
      <c r="BG420">
        <f t="shared" si="348"/>
        <v>-182.58658744916403</v>
      </c>
      <c r="BH420">
        <f t="shared" si="359"/>
        <v>-2.5865874491640284</v>
      </c>
      <c r="BI420">
        <f t="shared" si="360"/>
        <v>-2.5865874491640284</v>
      </c>
      <c r="BJ420">
        <f t="shared" si="349"/>
        <v>0</v>
      </c>
      <c r="BK420">
        <f t="shared" si="361"/>
        <v>0</v>
      </c>
      <c r="BM420">
        <f t="shared" si="362"/>
        <v>-52.740858371753617</v>
      </c>
      <c r="BN420">
        <f t="shared" si="350"/>
        <v>-96.585494003157507</v>
      </c>
      <c r="BQ420" s="56">
        <f t="shared" si="363"/>
        <v>18.508762475472725</v>
      </c>
    </row>
    <row r="421" spans="1:69" x14ac:dyDescent="0.25">
      <c r="A421">
        <f t="shared" si="319"/>
        <v>1035000</v>
      </c>
      <c r="B421">
        <f t="shared" si="351"/>
        <v>1035</v>
      </c>
      <c r="C421">
        <f t="shared" si="320"/>
        <v>8.642138775643085</v>
      </c>
      <c r="D421">
        <f t="shared" si="321"/>
        <v>1.4548244443854343</v>
      </c>
      <c r="F421">
        <f t="shared" si="322"/>
        <v>1.7705699822455479E-5</v>
      </c>
      <c r="G421">
        <f t="shared" si="323"/>
        <v>1.5835399436491817E-3</v>
      </c>
      <c r="H421">
        <f t="shared" si="324"/>
        <v>-3.1400091100563512</v>
      </c>
      <c r="J421">
        <f t="shared" si="325"/>
        <v>15</v>
      </c>
      <c r="M421">
        <f t="shared" si="326"/>
        <v>1.7614306076968904E-3</v>
      </c>
      <c r="N421">
        <f t="shared" si="327"/>
        <v>-1.5707963250000001</v>
      </c>
      <c r="O421">
        <f t="shared" si="328"/>
        <v>171.16442858698636</v>
      </c>
      <c r="P421">
        <f t="shared" si="329"/>
        <v>1.564953958160499</v>
      </c>
      <c r="Q421">
        <f t="shared" si="330"/>
        <v>266.10859940143285</v>
      </c>
      <c r="R421">
        <f t="shared" si="331"/>
        <v>1.5670384536714614</v>
      </c>
      <c r="S421">
        <f t="shared" si="332"/>
        <v>0.11571209696590269</v>
      </c>
      <c r="T421">
        <f t="shared" si="333"/>
        <v>-1.4548244443854343</v>
      </c>
      <c r="U421">
        <f t="shared" si="334"/>
        <v>0.18562244172357756</v>
      </c>
      <c r="V421">
        <f t="shared" si="335"/>
        <v>-1.3840910519496916</v>
      </c>
      <c r="X421">
        <f t="shared" si="352"/>
        <v>-48.056544006425838</v>
      </c>
      <c r="Y421">
        <f t="shared" si="336"/>
        <v>-169.76189880356856</v>
      </c>
      <c r="Z421">
        <f t="shared" si="353"/>
        <v>10.238101196431444</v>
      </c>
      <c r="AC421">
        <v>1</v>
      </c>
      <c r="AD421">
        <f t="shared" si="337"/>
        <v>171.16150739436</v>
      </c>
      <c r="AE421">
        <f t="shared" si="338"/>
        <v>-0.16696197728063955</v>
      </c>
      <c r="AF421">
        <f t="shared" si="339"/>
        <v>3.1540019409675005E-2</v>
      </c>
      <c r="AG421">
        <f t="shared" si="315"/>
        <v>181.20126617317493</v>
      </c>
      <c r="AH421">
        <f t="shared" si="316"/>
        <v>-990.92271567979981</v>
      </c>
      <c r="AJ421">
        <f t="shared" si="340"/>
        <v>18000</v>
      </c>
      <c r="AK421">
        <f t="shared" si="341"/>
        <v>154513.57962348001</v>
      </c>
      <c r="AL421">
        <v>1</v>
      </c>
      <c r="AM421">
        <f t="shared" si="342"/>
        <v>266.10672046266001</v>
      </c>
      <c r="AN421">
        <f t="shared" si="317"/>
        <v>580.89114947506073</v>
      </c>
      <c r="AO421">
        <f t="shared" si="318"/>
        <v>-65.459109113214524</v>
      </c>
      <c r="AQ421">
        <f t="shared" si="343"/>
        <v>2.3337762062647423E-3</v>
      </c>
      <c r="AR421">
        <f t="shared" si="344"/>
        <v>-4.8309167469680165</v>
      </c>
      <c r="AT421">
        <f t="shared" si="365"/>
        <v>-4786.6422589250315</v>
      </c>
      <c r="AU421">
        <f t="shared" si="366"/>
        <v>-877.68082318390066</v>
      </c>
      <c r="AV421">
        <f t="shared" si="354"/>
        <v>-2.9602466556291267</v>
      </c>
      <c r="AW421">
        <f t="shared" si="355"/>
        <v>459.28246542554143</v>
      </c>
      <c r="AX421">
        <f t="shared" si="356"/>
        <v>-4038.1992827485087</v>
      </c>
      <c r="AY421">
        <f t="shared" si="364"/>
        <v>-1.4575484881203509</v>
      </c>
      <c r="BA421">
        <f t="shared" si="345"/>
        <v>1.19738274001426</v>
      </c>
      <c r="BB421">
        <f t="shared" si="357"/>
        <v>1.564659872074559</v>
      </c>
      <c r="BC421">
        <f t="shared" si="358"/>
        <v>-1.5026981675087758</v>
      </c>
      <c r="BD421">
        <f t="shared" si="346"/>
        <v>-266.09826297867727</v>
      </c>
      <c r="BF421">
        <f t="shared" si="347"/>
        <v>-51.218828287245934</v>
      </c>
      <c r="BG421">
        <f t="shared" si="348"/>
        <v>-182.65223213211445</v>
      </c>
      <c r="BH421">
        <f t="shared" si="359"/>
        <v>-2.6522321321144489</v>
      </c>
      <c r="BI421">
        <f t="shared" si="360"/>
        <v>-2.6522321321144489</v>
      </c>
      <c r="BJ421">
        <f t="shared" si="349"/>
        <v>0</v>
      </c>
      <c r="BK421">
        <f t="shared" si="361"/>
        <v>0</v>
      </c>
      <c r="BM421">
        <f t="shared" si="362"/>
        <v>-52.783488159320491</v>
      </c>
      <c r="BN421">
        <f t="shared" si="350"/>
        <v>-96.553969153437194</v>
      </c>
      <c r="BQ421" s="56">
        <f t="shared" si="363"/>
        <v>18.466620672359696</v>
      </c>
    </row>
    <row r="422" spans="1:69" x14ac:dyDescent="0.25">
      <c r="A422">
        <f t="shared" si="319"/>
        <v>1040000</v>
      </c>
      <c r="B422">
        <f t="shared" si="351"/>
        <v>1040</v>
      </c>
      <c r="C422">
        <f t="shared" si="320"/>
        <v>8.6833305685228748</v>
      </c>
      <c r="D422">
        <f t="shared" si="321"/>
        <v>1.4553770512238471</v>
      </c>
      <c r="F422">
        <f t="shared" si="322"/>
        <v>1.7535859171778231E-5</v>
      </c>
      <c r="G422">
        <f t="shared" si="323"/>
        <v>1.5759265142523489E-3</v>
      </c>
      <c r="H422">
        <f t="shared" si="324"/>
        <v>-3.1400167234857479</v>
      </c>
      <c r="J422">
        <f t="shared" si="325"/>
        <v>15</v>
      </c>
      <c r="M422">
        <f t="shared" si="326"/>
        <v>1.7529621913137321E-3</v>
      </c>
      <c r="N422">
        <f t="shared" si="327"/>
        <v>-1.5707963250000001</v>
      </c>
      <c r="O422">
        <f t="shared" si="328"/>
        <v>171.99128172850902</v>
      </c>
      <c r="P422">
        <f t="shared" si="329"/>
        <v>1.5649820458366834</v>
      </c>
      <c r="Q422">
        <f t="shared" si="330"/>
        <v>267.39413008051667</v>
      </c>
      <c r="R422">
        <f t="shared" si="331"/>
        <v>1.5670565202003082</v>
      </c>
      <c r="S422">
        <f t="shared" si="332"/>
        <v>0.11516318446115667</v>
      </c>
      <c r="T422">
        <f t="shared" si="333"/>
        <v>-1.4553770512238471</v>
      </c>
      <c r="U422">
        <f t="shared" si="334"/>
        <v>0.18476056111239725</v>
      </c>
      <c r="V422">
        <f t="shared" si="335"/>
        <v>-1.3849681034321644</v>
      </c>
      <c r="X422">
        <f t="shared" si="352"/>
        <v>-48.138831359656308</v>
      </c>
      <c r="Y422">
        <f t="shared" si="336"/>
        <v>-169.80994192820182</v>
      </c>
      <c r="Z422">
        <f t="shared" si="353"/>
        <v>10.190058071798177</v>
      </c>
      <c r="AC422">
        <v>1</v>
      </c>
      <c r="AD422">
        <f t="shared" si="337"/>
        <v>171.98837457984001</v>
      </c>
      <c r="AE422">
        <f t="shared" si="338"/>
        <v>-0.16857903300122731</v>
      </c>
      <c r="AF422">
        <f t="shared" si="339"/>
        <v>3.1692386653200004E-2</v>
      </c>
      <c r="AG422">
        <f t="shared" si="315"/>
        <v>179.52246824340182</v>
      </c>
      <c r="AH422">
        <f t="shared" si="316"/>
        <v>-986.47427347695486</v>
      </c>
      <c r="AJ422">
        <f t="shared" si="340"/>
        <v>18000</v>
      </c>
      <c r="AK422">
        <f t="shared" si="341"/>
        <v>155260.02203712001</v>
      </c>
      <c r="AL422">
        <v>1</v>
      </c>
      <c r="AM422">
        <f t="shared" si="342"/>
        <v>267.39226017504001</v>
      </c>
      <c r="AN422">
        <f t="shared" si="317"/>
        <v>580.88878992280252</v>
      </c>
      <c r="AO422">
        <f t="shared" si="318"/>
        <v>-65.144410682172776</v>
      </c>
      <c r="AQ422">
        <f t="shared" si="343"/>
        <v>2.3113899982918828E-3</v>
      </c>
      <c r="AR422">
        <f t="shared" si="344"/>
        <v>-4.8076911964471165</v>
      </c>
      <c r="AT422">
        <f t="shared" si="365"/>
        <v>-4742.2487336791546</v>
      </c>
      <c r="AU422">
        <f t="shared" si="366"/>
        <v>-865.36871690754685</v>
      </c>
      <c r="AV422">
        <f t="shared" si="354"/>
        <v>-2.9610979419915462</v>
      </c>
      <c r="AW422">
        <f t="shared" si="355"/>
        <v>460.50991784699397</v>
      </c>
      <c r="AX422">
        <f t="shared" si="356"/>
        <v>-4019.1090789858004</v>
      </c>
      <c r="AY422">
        <f t="shared" si="364"/>
        <v>-1.4567137396330683</v>
      </c>
      <c r="BA422">
        <f t="shared" si="345"/>
        <v>1.1916131684318201</v>
      </c>
      <c r="BB422">
        <f t="shared" si="357"/>
        <v>1.5227058785350891</v>
      </c>
      <c r="BC422">
        <f t="shared" si="358"/>
        <v>-1.5043842023584779</v>
      </c>
      <c r="BD422">
        <f t="shared" si="346"/>
        <v>-266.19486565978758</v>
      </c>
      <c r="BF422">
        <f t="shared" si="347"/>
        <v>-51.303201266551561</v>
      </c>
      <c r="BG422">
        <f t="shared" si="348"/>
        <v>-182.71760899098999</v>
      </c>
      <c r="BH422">
        <f t="shared" si="359"/>
        <v>-2.7176089909899872</v>
      </c>
      <c r="BI422">
        <f t="shared" si="360"/>
        <v>-2.7176089909899872</v>
      </c>
      <c r="BJ422">
        <f t="shared" si="349"/>
        <v>0</v>
      </c>
      <c r="BK422">
        <f t="shared" si="361"/>
        <v>0</v>
      </c>
      <c r="BM422">
        <f t="shared" si="362"/>
        <v>-52.825907145086646</v>
      </c>
      <c r="BN422">
        <f t="shared" si="350"/>
        <v>-96.522743331202449</v>
      </c>
      <c r="BQ422" s="56">
        <f t="shared" si="363"/>
        <v>18.424666678820223</v>
      </c>
    </row>
    <row r="423" spans="1:69" x14ac:dyDescent="0.25">
      <c r="A423">
        <f t="shared" si="319"/>
        <v>1045000</v>
      </c>
      <c r="B423">
        <f t="shared" si="351"/>
        <v>1045</v>
      </c>
      <c r="C423">
        <f t="shared" si="320"/>
        <v>8.7245249880293017</v>
      </c>
      <c r="D423">
        <f t="shared" si="321"/>
        <v>1.4559244397622393</v>
      </c>
      <c r="F423">
        <f t="shared" si="322"/>
        <v>1.7368450640978215E-5</v>
      </c>
      <c r="G423">
        <f t="shared" si="323"/>
        <v>1.5683859442960186E-3</v>
      </c>
      <c r="H423">
        <f t="shared" si="324"/>
        <v>-3.1400242640557043</v>
      </c>
      <c r="J423">
        <f t="shared" si="325"/>
        <v>15</v>
      </c>
      <c r="M423">
        <f t="shared" si="326"/>
        <v>1.744574812407925E-3</v>
      </c>
      <c r="N423">
        <f t="shared" si="327"/>
        <v>-1.5707963250000001</v>
      </c>
      <c r="O423">
        <f t="shared" si="328"/>
        <v>172.81813500442021</v>
      </c>
      <c r="P423">
        <f t="shared" si="329"/>
        <v>1.5650098647403208</v>
      </c>
      <c r="Q423">
        <f t="shared" si="330"/>
        <v>268.67966084604268</v>
      </c>
      <c r="R423">
        <f t="shared" si="331"/>
        <v>1.5670744138461177</v>
      </c>
      <c r="S423">
        <f t="shared" si="332"/>
        <v>0.11461942069878586</v>
      </c>
      <c r="T423">
        <f t="shared" si="333"/>
        <v>-1.4559244397622393</v>
      </c>
      <c r="U423">
        <f t="shared" si="334"/>
        <v>0.18390650775510634</v>
      </c>
      <c r="V423">
        <f t="shared" si="335"/>
        <v>-1.3858370472591324</v>
      </c>
      <c r="X423">
        <f t="shared" si="352"/>
        <v>-48.220737223076355</v>
      </c>
      <c r="Y423">
        <f t="shared" si="336"/>
        <v>-169.85754164885498</v>
      </c>
      <c r="Z423">
        <f t="shared" si="353"/>
        <v>10.142458351145024</v>
      </c>
      <c r="AC423">
        <v>1</v>
      </c>
      <c r="AD423">
        <f t="shared" si="337"/>
        <v>172.81524176532002</v>
      </c>
      <c r="AE423">
        <f t="shared" si="338"/>
        <v>-0.17020388176143239</v>
      </c>
      <c r="AF423">
        <f t="shared" si="339"/>
        <v>3.1844753896725003E-2</v>
      </c>
      <c r="AG423">
        <f t="shared" si="315"/>
        <v>177.86662349138788</v>
      </c>
      <c r="AH423">
        <f t="shared" si="316"/>
        <v>-982.06410561237396</v>
      </c>
      <c r="AJ423">
        <f t="shared" si="340"/>
        <v>18000</v>
      </c>
      <c r="AK423">
        <f t="shared" si="341"/>
        <v>156006.46445076002</v>
      </c>
      <c r="AL423">
        <v>1</v>
      </c>
      <c r="AM423">
        <f t="shared" si="342"/>
        <v>268.67779988742001</v>
      </c>
      <c r="AN423">
        <f t="shared" si="317"/>
        <v>580.88646415799826</v>
      </c>
      <c r="AO423">
        <f t="shared" si="318"/>
        <v>-64.832723593616109</v>
      </c>
      <c r="AQ423">
        <f t="shared" si="343"/>
        <v>2.2893243539927307E-3</v>
      </c>
      <c r="AR423">
        <f t="shared" si="344"/>
        <v>-4.7846878998448066</v>
      </c>
      <c r="AT423">
        <f t="shared" si="365"/>
        <v>-4698.4630486025171</v>
      </c>
      <c r="AU423">
        <f t="shared" si="366"/>
        <v>-853.28454447965612</v>
      </c>
      <c r="AV423">
        <f t="shared" si="354"/>
        <v>-2.9619413672455956</v>
      </c>
      <c r="AW423">
        <f t="shared" si="355"/>
        <v>461.71863404434367</v>
      </c>
      <c r="AX423">
        <f t="shared" si="356"/>
        <v>-4000.1971532425764</v>
      </c>
      <c r="AY423">
        <f t="shared" si="364"/>
        <v>-1.4558808845388707</v>
      </c>
      <c r="BA423">
        <f t="shared" si="345"/>
        <v>1.1858968027471408</v>
      </c>
      <c r="BB423">
        <f t="shared" si="357"/>
        <v>1.4809379635758622</v>
      </c>
      <c r="BC423">
        <f t="shared" si="358"/>
        <v>-1.506060482706725</v>
      </c>
      <c r="BD423">
        <f t="shared" si="346"/>
        <v>-266.29090944913258</v>
      </c>
      <c r="BF423">
        <f t="shared" si="347"/>
        <v>-51.387179462736377</v>
      </c>
      <c r="BG423">
        <f t="shared" si="348"/>
        <v>-182.7827217701296</v>
      </c>
      <c r="BH423">
        <f t="shared" si="359"/>
        <v>-2.7827217701295979</v>
      </c>
      <c r="BI423">
        <f t="shared" si="360"/>
        <v>-2.7827217701295979</v>
      </c>
      <c r="BJ423">
        <f t="shared" si="349"/>
        <v>0</v>
      </c>
      <c r="BK423">
        <f t="shared" si="361"/>
        <v>0</v>
      </c>
      <c r="BM423">
        <f t="shared" si="362"/>
        <v>-52.868117426312239</v>
      </c>
      <c r="BN423">
        <f t="shared" si="350"/>
        <v>-96.491812320997028</v>
      </c>
      <c r="BQ423" s="56">
        <f t="shared" si="363"/>
        <v>18.382898763860997</v>
      </c>
    </row>
    <row r="424" spans="1:69" x14ac:dyDescent="0.25">
      <c r="A424">
        <f t="shared" si="319"/>
        <v>1050000</v>
      </c>
      <c r="B424">
        <f t="shared" si="351"/>
        <v>1050</v>
      </c>
      <c r="C424">
        <f t="shared" si="320"/>
        <v>8.7657219971309495</v>
      </c>
      <c r="D424">
        <f t="shared" si="321"/>
        <v>1.4564666832449091</v>
      </c>
      <c r="F424">
        <f t="shared" si="322"/>
        <v>1.7203428013194488E-5</v>
      </c>
      <c r="G424">
        <f t="shared" si="323"/>
        <v>1.5609171928618821E-3</v>
      </c>
      <c r="H424">
        <f t="shared" si="324"/>
        <v>-3.1400317328071385</v>
      </c>
      <c r="J424">
        <f t="shared" si="325"/>
        <v>15</v>
      </c>
      <c r="M424">
        <f t="shared" si="326"/>
        <v>1.7362673133012206E-3</v>
      </c>
      <c r="N424">
        <f t="shared" si="327"/>
        <v>-1.5707963250000001</v>
      </c>
      <c r="O424">
        <f t="shared" si="328"/>
        <v>173.64498841280016</v>
      </c>
      <c r="P424">
        <f t="shared" si="329"/>
        <v>1.5650374187108473</v>
      </c>
      <c r="Q424">
        <f t="shared" si="330"/>
        <v>269.96519169677589</v>
      </c>
      <c r="R424">
        <f t="shared" si="331"/>
        <v>1.5670921370786024</v>
      </c>
      <c r="S424">
        <f t="shared" si="332"/>
        <v>0.11408073406016114</v>
      </c>
      <c r="T424">
        <f t="shared" si="333"/>
        <v>-1.4564666832449091</v>
      </c>
      <c r="U424">
        <f t="shared" si="334"/>
        <v>0.18306017744979688</v>
      </c>
      <c r="V424">
        <f t="shared" si="335"/>
        <v>-1.3866979940425488</v>
      </c>
      <c r="X424">
        <f t="shared" si="352"/>
        <v>-48.302265059743405</v>
      </c>
      <c r="Y424">
        <f t="shared" si="336"/>
        <v>-169.90470400127867</v>
      </c>
      <c r="Z424">
        <f t="shared" si="353"/>
        <v>10.095295998721326</v>
      </c>
      <c r="AC424">
        <v>1</v>
      </c>
      <c r="AD424">
        <f t="shared" si="337"/>
        <v>173.64210895080001</v>
      </c>
      <c r="AE424">
        <f t="shared" si="338"/>
        <v>-0.17183652356125473</v>
      </c>
      <c r="AF424">
        <f t="shared" si="339"/>
        <v>3.1997121140250002E-2</v>
      </c>
      <c r="AG424">
        <f t="shared" ref="AG424:AG487" si="367">AC424*AE424/(AE424^2+AF424^2)+AD424*AF424/(AE424^2+AF424^2)</f>
        <v>176.23332035157091</v>
      </c>
      <c r="AH424">
        <f t="shared" ref="AH424:AH487" si="368">AD424*AE424/(AE424^2+AF424^2)-AC424*AF424/(AE424^2+AF424^2)</f>
        <v>-977.69174194608331</v>
      </c>
      <c r="AJ424">
        <f t="shared" si="340"/>
        <v>18000</v>
      </c>
      <c r="AK424">
        <f t="shared" si="341"/>
        <v>156752.90686440002</v>
      </c>
      <c r="AL424">
        <v>1</v>
      </c>
      <c r="AM424">
        <f t="shared" si="342"/>
        <v>269.96333959980001</v>
      </c>
      <c r="AN424">
        <f t="shared" ref="AN424:AN487" si="369">AJ424*AL424/(AL424^2+AM424^2)+AK424*AM424/(AL424^2+AM424^2)</f>
        <v>580.88417153862667</v>
      </c>
      <c r="AO424">
        <f t="shared" ref="AO424:AO487" si="370">AK424*AL424/(AL424^2+AM424^2)-AJ424*AM424/(AL424^2+AM424^2)</f>
        <v>-64.524004830744346</v>
      </c>
      <c r="AQ424">
        <f t="shared" si="343"/>
        <v>2.2675731819561946E-3</v>
      </c>
      <c r="AR424">
        <f t="shared" si="344"/>
        <v>-4.7619036821080085</v>
      </c>
      <c r="AT424">
        <f t="shared" si="365"/>
        <v>-4655.2742839886505</v>
      </c>
      <c r="AU424">
        <f t="shared" si="366"/>
        <v>-841.42308466652275</v>
      </c>
      <c r="AV424">
        <f t="shared" si="354"/>
        <v>-2.9627770384812973</v>
      </c>
      <c r="AW424">
        <f t="shared" si="355"/>
        <v>462.90899628828521</v>
      </c>
      <c r="AX424">
        <f t="shared" si="356"/>
        <v>-3981.4610370747032</v>
      </c>
      <c r="AY424">
        <f t="shared" si="364"/>
        <v>-1.4550498936441987</v>
      </c>
      <c r="BA424">
        <f t="shared" si="345"/>
        <v>1.1802329112757461</v>
      </c>
      <c r="BB424">
        <f t="shared" si="357"/>
        <v>1.4393544190093011</v>
      </c>
      <c r="BC424">
        <f t="shared" si="358"/>
        <v>-1.5077271448370986</v>
      </c>
      <c r="BD424">
        <f t="shared" si="346"/>
        <v>-266.38640215518637</v>
      </c>
      <c r="BF424">
        <f t="shared" si="347"/>
        <v>-51.470766649821755</v>
      </c>
      <c r="BG424">
        <f t="shared" si="348"/>
        <v>-182.84757414105835</v>
      </c>
      <c r="BH424">
        <f t="shared" si="359"/>
        <v>-2.8475741410583453</v>
      </c>
      <c r="BI424">
        <f t="shared" si="360"/>
        <v>-2.8475741410583453</v>
      </c>
      <c r="BJ424">
        <f t="shared" si="349"/>
        <v>0</v>
      </c>
      <c r="BK424">
        <f t="shared" si="361"/>
        <v>0</v>
      </c>
      <c r="BM424">
        <f t="shared" si="362"/>
        <v>-52.910121068831053</v>
      </c>
      <c r="BN424">
        <f t="shared" si="350"/>
        <v>-96.461171985871971</v>
      </c>
      <c r="BQ424" s="56">
        <f t="shared" si="363"/>
        <v>18.341315219294437</v>
      </c>
    </row>
    <row r="425" spans="1:69" x14ac:dyDescent="0.25">
      <c r="A425">
        <f t="shared" si="319"/>
        <v>1055000</v>
      </c>
      <c r="B425">
        <f t="shared" si="351"/>
        <v>1055</v>
      </c>
      <c r="C425">
        <f t="shared" si="320"/>
        <v>8.8069215594869998</v>
      </c>
      <c r="D425">
        <f t="shared" si="321"/>
        <v>1.4570038535578131</v>
      </c>
      <c r="F425">
        <f t="shared" si="322"/>
        <v>1.7040746164186E-5</v>
      </c>
      <c r="G425">
        <f t="shared" si="323"/>
        <v>1.5535192387663072E-3</v>
      </c>
      <c r="H425">
        <f t="shared" si="324"/>
        <v>-3.1400391307612341</v>
      </c>
      <c r="J425">
        <f t="shared" si="325"/>
        <v>15</v>
      </c>
      <c r="M425">
        <f t="shared" si="326"/>
        <v>1.7280385582618782E-3</v>
      </c>
      <c r="N425">
        <f t="shared" si="327"/>
        <v>-1.5707963250000001</v>
      </c>
      <c r="O425">
        <f t="shared" si="328"/>
        <v>174.47184195176553</v>
      </c>
      <c r="P425">
        <f t="shared" si="329"/>
        <v>1.5650647115149188</v>
      </c>
      <c r="Q425">
        <f t="shared" si="330"/>
        <v>271.25072263150486</v>
      </c>
      <c r="R425">
        <f t="shared" si="331"/>
        <v>1.5671096923206564</v>
      </c>
      <c r="S425">
        <f t="shared" si="332"/>
        <v>0.11354705423971664</v>
      </c>
      <c r="T425">
        <f t="shared" si="333"/>
        <v>-1.4570038535578131</v>
      </c>
      <c r="U425">
        <f t="shared" si="334"/>
        <v>0.18222146779977585</v>
      </c>
      <c r="V425">
        <f t="shared" si="335"/>
        <v>-1.3875510524151597</v>
      </c>
      <c r="X425">
        <f t="shared" si="352"/>
        <v>-48.383418286544639</v>
      </c>
      <c r="Y425">
        <f t="shared" si="336"/>
        <v>-169.95143491354531</v>
      </c>
      <c r="Z425">
        <f t="shared" si="353"/>
        <v>10.048565086454687</v>
      </c>
      <c r="AC425">
        <v>1</v>
      </c>
      <c r="AD425">
        <f t="shared" si="337"/>
        <v>174.46897613627999</v>
      </c>
      <c r="AE425">
        <f t="shared" si="338"/>
        <v>-0.17347695840069438</v>
      </c>
      <c r="AF425">
        <f t="shared" si="339"/>
        <v>3.2149488383775002E-2</v>
      </c>
      <c r="AG425">
        <f t="shared" si="367"/>
        <v>174.62215632760822</v>
      </c>
      <c r="AH425">
        <f t="shared" si="368"/>
        <v>-973.35671956996862</v>
      </c>
      <c r="AJ425">
        <f t="shared" si="340"/>
        <v>18000</v>
      </c>
      <c r="AK425">
        <f t="shared" si="341"/>
        <v>157499.34927804</v>
      </c>
      <c r="AL425">
        <v>1</v>
      </c>
      <c r="AM425">
        <f t="shared" si="342"/>
        <v>271.24887931217995</v>
      </c>
      <c r="AN425">
        <f t="shared" si="369"/>
        <v>580.88191143784411</v>
      </c>
      <c r="AO425">
        <f t="shared" si="370"/>
        <v>-64.218212192185746</v>
      </c>
      <c r="AQ425">
        <f t="shared" si="343"/>
        <v>2.2461305347744806E-3</v>
      </c>
      <c r="AR425">
        <f t="shared" si="344"/>
        <v>-4.7393354283741544</v>
      </c>
      <c r="AT425">
        <f t="shared" si="365"/>
        <v>-4612.6717613466235</v>
      </c>
      <c r="AU425">
        <f t="shared" si="366"/>
        <v>-829.77925831157768</v>
      </c>
      <c r="AV425">
        <f t="shared" si="354"/>
        <v>-2.9636050608762288</v>
      </c>
      <c r="AW425">
        <f t="shared" si="355"/>
        <v>464.08137710796325</v>
      </c>
      <c r="AX425">
        <f t="shared" si="356"/>
        <v>-3962.8983071196076</v>
      </c>
      <c r="AY425">
        <f t="shared" si="364"/>
        <v>-1.4542207384219652</v>
      </c>
      <c r="BA425">
        <f t="shared" si="345"/>
        <v>1.1746207755502827</v>
      </c>
      <c r="BB425">
        <f t="shared" si="357"/>
        <v>1.3979535590686718</v>
      </c>
      <c r="BC425">
        <f t="shared" si="358"/>
        <v>-1.5093843224542636</v>
      </c>
      <c r="BD425">
        <f t="shared" si="346"/>
        <v>-266.48135143866199</v>
      </c>
      <c r="BF425">
        <f t="shared" si="347"/>
        <v>-51.553966548611044</v>
      </c>
      <c r="BG425">
        <f t="shared" si="348"/>
        <v>-182.91216970423685</v>
      </c>
      <c r="BH425">
        <f t="shared" si="359"/>
        <v>-2.9121697042368453</v>
      </c>
      <c r="BI425">
        <f t="shared" si="360"/>
        <v>-2.9121697042368453</v>
      </c>
      <c r="BJ425">
        <f t="shared" si="349"/>
        <v>0</v>
      </c>
      <c r="BK425">
        <f t="shared" si="361"/>
        <v>0</v>
      </c>
      <c r="BM425">
        <f t="shared" si="362"/>
        <v>-52.951920107679726</v>
      </c>
      <c r="BN425">
        <f t="shared" si="350"/>
        <v>-96.430818265574857</v>
      </c>
      <c r="BQ425" s="56">
        <f t="shared" si="363"/>
        <v>18.299914359353807</v>
      </c>
    </row>
    <row r="426" spans="1:69" x14ac:dyDescent="0.25">
      <c r="A426">
        <f t="shared" si="319"/>
        <v>1060000</v>
      </c>
      <c r="B426">
        <f t="shared" si="351"/>
        <v>1060</v>
      </c>
      <c r="C426">
        <f t="shared" si="320"/>
        <v>8.848123639431261</v>
      </c>
      <c r="D426">
        <f t="shared" si="321"/>
        <v>1.4575360212597703</v>
      </c>
      <c r="F426">
        <f t="shared" si="322"/>
        <v>1.6880361031480418E-5</v>
      </c>
      <c r="G426">
        <f t="shared" si="323"/>
        <v>1.5461910800948508E-3</v>
      </c>
      <c r="H426">
        <f t="shared" si="324"/>
        <v>-3.1400464589199055</v>
      </c>
      <c r="J426">
        <f t="shared" si="325"/>
        <v>15</v>
      </c>
      <c r="M426">
        <f t="shared" si="326"/>
        <v>1.7198874329870579E-3</v>
      </c>
      <c r="N426">
        <f t="shared" si="327"/>
        <v>-1.5707963250000001</v>
      </c>
      <c r="O426">
        <f t="shared" si="328"/>
        <v>175.29869561946839</v>
      </c>
      <c r="P426">
        <f t="shared" si="329"/>
        <v>1.5650917468481254</v>
      </c>
      <c r="Q426">
        <f t="shared" si="330"/>
        <v>272.53625364904104</v>
      </c>
      <c r="R426">
        <f t="shared" si="331"/>
        <v>1.5671270819494596</v>
      </c>
      <c r="S426">
        <f t="shared" si="332"/>
        <v>0.11301831221520749</v>
      </c>
      <c r="T426">
        <f t="shared" si="333"/>
        <v>-1.4575360212597703</v>
      </c>
      <c r="U426">
        <f t="shared" si="334"/>
        <v>0.18139027817549119</v>
      </c>
      <c r="V426">
        <f t="shared" si="335"/>
        <v>-1.38839632907403</v>
      </c>
      <c r="X426">
        <f t="shared" si="352"/>
        <v>-48.46420027500055</v>
      </c>
      <c r="Y426">
        <f t="shared" si="336"/>
        <v>-169.99774020840769</v>
      </c>
      <c r="Z426">
        <f t="shared" si="353"/>
        <v>10.002259791592309</v>
      </c>
      <c r="AC426">
        <v>1</v>
      </c>
      <c r="AD426">
        <f t="shared" si="337"/>
        <v>175.29584332176</v>
      </c>
      <c r="AE426">
        <f t="shared" si="338"/>
        <v>-0.17512518627975132</v>
      </c>
      <c r="AF426">
        <f t="shared" si="339"/>
        <v>3.2301855627300001E-2</v>
      </c>
      <c r="AG426">
        <f t="shared" si="367"/>
        <v>173.03273775675507</v>
      </c>
      <c r="AH426">
        <f t="shared" si="368"/>
        <v>-969.05858268067391</v>
      </c>
      <c r="AJ426">
        <f t="shared" si="340"/>
        <v>18000</v>
      </c>
      <c r="AK426">
        <f t="shared" si="341"/>
        <v>158245.79169168</v>
      </c>
      <c r="AL426">
        <v>1</v>
      </c>
      <c r="AM426">
        <f t="shared" si="342"/>
        <v>272.53441902455995</v>
      </c>
      <c r="AN426">
        <f t="shared" si="369"/>
        <v>580.87968324355541</v>
      </c>
      <c r="AO426">
        <f t="shared" si="370"/>
        <v>-63.915304272766697</v>
      </c>
      <c r="AQ426">
        <f t="shared" si="343"/>
        <v>2.2249906049771704E-3</v>
      </c>
      <c r="AR426">
        <f t="shared" si="344"/>
        <v>-4.7169800825516015</v>
      </c>
      <c r="AT426">
        <f t="shared" si="365"/>
        <v>-4570.6450371145611</v>
      </c>
      <c r="AU426">
        <f t="shared" si="366"/>
        <v>-818.34812387012505</v>
      </c>
      <c r="AV426">
        <f t="shared" si="354"/>
        <v>-2.9644255377374744</v>
      </c>
      <c r="AW426">
        <f t="shared" si="355"/>
        <v>465.23613958783739</v>
      </c>
      <c r="AX426">
        <f t="shared" si="356"/>
        <v>-3944.5065840771645</v>
      </c>
      <c r="AY426">
        <f t="shared" si="364"/>
        <v>-1.4533933909931127</v>
      </c>
      <c r="BA426">
        <f t="shared" si="345"/>
        <v>1.1690596900271508</v>
      </c>
      <c r="BB426">
        <f t="shared" si="357"/>
        <v>1.356733720030874</v>
      </c>
      <c r="BC426">
        <f t="shared" si="358"/>
        <v>-1.5110321467443617</v>
      </c>
      <c r="BD426">
        <f t="shared" si="346"/>
        <v>-266.57576481597164</v>
      </c>
      <c r="BF426">
        <f t="shared" si="347"/>
        <v>-51.636782827680236</v>
      </c>
      <c r="BG426">
        <f t="shared" si="348"/>
        <v>-182.97651199076029</v>
      </c>
      <c r="BH426">
        <f t="shared" si="359"/>
        <v>-2.9765119907602866</v>
      </c>
      <c r="BI426">
        <f t="shared" si="360"/>
        <v>-2.9765119907602866</v>
      </c>
      <c r="BJ426">
        <f t="shared" si="349"/>
        <v>0</v>
      </c>
      <c r="BK426">
        <f t="shared" si="361"/>
        <v>0</v>
      </c>
      <c r="BM426">
        <f t="shared" si="362"/>
        <v>-52.99351654771111</v>
      </c>
      <c r="BN426">
        <f t="shared" si="350"/>
        <v>-96.400747174788663</v>
      </c>
      <c r="BQ426" s="56">
        <f t="shared" si="363"/>
        <v>18.258694520316009</v>
      </c>
    </row>
    <row r="427" spans="1:69" x14ac:dyDescent="0.25">
      <c r="A427">
        <f t="shared" si="319"/>
        <v>1065000</v>
      </c>
      <c r="B427">
        <f t="shared" si="351"/>
        <v>1065</v>
      </c>
      <c r="C427">
        <f t="shared" si="320"/>
        <v>8.88932820195663</v>
      </c>
      <c r="D427">
        <f t="shared" si="321"/>
        <v>1.4580632556128137</v>
      </c>
      <c r="F427">
        <f t="shared" si="322"/>
        <v>1.6722229584534465E-5</v>
      </c>
      <c r="G427">
        <f t="shared" si="323"/>
        <v>1.5389317337498873E-3</v>
      </c>
      <c r="H427">
        <f t="shared" si="324"/>
        <v>-3.1400537182662505</v>
      </c>
      <c r="J427">
        <f t="shared" si="325"/>
        <v>15</v>
      </c>
      <c r="M427">
        <f t="shared" si="326"/>
        <v>1.7118128440997951E-3</v>
      </c>
      <c r="N427">
        <f t="shared" si="327"/>
        <v>-1.5707963250000001</v>
      </c>
      <c r="O427">
        <f t="shared" si="328"/>
        <v>176.12554941409573</v>
      </c>
      <c r="P427">
        <f t="shared" si="329"/>
        <v>1.56511852833666</v>
      </c>
      <c r="Q427">
        <f t="shared" si="330"/>
        <v>273.82178474821814</v>
      </c>
      <c r="R427">
        <f t="shared" si="331"/>
        <v>1.5671443082975511</v>
      </c>
      <c r="S427">
        <f t="shared" si="332"/>
        <v>0.11249444021876594</v>
      </c>
      <c r="T427">
        <f t="shared" si="333"/>
        <v>-1.4580632556128137</v>
      </c>
      <c r="U427">
        <f t="shared" si="334"/>
        <v>0.18056650967739346</v>
      </c>
      <c r="V427">
        <f t="shared" si="335"/>
        <v>-1.3892339288229414</v>
      </c>
      <c r="X427">
        <f t="shared" si="352"/>
        <v>-48.544614352051298</v>
      </c>
      <c r="Y427">
        <f t="shared" si="336"/>
        <v>-170.04362560559738</v>
      </c>
      <c r="Z427">
        <f t="shared" si="353"/>
        <v>9.9563743944026157</v>
      </c>
      <c r="AC427">
        <v>1</v>
      </c>
      <c r="AD427">
        <f t="shared" si="337"/>
        <v>176.12271050724001</v>
      </c>
      <c r="AE427">
        <f t="shared" si="338"/>
        <v>-0.17678120719842555</v>
      </c>
      <c r="AF427">
        <f t="shared" si="339"/>
        <v>3.2454222870825E-2</v>
      </c>
      <c r="AG427">
        <f t="shared" si="367"/>
        <v>171.46467958125194</v>
      </c>
      <c r="AH427">
        <f t="shared" si="368"/>
        <v>-964.79688245479122</v>
      </c>
      <c r="AJ427">
        <f t="shared" si="340"/>
        <v>18000</v>
      </c>
      <c r="AK427">
        <f t="shared" si="341"/>
        <v>158992.23410532001</v>
      </c>
      <c r="AL427">
        <v>1</v>
      </c>
      <c r="AM427">
        <f t="shared" si="342"/>
        <v>273.81995873693995</v>
      </c>
      <c r="AN427">
        <f t="shared" si="369"/>
        <v>580.87748635799949</v>
      </c>
      <c r="AO427">
        <f t="shared" si="370"/>
        <v>-63.615240444823193</v>
      </c>
      <c r="AQ427">
        <f t="shared" si="343"/>
        <v>2.2041477210986088E-3</v>
      </c>
      <c r="AR427">
        <f t="shared" si="344"/>
        <v>-4.6948346459400367</v>
      </c>
      <c r="AT427">
        <f t="shared" si="365"/>
        <v>-4529.1838965609431</v>
      </c>
      <c r="AU427">
        <f t="shared" si="366"/>
        <v>-807.12487310285451</v>
      </c>
      <c r="AV427">
        <f t="shared" si="354"/>
        <v>-2.9652385705424931</v>
      </c>
      <c r="AW427">
        <f t="shared" si="355"/>
        <v>466.37363765405036</v>
      </c>
      <c r="AX427">
        <f t="shared" si="356"/>
        <v>-3926.2835317179815</v>
      </c>
      <c r="AY427">
        <f t="shared" si="364"/>
        <v>-1.4525678241087723</v>
      </c>
      <c r="BA427">
        <f t="shared" si="345"/>
        <v>1.1635489618008104</v>
      </c>
      <c r="BB427">
        <f t="shared" si="357"/>
        <v>1.3156932598468376</v>
      </c>
      <c r="BC427">
        <f t="shared" si="358"/>
        <v>-1.5126707464337208</v>
      </c>
      <c r="BD427">
        <f t="shared" si="346"/>
        <v>-266.66964966259064</v>
      </c>
      <c r="BF427">
        <f t="shared" si="347"/>
        <v>-51.71921910434569</v>
      </c>
      <c r="BG427">
        <f t="shared" si="348"/>
        <v>-183.04060446400914</v>
      </c>
      <c r="BH427">
        <f t="shared" si="359"/>
        <v>-3.0406044640091352</v>
      </c>
      <c r="BI427">
        <f t="shared" si="360"/>
        <v>-3.0406044640091352</v>
      </c>
      <c r="BJ427">
        <f t="shared" si="349"/>
        <v>0</v>
      </c>
      <c r="BK427">
        <f t="shared" si="361"/>
        <v>0</v>
      </c>
      <c r="BM427">
        <f t="shared" si="362"/>
        <v>-53.034912364192522</v>
      </c>
      <c r="BN427">
        <f t="shared" si="350"/>
        <v>-96.370954801418506</v>
      </c>
      <c r="BQ427" s="56">
        <f t="shared" si="363"/>
        <v>18.217654060131974</v>
      </c>
    </row>
    <row r="428" spans="1:69" x14ac:dyDescent="0.25">
      <c r="A428">
        <f t="shared" ref="A428:A433" si="371">A427+5000</f>
        <v>1070000</v>
      </c>
      <c r="B428">
        <f t="shared" si="351"/>
        <v>1070</v>
      </c>
      <c r="C428">
        <f t="shared" si="320"/>
        <v>8.9305352126999935</v>
      </c>
      <c r="D428">
        <f t="shared" si="321"/>
        <v>1.458585624611715</v>
      </c>
      <c r="F428">
        <f t="shared" si="322"/>
        <v>1.6566309795868097E-5</v>
      </c>
      <c r="G428">
        <f t="shared" si="323"/>
        <v>1.5317402350109202E-3</v>
      </c>
      <c r="H428">
        <f t="shared" si="324"/>
        <v>-3.1400609097649892</v>
      </c>
      <c r="J428">
        <f t="shared" si="325"/>
        <v>15</v>
      </c>
      <c r="M428">
        <f t="shared" si="326"/>
        <v>1.7038137186600763E-3</v>
      </c>
      <c r="N428">
        <f t="shared" si="327"/>
        <v>-1.5707963250000001</v>
      </c>
      <c r="O428">
        <f t="shared" si="328"/>
        <v>176.95240333386818</v>
      </c>
      <c r="P428">
        <f t="shared" si="329"/>
        <v>1.5651450595389405</v>
      </c>
      <c r="Q428">
        <f t="shared" si="330"/>
        <v>275.10731592789165</v>
      </c>
      <c r="R428">
        <f t="shared" si="331"/>
        <v>1.5671613736538725</v>
      </c>
      <c r="S428">
        <f t="shared" si="332"/>
        <v>0.11197537170873183</v>
      </c>
      <c r="T428">
        <f t="shared" si="333"/>
        <v>-1.458585624611715</v>
      </c>
      <c r="U428">
        <f t="shared" si="334"/>
        <v>0.17975006509970631</v>
      </c>
      <c r="V428">
        <f t="shared" si="335"/>
        <v>-1.3900639546136935</v>
      </c>
      <c r="X428">
        <f t="shared" si="352"/>
        <v>-48.624663800826504</v>
      </c>
      <c r="Y428">
        <f t="shared" si="336"/>
        <v>-170.08909672406332</v>
      </c>
      <c r="Z428">
        <f t="shared" si="353"/>
        <v>9.9109032759366755</v>
      </c>
      <c r="AC428">
        <v>1</v>
      </c>
      <c r="AD428">
        <f t="shared" si="337"/>
        <v>176.94957769272</v>
      </c>
      <c r="AE428">
        <f t="shared" si="338"/>
        <v>-0.17844502115671707</v>
      </c>
      <c r="AF428">
        <f t="shared" si="339"/>
        <v>3.2606590114349999E-2</v>
      </c>
      <c r="AG428">
        <f t="shared" si="367"/>
        <v>169.91760512648924</v>
      </c>
      <c r="AH428">
        <f t="shared" si="368"/>
        <v>-960.57117692631323</v>
      </c>
      <c r="AJ428">
        <f t="shared" si="340"/>
        <v>18000</v>
      </c>
      <c r="AK428">
        <f t="shared" si="341"/>
        <v>159738.67651896001</v>
      </c>
      <c r="AL428">
        <v>1</v>
      </c>
      <c r="AM428">
        <f t="shared" si="342"/>
        <v>275.10549844931995</v>
      </c>
      <c r="AN428">
        <f t="shared" si="369"/>
        <v>580.8753201973492</v>
      </c>
      <c r="AO428">
        <f t="shared" si="370"/>
        <v>-63.317980840036206</v>
      </c>
      <c r="AQ428">
        <f t="shared" si="343"/>
        <v>2.1835963438736256E-3</v>
      </c>
      <c r="AR428">
        <f t="shared" si="344"/>
        <v>-4.6728961758895586</v>
      </c>
      <c r="AT428">
        <f t="shared" si="365"/>
        <v>-4488.2783478673882</v>
      </c>
      <c r="AU428">
        <f t="shared" si="366"/>
        <v>-796.1048269218503</v>
      </c>
      <c r="AV428">
        <f t="shared" si="354"/>
        <v>-2.9660442589789322</v>
      </c>
      <c r="AW428">
        <f t="shared" si="355"/>
        <v>467.49421635072338</v>
      </c>
      <c r="AX428">
        <f t="shared" si="356"/>
        <v>-3908.2268559182512</v>
      </c>
      <c r="AY428">
        <f t="shared" si="364"/>
        <v>-1.4517440111330007</v>
      </c>
      <c r="BA428">
        <f t="shared" si="345"/>
        <v>1.1580879103255133</v>
      </c>
      <c r="BB428">
        <f t="shared" si="357"/>
        <v>1.2748305577792183</v>
      </c>
      <c r="BC428">
        <f t="shared" si="358"/>
        <v>-1.5143002478459315</v>
      </c>
      <c r="BD428">
        <f t="shared" si="346"/>
        <v>-266.76301321632764</v>
      </c>
      <c r="BF428">
        <f t="shared" si="347"/>
        <v>-51.801278945609837</v>
      </c>
      <c r="BG428">
        <f t="shared" si="348"/>
        <v>-183.10445052125297</v>
      </c>
      <c r="BH428">
        <f t="shared" si="359"/>
        <v>-3.1044505212529714</v>
      </c>
      <c r="BI428">
        <f t="shared" si="360"/>
        <v>-3.1044505212529714</v>
      </c>
      <c r="BJ428">
        <f t="shared" si="349"/>
        <v>0</v>
      </c>
      <c r="BK428">
        <f t="shared" si="361"/>
        <v>0</v>
      </c>
      <c r="BM428">
        <f t="shared" si="362"/>
        <v>-53.076109503389056</v>
      </c>
      <c r="BN428">
        <f t="shared" si="350"/>
        <v>-96.341437304925364</v>
      </c>
      <c r="BQ428" s="56">
        <f t="shared" si="363"/>
        <v>18.176791358064357</v>
      </c>
    </row>
    <row r="429" spans="1:69" x14ac:dyDescent="0.25">
      <c r="A429">
        <f t="shared" si="371"/>
        <v>1075000</v>
      </c>
      <c r="B429">
        <f t="shared" si="351"/>
        <v>1075</v>
      </c>
      <c r="C429">
        <f t="shared" si="320"/>
        <v>8.9717446379275305</v>
      </c>
      <c r="D429">
        <f t="shared" si="321"/>
        <v>1.4591031950127127</v>
      </c>
      <c r="F429">
        <f t="shared" si="322"/>
        <v>1.6412560613136346E-5</v>
      </c>
      <c r="G429">
        <f t="shared" si="323"/>
        <v>1.5246156371071669E-3</v>
      </c>
      <c r="H429">
        <f t="shared" si="324"/>
        <v>-3.1400680343628928</v>
      </c>
      <c r="J429">
        <f t="shared" si="325"/>
        <v>15</v>
      </c>
      <c r="M429">
        <f t="shared" si="326"/>
        <v>1.6958890036895642E-3</v>
      </c>
      <c r="N429">
        <f t="shared" si="327"/>
        <v>-1.5707963250000001</v>
      </c>
      <c r="O429">
        <f t="shared" si="328"/>
        <v>177.77925737703958</v>
      </c>
      <c r="P429">
        <f t="shared" si="329"/>
        <v>1.5651713439471848</v>
      </c>
      <c r="Q429">
        <f t="shared" si="330"/>
        <v>276.39284718693841</v>
      </c>
      <c r="R429">
        <f t="shared" si="331"/>
        <v>1.5671782802647811</v>
      </c>
      <c r="S429">
        <f t="shared" si="332"/>
        <v>0.11146104134223325</v>
      </c>
      <c r="T429">
        <f t="shared" si="333"/>
        <v>-1.4591031950127125</v>
      </c>
      <c r="U429">
        <f t="shared" si="334"/>
        <v>0.17894084889508244</v>
      </c>
      <c r="V429">
        <f t="shared" si="335"/>
        <v>-1.3908865075863441</v>
      </c>
      <c r="X429">
        <f t="shared" si="352"/>
        <v>-48.704351861398635</v>
      </c>
      <c r="Y429">
        <f t="shared" si="336"/>
        <v>-170.13415908415391</v>
      </c>
      <c r="Z429">
        <f t="shared" si="353"/>
        <v>9.8658409158460927</v>
      </c>
      <c r="AC429">
        <v>1</v>
      </c>
      <c r="AD429">
        <f t="shared" si="337"/>
        <v>177.77644487819998</v>
      </c>
      <c r="AE429">
        <f t="shared" si="338"/>
        <v>-0.18011662815462587</v>
      </c>
      <c r="AF429">
        <f t="shared" si="339"/>
        <v>3.2758957357874999E-2</v>
      </c>
      <c r="AG429">
        <f t="shared" si="367"/>
        <v>168.39114588572315</v>
      </c>
      <c r="AH429">
        <f t="shared" si="368"/>
        <v>-956.3810308663152</v>
      </c>
      <c r="AJ429">
        <f t="shared" si="340"/>
        <v>18000</v>
      </c>
      <c r="AK429">
        <f t="shared" si="341"/>
        <v>160485.11893260002</v>
      </c>
      <c r="AL429">
        <v>1</v>
      </c>
      <c r="AM429">
        <f t="shared" si="342"/>
        <v>276.39103816170001</v>
      </c>
      <c r="AN429">
        <f t="shared" si="369"/>
        <v>580.87318419132157</v>
      </c>
      <c r="AO429">
        <f t="shared" si="370"/>
        <v>-63.023486331773825</v>
      </c>
      <c r="AQ429">
        <f t="shared" si="343"/>
        <v>2.1633310625568279E-3</v>
      </c>
      <c r="AR429">
        <f t="shared" si="344"/>
        <v>-4.6511617844971802</v>
      </c>
      <c r="AT429">
        <f t="shared" si="365"/>
        <v>-4447.918616386869</v>
      </c>
      <c r="AU429">
        <f t="shared" si="366"/>
        <v>-785.28343138307832</v>
      </c>
      <c r="AV429">
        <f t="shared" si="354"/>
        <v>-2.9668427009834226</v>
      </c>
      <c r="AW429">
        <f t="shared" si="355"/>
        <v>468.598212106576</v>
      </c>
      <c r="AX429">
        <f t="shared" si="356"/>
        <v>-3890.3343037203194</v>
      </c>
      <c r="AY429">
        <f t="shared" si="364"/>
        <v>-1.4509219260260746</v>
      </c>
      <c r="BA429">
        <f t="shared" si="345"/>
        <v>1.1526758671442681</v>
      </c>
      <c r="BB429">
        <f t="shared" si="357"/>
        <v>1.2341440140474151</v>
      </c>
      <c r="BC429">
        <f t="shared" si="358"/>
        <v>-1.515920774957348</v>
      </c>
      <c r="BD429">
        <f t="shared" si="346"/>
        <v>-266.85586258050438</v>
      </c>
      <c r="BF429">
        <f t="shared" si="347"/>
        <v>-51.882965869085126</v>
      </c>
      <c r="BG429">
        <f t="shared" si="348"/>
        <v>-183.16805349520888</v>
      </c>
      <c r="BH429">
        <f t="shared" si="359"/>
        <v>-3.1680534952088806</v>
      </c>
      <c r="BI429">
        <f t="shared" si="360"/>
        <v>-3.1680534952088806</v>
      </c>
      <c r="BJ429">
        <f t="shared" si="349"/>
        <v>0</v>
      </c>
      <c r="BK429">
        <f t="shared" si="361"/>
        <v>0</v>
      </c>
      <c r="BM429">
        <f t="shared" si="362"/>
        <v>-53.117109883132542</v>
      </c>
      <c r="BN429">
        <f t="shared" si="350"/>
        <v>-96.312190914704487</v>
      </c>
      <c r="BQ429" s="56">
        <f t="shared" si="363"/>
        <v>18.136104814332551</v>
      </c>
    </row>
    <row r="430" spans="1:69" x14ac:dyDescent="0.25">
      <c r="A430">
        <f t="shared" si="371"/>
        <v>1080000</v>
      </c>
      <c r="B430">
        <f t="shared" si="351"/>
        <v>1080</v>
      </c>
      <c r="C430">
        <f t="shared" si="320"/>
        <v>9.012956444520416</v>
      </c>
      <c r="D430">
        <f t="shared" si="321"/>
        <v>1.4596160323614622</v>
      </c>
      <c r="F430">
        <f t="shared" si="322"/>
        <v>1.6260941932104136E-5</v>
      </c>
      <c r="G430">
        <f t="shared" si="323"/>
        <v>1.5175570108020159E-3</v>
      </c>
      <c r="H430">
        <f t="shared" si="324"/>
        <v>-3.1400750929891981</v>
      </c>
      <c r="J430">
        <f t="shared" si="325"/>
        <v>15</v>
      </c>
      <c r="M430">
        <f t="shared" si="326"/>
        <v>1.6880376657095199E-3</v>
      </c>
      <c r="N430">
        <f t="shared" si="327"/>
        <v>-1.5707963250000001</v>
      </c>
      <c r="O430">
        <f t="shared" si="328"/>
        <v>178.60611154189621</v>
      </c>
      <c r="P430">
        <f t="shared" si="329"/>
        <v>1.5651973849889433</v>
      </c>
      <c r="Q430">
        <f t="shared" si="330"/>
        <v>277.678378524256</v>
      </c>
      <c r="R430">
        <f t="shared" si="331"/>
        <v>1.5671950303350357</v>
      </c>
      <c r="S430">
        <f t="shared" si="332"/>
        <v>0.11095138494849463</v>
      </c>
      <c r="T430">
        <f t="shared" si="333"/>
        <v>-1.4596160323614622</v>
      </c>
      <c r="U430">
        <f t="shared" si="334"/>
        <v>0.17813876714011875</v>
      </c>
      <c r="V430">
        <f t="shared" si="335"/>
        <v>-1.3917016871084169</v>
      </c>
      <c r="X430">
        <f t="shared" si="352"/>
        <v>-48.783681731520623</v>
      </c>
      <c r="Y430">
        <f t="shared" si="336"/>
        <v>-170.17881810974265</v>
      </c>
      <c r="Z430">
        <f t="shared" si="353"/>
        <v>9.8211818902573498</v>
      </c>
      <c r="AC430">
        <v>1</v>
      </c>
      <c r="AD430">
        <f t="shared" si="337"/>
        <v>178.60331206367999</v>
      </c>
      <c r="AE430">
        <f t="shared" si="338"/>
        <v>-0.18179602819215196</v>
      </c>
      <c r="AF430">
        <f t="shared" si="339"/>
        <v>3.2911324601399998E-2</v>
      </c>
      <c r="AG430">
        <f t="shared" si="367"/>
        <v>166.8849413111256</v>
      </c>
      <c r="AH430">
        <f t="shared" si="368"/>
        <v>-952.2260156648299</v>
      </c>
      <c r="AJ430">
        <f t="shared" si="340"/>
        <v>18000</v>
      </c>
      <c r="AK430">
        <f t="shared" si="341"/>
        <v>161231.56134623999</v>
      </c>
      <c r="AL430">
        <v>1</v>
      </c>
      <c r="AM430">
        <f t="shared" si="342"/>
        <v>277.67657787408001</v>
      </c>
      <c r="AN430">
        <f t="shared" si="369"/>
        <v>580.87107778280517</v>
      </c>
      <c r="AO430">
        <f t="shared" si="370"/>
        <v>-62.731718517924016</v>
      </c>
      <c r="AQ430">
        <f t="shared" si="343"/>
        <v>2.1433465913608986E-3</v>
      </c>
      <c r="AR430">
        <f t="shared" si="344"/>
        <v>-4.6296286373395414</v>
      </c>
      <c r="AT430">
        <f t="shared" si="365"/>
        <v>-4408.095139071519</v>
      </c>
      <c r="AU430">
        <f t="shared" si="366"/>
        <v>-774.65625381959615</v>
      </c>
      <c r="AV430">
        <f t="shared" si="354"/>
        <v>-2.9676339927793798</v>
      </c>
      <c r="AW430">
        <f t="shared" si="355"/>
        <v>469.6859529922616</v>
      </c>
      <c r="AX430">
        <f t="shared" si="356"/>
        <v>-3872.6036624182047</v>
      </c>
      <c r="AY430">
        <f t="shared" si="364"/>
        <v>-1.4501015433283231</v>
      </c>
      <c r="BA430">
        <f t="shared" si="345"/>
        <v>1.1473121756247933</v>
      </c>
      <c r="BB430">
        <f t="shared" si="357"/>
        <v>1.1936320494795414</v>
      </c>
      <c r="BC430">
        <f t="shared" si="358"/>
        <v>-1.5175324494510567</v>
      </c>
      <c r="BD430">
        <f t="shared" si="346"/>
        <v>-266.94820472704828</v>
      </c>
      <c r="BF430">
        <f t="shared" si="347"/>
        <v>-51.964283343897002</v>
      </c>
      <c r="BG430">
        <f t="shared" si="348"/>
        <v>-183.2314166555561</v>
      </c>
      <c r="BH430">
        <f t="shared" si="359"/>
        <v>-3.231416655556103</v>
      </c>
      <c r="BI430">
        <f t="shared" si="360"/>
        <v>-3.231416655556103</v>
      </c>
      <c r="BJ430">
        <f t="shared" si="349"/>
        <v>0</v>
      </c>
      <c r="BK430">
        <f t="shared" si="361"/>
        <v>0</v>
      </c>
      <c r="BM430">
        <f t="shared" si="362"/>
        <v>-53.157915393376541</v>
      </c>
      <c r="BN430">
        <f t="shared" si="350"/>
        <v>-96.283211928507811</v>
      </c>
      <c r="BQ430" s="56">
        <f t="shared" si="363"/>
        <v>18.095592849764678</v>
      </c>
    </row>
    <row r="431" spans="1:69" x14ac:dyDescent="0.25">
      <c r="A431">
        <f t="shared" si="371"/>
        <v>1085000</v>
      </c>
      <c r="B431">
        <f t="shared" si="351"/>
        <v>1085</v>
      </c>
      <c r="C431">
        <f t="shared" si="320"/>
        <v>9.0541705999609157</v>
      </c>
      <c r="D431">
        <f t="shared" si="321"/>
        <v>1.4601242010202389</v>
      </c>
      <c r="F431">
        <f t="shared" si="322"/>
        <v>1.6111414570490962E-5</v>
      </c>
      <c r="G431">
        <f t="shared" si="323"/>
        <v>1.5105634439889768E-3</v>
      </c>
      <c r="H431">
        <f t="shared" si="324"/>
        <v>-3.1400820865560113</v>
      </c>
      <c r="J431">
        <f t="shared" si="325"/>
        <v>15</v>
      </c>
      <c r="M431">
        <f t="shared" si="326"/>
        <v>1.6802586902915039E-3</v>
      </c>
      <c r="N431">
        <f t="shared" si="327"/>
        <v>-1.5707963250000001</v>
      </c>
      <c r="O431">
        <f t="shared" si="328"/>
        <v>179.43296582675572</v>
      </c>
      <c r="P431">
        <f t="shared" si="329"/>
        <v>1.5652231860285899</v>
      </c>
      <c r="Q431">
        <f t="shared" si="330"/>
        <v>278.96390993876236</v>
      </c>
      <c r="R431">
        <f t="shared" si="331"/>
        <v>1.5672116260287556</v>
      </c>
      <c r="S431">
        <f t="shared" si="332"/>
        <v>0.11044633950284932</v>
      </c>
      <c r="T431">
        <f t="shared" si="333"/>
        <v>-1.4601242010202389</v>
      </c>
      <c r="U431">
        <f t="shared" si="334"/>
        <v>0.17734372750170868</v>
      </c>
      <c r="V431">
        <f t="shared" si="335"/>
        <v>-1.392509590813108</v>
      </c>
      <c r="X431">
        <f t="shared" si="352"/>
        <v>-48.862656567347997</v>
      </c>
      <c r="Y431">
        <f t="shared" si="336"/>
        <v>-170.22307913030014</v>
      </c>
      <c r="Z431">
        <f t="shared" si="353"/>
        <v>9.7769208696998646</v>
      </c>
      <c r="AC431">
        <v>1</v>
      </c>
      <c r="AD431">
        <f t="shared" si="337"/>
        <v>179.43017924916001</v>
      </c>
      <c r="AE431">
        <f t="shared" si="338"/>
        <v>-0.18348322126929534</v>
      </c>
      <c r="AF431">
        <f t="shared" si="339"/>
        <v>3.3063691844924997E-2</v>
      </c>
      <c r="AG431">
        <f t="shared" si="367"/>
        <v>165.3986386109604</v>
      </c>
      <c r="AH431">
        <f t="shared" si="368"/>
        <v>-948.10570921488602</v>
      </c>
      <c r="AJ431">
        <f t="shared" si="340"/>
        <v>18000</v>
      </c>
      <c r="AK431">
        <f t="shared" si="341"/>
        <v>161978.00375988</v>
      </c>
      <c r="AL431">
        <v>1</v>
      </c>
      <c r="AM431">
        <f t="shared" si="342"/>
        <v>278.96211758646001</v>
      </c>
      <c r="AN431">
        <f t="shared" si="369"/>
        <v>580.86900042749448</v>
      </c>
      <c r="AO431">
        <f t="shared" si="370"/>
        <v>-62.442639704201824</v>
      </c>
      <c r="AQ431">
        <f t="shared" si="343"/>
        <v>2.1236377660095213E-3</v>
      </c>
      <c r="AR431">
        <f t="shared" si="344"/>
        <v>-4.6082939522406612</v>
      </c>
      <c r="AT431">
        <f t="shared" si="365"/>
        <v>-4368.7985590644012</v>
      </c>
      <c r="AU431">
        <f t="shared" si="366"/>
        <v>-764.21897910998553</v>
      </c>
      <c r="AV431">
        <f t="shared" si="354"/>
        <v>-2.968418228913845</v>
      </c>
      <c r="AW431">
        <f t="shared" si="355"/>
        <v>470.75775896877775</v>
      </c>
      <c r="AX431">
        <f t="shared" si="356"/>
        <v>-3855.0327586672738</v>
      </c>
      <c r="AY431">
        <f t="shared" si="364"/>
        <v>-1.4492828381444745</v>
      </c>
      <c r="BA431">
        <f t="shared" si="345"/>
        <v>1.1419961907022764</v>
      </c>
      <c r="BB431">
        <f t="shared" si="357"/>
        <v>1.1532931051713582</v>
      </c>
      <c r="BC431">
        <f t="shared" si="358"/>
        <v>-1.5191353907693705</v>
      </c>
      <c r="BD431">
        <f t="shared" si="346"/>
        <v>-267.04004649949979</v>
      </c>
      <c r="BF431">
        <f t="shared" si="347"/>
        <v>-52.0452347915665</v>
      </c>
      <c r="BG431">
        <f t="shared" si="348"/>
        <v>-183.29454321040814</v>
      </c>
      <c r="BH431">
        <f t="shared" si="359"/>
        <v>-3.2945432104081362</v>
      </c>
      <c r="BI431">
        <f t="shared" si="360"/>
        <v>-3.2945432104081362</v>
      </c>
      <c r="BJ431">
        <f t="shared" si="349"/>
        <v>0</v>
      </c>
      <c r="BK431">
        <f t="shared" si="361"/>
        <v>0</v>
      </c>
      <c r="BM431">
        <f t="shared" si="362"/>
        <v>-53.198527896737872</v>
      </c>
      <c r="BN431">
        <f t="shared" si="350"/>
        <v>-96.254496710908398</v>
      </c>
      <c r="BQ431" s="56">
        <f t="shared" si="363"/>
        <v>18.055253905456496</v>
      </c>
    </row>
    <row r="432" spans="1:69" x14ac:dyDescent="0.25">
      <c r="A432">
        <f t="shared" si="371"/>
        <v>1090000</v>
      </c>
      <c r="B432">
        <f t="shared" si="351"/>
        <v>1090</v>
      </c>
      <c r="C432">
        <f t="shared" si="320"/>
        <v>9.0953870723188572</v>
      </c>
      <c r="D432">
        <f t="shared" si="321"/>
        <v>1.4606277641944116</v>
      </c>
      <c r="F432">
        <f t="shared" si="322"/>
        <v>1.5963940242653459E-5</v>
      </c>
      <c r="G432">
        <f t="shared" si="323"/>
        <v>1.5036340412987504E-3</v>
      </c>
      <c r="H432">
        <f t="shared" si="324"/>
        <v>-3.1400890159587016</v>
      </c>
      <c r="J432">
        <f t="shared" si="325"/>
        <v>15</v>
      </c>
      <c r="M432">
        <f t="shared" si="326"/>
        <v>1.6725510816204419E-3</v>
      </c>
      <c r="N432">
        <f t="shared" si="327"/>
        <v>-1.5707963250000001</v>
      </c>
      <c r="O432">
        <f t="shared" si="328"/>
        <v>180.25982022996686</v>
      </c>
      <c r="P432">
        <f t="shared" si="329"/>
        <v>1.5652487503687689</v>
      </c>
      <c r="Q432">
        <f t="shared" si="330"/>
        <v>280.24944142939523</v>
      </c>
      <c r="R432">
        <f t="shared" si="331"/>
        <v>1.5672280694703524</v>
      </c>
      <c r="S432">
        <f t="shared" si="332"/>
        <v>0.10994584310143622</v>
      </c>
      <c r="T432">
        <f t="shared" si="333"/>
        <v>-1.4606277641944116</v>
      </c>
      <c r="U432">
        <f t="shared" si="334"/>
        <v>0.17655563920420769</v>
      </c>
      <c r="V432">
        <f t="shared" si="335"/>
        <v>-1.3933103146365216</v>
      </c>
      <c r="X432">
        <f t="shared" si="352"/>
        <v>-48.941279484145909</v>
      </c>
      <c r="Y432">
        <f t="shared" si="336"/>
        <v>-170.26694738291366</v>
      </c>
      <c r="Z432">
        <f t="shared" si="353"/>
        <v>9.7330526170863436</v>
      </c>
      <c r="AC432">
        <v>1</v>
      </c>
      <c r="AD432">
        <f t="shared" si="337"/>
        <v>180.25704643463999</v>
      </c>
      <c r="AE432">
        <f t="shared" si="338"/>
        <v>-0.18517820738605603</v>
      </c>
      <c r="AF432">
        <f t="shared" si="339"/>
        <v>3.3216059088449996E-2</v>
      </c>
      <c r="AG432">
        <f t="shared" si="367"/>
        <v>163.931892552683</v>
      </c>
      <c r="AH432">
        <f t="shared" si="368"/>
        <v>-944.01969579867534</v>
      </c>
      <c r="AJ432">
        <f t="shared" si="340"/>
        <v>18000</v>
      </c>
      <c r="AK432">
        <f t="shared" si="341"/>
        <v>162724.44617352003</v>
      </c>
      <c r="AL432">
        <v>1</v>
      </c>
      <c r="AM432">
        <f t="shared" si="342"/>
        <v>280.24765729884001</v>
      </c>
      <c r="AN432">
        <f t="shared" si="369"/>
        <v>580.86695159353883</v>
      </c>
      <c r="AO432">
        <f t="shared" si="370"/>
        <v>-62.156212887916126</v>
      </c>
      <c r="AQ432">
        <f t="shared" si="343"/>
        <v>2.1041995404007365E-3</v>
      </c>
      <c r="AR432">
        <f t="shared" si="344"/>
        <v>-4.5871549980736051</v>
      </c>
      <c r="AT432">
        <f t="shared" si="365"/>
        <v>-4330.0197204498509</v>
      </c>
      <c r="AU432">
        <f t="shared" si="366"/>
        <v>-753.96740607673382</v>
      </c>
      <c r="AV432">
        <f t="shared" si="354"/>
        <v>-2.96919550229339</v>
      </c>
      <c r="AW432">
        <f t="shared" si="355"/>
        <v>471.81394212730834</v>
      </c>
      <c r="AX432">
        <f t="shared" si="356"/>
        <v>-3837.6194576173521</v>
      </c>
      <c r="AY432">
        <f t="shared" si="364"/>
        <v>-1.4484657861285031</v>
      </c>
      <c r="BA432">
        <f t="shared" si="345"/>
        <v>1.1367272786287275</v>
      </c>
      <c r="BB432">
        <f t="shared" si="357"/>
        <v>1.1131256421519373</v>
      </c>
      <c r="BC432">
        <f t="shared" si="358"/>
        <v>-1.5207297161648869</v>
      </c>
      <c r="BD432">
        <f t="shared" si="346"/>
        <v>-267.13139461593778</v>
      </c>
      <c r="BF432">
        <f t="shared" si="347"/>
        <v>-52.12582358687289</v>
      </c>
      <c r="BG432">
        <f t="shared" si="348"/>
        <v>-183.35743630774402</v>
      </c>
      <c r="BH432">
        <f t="shared" si="359"/>
        <v>-3.3574363077440239</v>
      </c>
      <c r="BI432">
        <f t="shared" si="360"/>
        <v>-3.3574363077440239</v>
      </c>
      <c r="BJ432">
        <f t="shared" si="349"/>
        <v>0</v>
      </c>
      <c r="BK432">
        <f t="shared" si="361"/>
        <v>0</v>
      </c>
      <c r="BM432">
        <f t="shared" si="362"/>
        <v>-53.238949229024826</v>
      </c>
      <c r="BN432">
        <f t="shared" si="350"/>
        <v>-96.226041691806273</v>
      </c>
      <c r="BQ432" s="56">
        <f t="shared" si="363"/>
        <v>18.015086442437074</v>
      </c>
    </row>
    <row r="433" spans="1:69" x14ac:dyDescent="0.25">
      <c r="A433">
        <f t="shared" si="371"/>
        <v>1095000</v>
      </c>
      <c r="B433">
        <f t="shared" si="351"/>
        <v>1095</v>
      </c>
      <c r="C433">
        <f t="shared" si="320"/>
        <v>9.1366058302384463</v>
      </c>
      <c r="D433">
        <f t="shared" si="321"/>
        <v>1.4611267839582136</v>
      </c>
      <c r="F433">
        <f t="shared" si="322"/>
        <v>1.5818481535075411E-5</v>
      </c>
      <c r="G433">
        <f t="shared" si="323"/>
        <v>1.4967679237170655E-3</v>
      </c>
      <c r="H433">
        <f t="shared" si="324"/>
        <v>-3.1400958820762832</v>
      </c>
      <c r="J433">
        <f t="shared" si="325"/>
        <v>15</v>
      </c>
      <c r="M433">
        <f t="shared" si="326"/>
        <v>1.6649138620696636E-3</v>
      </c>
      <c r="N433">
        <f t="shared" si="327"/>
        <v>-1.5707963250000001</v>
      </c>
      <c r="O433">
        <f t="shared" si="328"/>
        <v>181.08667474990833</v>
      </c>
      <c r="P433">
        <f t="shared" si="329"/>
        <v>1.5652740812518062</v>
      </c>
      <c r="Q433">
        <f t="shared" si="330"/>
        <v>281.5349729951119</v>
      </c>
      <c r="R433">
        <f t="shared" si="331"/>
        <v>1.567244362745436</v>
      </c>
      <c r="S433">
        <f t="shared" si="332"/>
        <v>0.10944983493655897</v>
      </c>
      <c r="T433">
        <f t="shared" si="333"/>
        <v>-1.4611267839582136</v>
      </c>
      <c r="U433">
        <f t="shared" si="334"/>
        <v>0.17577441299739036</v>
      </c>
      <c r="V433">
        <f t="shared" si="335"/>
        <v>-1.3941039528539612</v>
      </c>
      <c r="X433">
        <f t="shared" si="352"/>
        <v>-49.019553556981435</v>
      </c>
      <c r="Y433">
        <f t="shared" si="336"/>
        <v>-170.31042801425588</v>
      </c>
      <c r="Z433">
        <f t="shared" si="353"/>
        <v>9.6895719857441236</v>
      </c>
      <c r="AC433">
        <v>1</v>
      </c>
      <c r="AD433">
        <f t="shared" si="337"/>
        <v>181.08391362012</v>
      </c>
      <c r="AE433">
        <f t="shared" si="338"/>
        <v>-0.18688098654243393</v>
      </c>
      <c r="AF433">
        <f t="shared" si="339"/>
        <v>3.3368426331974996E-2</v>
      </c>
      <c r="AG433">
        <f t="shared" si="367"/>
        <v>162.48436527177188</v>
      </c>
      <c r="AH433">
        <f t="shared" si="368"/>
        <v>-939.96756597581771</v>
      </c>
      <c r="AJ433">
        <f t="shared" si="340"/>
        <v>18000</v>
      </c>
      <c r="AK433">
        <f t="shared" si="341"/>
        <v>163470.88858716001</v>
      </c>
      <c r="AL433">
        <v>1</v>
      </c>
      <c r="AM433">
        <f t="shared" si="342"/>
        <v>281.53319701121995</v>
      </c>
      <c r="AN433">
        <f t="shared" si="369"/>
        <v>580.86493076120234</v>
      </c>
      <c r="AO433">
        <f t="shared" si="370"/>
        <v>-61.872401742181019</v>
      </c>
      <c r="AQ433">
        <f t="shared" si="343"/>
        <v>2.0850269833767054E-3</v>
      </c>
      <c r="AR433">
        <f t="shared" si="344"/>
        <v>-4.5662090935949848</v>
      </c>
      <c r="AT433">
        <f t="shared" si="365"/>
        <v>-4291.7496631571539</v>
      </c>
      <c r="AU433">
        <f t="shared" si="366"/>
        <v>-743.89744400953248</v>
      </c>
      <c r="AV433">
        <f t="shared" si="354"/>
        <v>-2.9699659042191171</v>
      </c>
      <c r="AW433">
        <f t="shared" si="355"/>
        <v>472.85480692083314</v>
      </c>
      <c r="AX433">
        <f t="shared" si="356"/>
        <v>-3820.3616620685561</v>
      </c>
      <c r="AY433">
        <f t="shared" si="364"/>
        <v>-1.4476503634689559</v>
      </c>
      <c r="BA433">
        <f t="shared" si="345"/>
        <v>1.1315048167287365</v>
      </c>
      <c r="BB433">
        <f t="shared" si="357"/>
        <v>1.0731281410559304</v>
      </c>
      <c r="BC433">
        <f t="shared" si="358"/>
        <v>-1.5223155407501612</v>
      </c>
      <c r="BD433">
        <f t="shared" si="346"/>
        <v>-267.22225567182591</v>
      </c>
      <c r="BF433">
        <f t="shared" si="347"/>
        <v>-52.206053058696895</v>
      </c>
      <c r="BG433">
        <f t="shared" si="348"/>
        <v>-183.42009903679951</v>
      </c>
      <c r="BH433">
        <f t="shared" si="359"/>
        <v>-3.4200990367995132</v>
      </c>
      <c r="BI433">
        <f t="shared" si="360"/>
        <v>-3.4200990367995132</v>
      </c>
      <c r="BJ433">
        <f t="shared" si="349"/>
        <v>0</v>
      </c>
      <c r="BK433">
        <f t="shared" si="361"/>
        <v>0</v>
      </c>
      <c r="BM433">
        <f t="shared" si="362"/>
        <v>-53.279181199752827</v>
      </c>
      <c r="BN433">
        <f t="shared" si="350"/>
        <v>-96.197843364973664</v>
      </c>
      <c r="BQ433" s="56">
        <f t="shared" si="363"/>
        <v>17.975088941341067</v>
      </c>
    </row>
    <row r="434" spans="1:69" x14ac:dyDescent="0.25">
      <c r="A434">
        <f>A433+5000</f>
        <v>1100000</v>
      </c>
      <c r="B434">
        <f t="shared" si="351"/>
        <v>1100</v>
      </c>
      <c r="C434">
        <f t="shared" si="320"/>
        <v>9.1778268429254641</v>
      </c>
      <c r="D434">
        <f t="shared" si="321"/>
        <v>1.4616213212798288</v>
      </c>
      <c r="F434">
        <f t="shared" si="322"/>
        <v>1.5675001882635867E-5</v>
      </c>
      <c r="G434">
        <f t="shared" si="323"/>
        <v>1.4899642282129415E-3</v>
      </c>
      <c r="H434">
        <f t="shared" si="324"/>
        <v>-3.1401026857717871</v>
      </c>
      <c r="J434">
        <f t="shared" si="325"/>
        <v>15</v>
      </c>
      <c r="M434">
        <f t="shared" si="326"/>
        <v>1.6573460717875287E-3</v>
      </c>
      <c r="N434">
        <f t="shared" si="327"/>
        <v>-1.5707963250000001</v>
      </c>
      <c r="O434">
        <f t="shared" si="328"/>
        <v>181.91352938498844</v>
      </c>
      <c r="P434">
        <f t="shared" si="329"/>
        <v>1.5652991818610795</v>
      </c>
      <c r="Q434">
        <f t="shared" si="330"/>
        <v>282.82050463488844</v>
      </c>
      <c r="R434">
        <f t="shared" si="331"/>
        <v>1.5672605079016972</v>
      </c>
      <c r="S434">
        <f t="shared" si="332"/>
        <v>0.10895825527268792</v>
      </c>
      <c r="T434">
        <f t="shared" si="333"/>
        <v>-1.4616213212798288</v>
      </c>
      <c r="U434">
        <f t="shared" si="334"/>
        <v>0.17499996112517688</v>
      </c>
      <c r="V434">
        <f t="shared" si="335"/>
        <v>-1.3948905981153052</v>
      </c>
      <c r="X434">
        <f t="shared" si="352"/>
        <v>-49.097481821401594</v>
      </c>
      <c r="Y434">
        <f t="shared" si="336"/>
        <v>-170.35352608250363</v>
      </c>
      <c r="Z434">
        <f t="shared" si="353"/>
        <v>9.6464739174963654</v>
      </c>
      <c r="AC434">
        <v>1</v>
      </c>
      <c r="AD434">
        <f t="shared" si="337"/>
        <v>181.91078080560001</v>
      </c>
      <c r="AE434">
        <f t="shared" si="338"/>
        <v>-0.18859155873842923</v>
      </c>
      <c r="AF434">
        <f t="shared" si="339"/>
        <v>3.3520793575500002E-2</v>
      </c>
      <c r="AG434">
        <f t="shared" si="367"/>
        <v>161.05572608610046</v>
      </c>
      <c r="AH434">
        <f t="shared" si="368"/>
        <v>-935.94891647368172</v>
      </c>
      <c r="AJ434">
        <f t="shared" si="340"/>
        <v>18000</v>
      </c>
      <c r="AK434">
        <f t="shared" si="341"/>
        <v>164217.33100080001</v>
      </c>
      <c r="AL434">
        <v>1</v>
      </c>
      <c r="AM434">
        <f t="shared" si="342"/>
        <v>282.81873672359995</v>
      </c>
      <c r="AN434">
        <f t="shared" si="369"/>
        <v>580.86293742253406</v>
      </c>
      <c r="AO434">
        <f t="shared" si="370"/>
        <v>-61.591170600557732</v>
      </c>
      <c r="AQ434">
        <f t="shared" si="343"/>
        <v>2.0661152755960172E-3</v>
      </c>
      <c r="AR434">
        <f t="shared" si="344"/>
        <v>-4.5454536063112387</v>
      </c>
      <c r="AT434">
        <f t="shared" si="365"/>
        <v>-4253.979618012504</v>
      </c>
      <c r="AU434">
        <f t="shared" si="366"/>
        <v>-734.00510930864425</v>
      </c>
      <c r="AV434">
        <f t="shared" si="354"/>
        <v>-2.9707295244207783</v>
      </c>
      <c r="AW434">
        <f t="shared" si="355"/>
        <v>473.88065038782111</v>
      </c>
      <c r="AX434">
        <f t="shared" si="356"/>
        <v>-3803.2573116491367</v>
      </c>
      <c r="AY434">
        <f t="shared" si="364"/>
        <v>-1.4468365468747402</v>
      </c>
      <c r="BA434">
        <f t="shared" si="345"/>
        <v>1.1263281931614408</v>
      </c>
      <c r="BB434">
        <f t="shared" si="357"/>
        <v>1.0332991018022313</v>
      </c>
      <c r="BC434">
        <f t="shared" si="358"/>
        <v>-1.5238929775460381</v>
      </c>
      <c r="BD434">
        <f t="shared" si="346"/>
        <v>-267.31263614278157</v>
      </c>
      <c r="BF434">
        <f t="shared" si="347"/>
        <v>-52.285926490845256</v>
      </c>
      <c r="BG434">
        <f t="shared" si="348"/>
        <v>-183.48253442942047</v>
      </c>
      <c r="BH434">
        <f t="shared" si="359"/>
        <v>-3.4825344294204683</v>
      </c>
      <c r="BI434">
        <f t="shared" si="360"/>
        <v>-3.4825344294204683</v>
      </c>
      <c r="BJ434">
        <f t="shared" si="349"/>
        <v>0</v>
      </c>
      <c r="BK434">
        <f t="shared" si="361"/>
        <v>0</v>
      </c>
      <c r="BM434">
        <f t="shared" si="362"/>
        <v>-53.319225592647484</v>
      </c>
      <c r="BN434">
        <f t="shared" si="350"/>
        <v>-96.16989828663894</v>
      </c>
      <c r="BQ434" s="56">
        <f t="shared" si="363"/>
        <v>17.935259902087367</v>
      </c>
    </row>
    <row r="435" spans="1:69" x14ac:dyDescent="0.25">
      <c r="A435">
        <f t="shared" ref="A435:A472" si="372">A434+5000</f>
        <v>1105000</v>
      </c>
      <c r="B435">
        <f t="shared" si="351"/>
        <v>1105</v>
      </c>
      <c r="C435">
        <f t="shared" si="320"/>
        <v>9.2190500801347781</v>
      </c>
      <c r="D435">
        <f t="shared" si="321"/>
        <v>1.4621114360458169</v>
      </c>
      <c r="F435">
        <f t="shared" si="322"/>
        <v>1.5533465545627282E-5</v>
      </c>
      <c r="G435">
        <f t="shared" si="323"/>
        <v>1.4832221073770404E-3</v>
      </c>
      <c r="H435">
        <f t="shared" si="324"/>
        <v>-3.1401094278926234</v>
      </c>
      <c r="J435">
        <f t="shared" si="325"/>
        <v>15</v>
      </c>
      <c r="M435">
        <f t="shared" si="326"/>
        <v>1.6498467682952776E-3</v>
      </c>
      <c r="N435">
        <f t="shared" si="327"/>
        <v>-1.5707963250000001</v>
      </c>
      <c r="O435">
        <f t="shared" si="328"/>
        <v>182.74038413364431</v>
      </c>
      <c r="P435">
        <f t="shared" si="329"/>
        <v>1.5653240553223509</v>
      </c>
      <c r="Q435">
        <f t="shared" si="330"/>
        <v>284.10603634771951</v>
      </c>
      <c r="R435">
        <f t="shared" si="331"/>
        <v>1.5672765069497654</v>
      </c>
      <c r="S435">
        <f t="shared" si="332"/>
        <v>0.1084710454230856</v>
      </c>
      <c r="T435">
        <f t="shared" si="333"/>
        <v>-1.4621114360458169</v>
      </c>
      <c r="U435">
        <f t="shared" si="334"/>
        <v>0.17423219729510922</v>
      </c>
      <c r="V435">
        <f t="shared" si="335"/>
        <v>-1.3956703414794935</v>
      </c>
      <c r="X435">
        <f t="shared" si="352"/>
        <v>-49.175067274097202</v>
      </c>
      <c r="Y435">
        <f t="shared" si="336"/>
        <v>-170.3962465592094</v>
      </c>
      <c r="Z435">
        <f t="shared" si="353"/>
        <v>9.603753440790598</v>
      </c>
      <c r="AC435">
        <v>1</v>
      </c>
      <c r="AD435">
        <f t="shared" si="337"/>
        <v>182.73764799108</v>
      </c>
      <c r="AE435">
        <f t="shared" si="338"/>
        <v>-0.19030992397404178</v>
      </c>
      <c r="AF435">
        <f t="shared" si="339"/>
        <v>3.3673160819025001E-2</v>
      </c>
      <c r="AG435">
        <f t="shared" si="367"/>
        <v>159.64565131567505</v>
      </c>
      <c r="AH435">
        <f t="shared" si="368"/>
        <v>-931.96335007974346</v>
      </c>
      <c r="AJ435">
        <f t="shared" si="340"/>
        <v>18000</v>
      </c>
      <c r="AK435">
        <f t="shared" si="341"/>
        <v>164963.77341444002</v>
      </c>
      <c r="AL435">
        <v>1</v>
      </c>
      <c r="AM435">
        <f t="shared" si="342"/>
        <v>284.10427643597995</v>
      </c>
      <c r="AN435">
        <f t="shared" si="369"/>
        <v>580.860971081049</v>
      </c>
      <c r="AO435">
        <f t="shared" si="370"/>
        <v>-61.312484442113558</v>
      </c>
      <c r="AQ435">
        <f t="shared" si="343"/>
        <v>2.0474597065048409E-3</v>
      </c>
      <c r="AR435">
        <f t="shared" si="344"/>
        <v>-4.5248859513756985</v>
      </c>
      <c r="AT435">
        <f t="shared" si="365"/>
        <v>-4216.7010019344762</v>
      </c>
      <c r="AU435">
        <f t="shared" si="366"/>
        <v>-724.28652224374889</v>
      </c>
      <c r="AV435">
        <f t="shared" si="354"/>
        <v>-2.9714864510900347</v>
      </c>
      <c r="AW435">
        <f t="shared" si="355"/>
        <v>474.89176236832009</v>
      </c>
      <c r="AX435">
        <f t="shared" si="356"/>
        <v>-3786.3043820147022</v>
      </c>
      <c r="AY435">
        <f t="shared" si="364"/>
        <v>-1.4460243135613571</v>
      </c>
      <c r="BA435">
        <f t="shared" si="345"/>
        <v>1.1211968066885383</v>
      </c>
      <c r="BB435">
        <f t="shared" si="357"/>
        <v>0.9936370432790308</v>
      </c>
      <c r="BC435">
        <f t="shared" si="358"/>
        <v>-1.5254621375286777</v>
      </c>
      <c r="BD435">
        <f t="shared" si="346"/>
        <v>-267.40254238727033</v>
      </c>
      <c r="BF435">
        <f t="shared" si="347"/>
        <v>-52.365447122856722</v>
      </c>
      <c r="BG435">
        <f t="shared" si="348"/>
        <v>-183.54474546137837</v>
      </c>
      <c r="BH435">
        <f t="shared" si="359"/>
        <v>-3.5447454613783691</v>
      </c>
      <c r="BI435">
        <f t="shared" si="360"/>
        <v>-3.5447454613783691</v>
      </c>
      <c r="BJ435">
        <f t="shared" si="349"/>
        <v>0</v>
      </c>
      <c r="BK435">
        <f t="shared" si="361"/>
        <v>0</v>
      </c>
      <c r="BM435">
        <f t="shared" si="362"/>
        <v>-53.359084166135759</v>
      </c>
      <c r="BN435">
        <f t="shared" si="350"/>
        <v>-96.142203074108011</v>
      </c>
      <c r="BQ435" s="56">
        <f t="shared" si="363"/>
        <v>17.895597843564165</v>
      </c>
    </row>
    <row r="436" spans="1:69" x14ac:dyDescent="0.25">
      <c r="A436">
        <f t="shared" si="372"/>
        <v>1110000</v>
      </c>
      <c r="B436">
        <f t="shared" si="351"/>
        <v>1110</v>
      </c>
      <c r="C436">
        <f t="shared" si="320"/>
        <v>9.260275512158195</v>
      </c>
      <c r="D436">
        <f t="shared" si="321"/>
        <v>1.4625971870848982</v>
      </c>
      <c r="F436">
        <f t="shared" si="322"/>
        <v>1.5393837587496678E-5</v>
      </c>
      <c r="G436">
        <f t="shared" si="323"/>
        <v>1.476540729069799E-3</v>
      </c>
      <c r="H436">
        <f t="shared" si="324"/>
        <v>-3.1401161092709304</v>
      </c>
      <c r="J436">
        <f t="shared" si="325"/>
        <v>15</v>
      </c>
      <c r="M436">
        <f t="shared" si="326"/>
        <v>1.6424150260957492E-3</v>
      </c>
      <c r="N436">
        <f t="shared" si="327"/>
        <v>-1.5707963250000001</v>
      </c>
      <c r="O436">
        <f t="shared" si="328"/>
        <v>183.56723899434107</v>
      </c>
      <c r="P436">
        <f t="shared" si="329"/>
        <v>1.5653487047050656</v>
      </c>
      <c r="Q436">
        <f t="shared" si="330"/>
        <v>285.39156813261792</v>
      </c>
      <c r="R436">
        <f t="shared" si="331"/>
        <v>1.5672923618640431</v>
      </c>
      <c r="S436">
        <f t="shared" si="332"/>
        <v>0.10798814772703677</v>
      </c>
      <c r="T436">
        <f t="shared" si="333"/>
        <v>-1.4625971870848982</v>
      </c>
      <c r="U436">
        <f t="shared" si="334"/>
        <v>0.17347103664855507</v>
      </c>
      <c r="V436">
        <f t="shared" si="335"/>
        <v>-1.3964432724481488</v>
      </c>
      <c r="X436">
        <f t="shared" si="352"/>
        <v>-49.252312873553294</v>
      </c>
      <c r="Y436">
        <f t="shared" si="336"/>
        <v>-170.43859433112524</v>
      </c>
      <c r="Z436">
        <f t="shared" si="353"/>
        <v>9.5614056688747553</v>
      </c>
      <c r="AC436">
        <v>1</v>
      </c>
      <c r="AD436">
        <f t="shared" si="337"/>
        <v>183.56451517656001</v>
      </c>
      <c r="AE436">
        <f t="shared" si="338"/>
        <v>-0.1920360822492716</v>
      </c>
      <c r="AF436">
        <f t="shared" si="339"/>
        <v>3.382552806255E-2</v>
      </c>
      <c r="AG436">
        <f t="shared" si="367"/>
        <v>158.25382410755944</v>
      </c>
      <c r="AH436">
        <f t="shared" si="368"/>
        <v>-928.01047553593219</v>
      </c>
      <c r="AJ436">
        <f t="shared" si="340"/>
        <v>18000</v>
      </c>
      <c r="AK436">
        <f t="shared" si="341"/>
        <v>165710.21582807999</v>
      </c>
      <c r="AL436">
        <v>1</v>
      </c>
      <c r="AM436">
        <f t="shared" si="342"/>
        <v>285.38981614835996</v>
      </c>
      <c r="AN436">
        <f t="shared" si="369"/>
        <v>580.85903125141863</v>
      </c>
      <c r="AO436">
        <f t="shared" si="370"/>
        <v>-61.036308876884505</v>
      </c>
      <c r="AQ436">
        <f t="shared" si="343"/>
        <v>2.0290556714033618E-3</v>
      </c>
      <c r="AR436">
        <f t="shared" si="344"/>
        <v>-4.5045035905154629</v>
      </c>
      <c r="AT436">
        <f t="shared" si="365"/>
        <v>-4179.9054132682422</v>
      </c>
      <c r="AU436">
        <f t="shared" si="366"/>
        <v>-714.73790382381185</v>
      </c>
      <c r="AV436">
        <f t="shared" si="354"/>
        <v>-2.9722367709128923</v>
      </c>
      <c r="AW436">
        <f t="shared" si="355"/>
        <v>475.88842571273204</v>
      </c>
      <c r="AX436">
        <f t="shared" si="356"/>
        <v>-3769.5008840681476</v>
      </c>
      <c r="AY436">
        <f t="shared" si="364"/>
        <v>-1.4452136412375671</v>
      </c>
      <c r="BA436">
        <f t="shared" si="345"/>
        <v>1.1161100664481498</v>
      </c>
      <c r="BB436">
        <f t="shared" si="357"/>
        <v>0.95414050303495568</v>
      </c>
      <c r="BC436">
        <f t="shared" si="358"/>
        <v>-1.5270231296753252</v>
      </c>
      <c r="BD436">
        <f t="shared" si="346"/>
        <v>-267.49198064922848</v>
      </c>
      <c r="BF436">
        <f t="shared" si="347"/>
        <v>-52.444618150790383</v>
      </c>
      <c r="BG436">
        <f t="shared" si="348"/>
        <v>-183.60673505365003</v>
      </c>
      <c r="BH436">
        <f t="shared" si="359"/>
        <v>-3.6067350536500271</v>
      </c>
      <c r="BI436">
        <f t="shared" si="360"/>
        <v>-3.6067350536500271</v>
      </c>
      <c r="BJ436">
        <f t="shared" si="349"/>
        <v>0</v>
      </c>
      <c r="BK436">
        <f t="shared" si="361"/>
        <v>0</v>
      </c>
      <c r="BM436">
        <f t="shared" si="362"/>
        <v>-53.39875865382534</v>
      </c>
      <c r="BN436">
        <f t="shared" si="350"/>
        <v>-96.114754404421532</v>
      </c>
      <c r="BQ436" s="56">
        <f t="shared" si="363"/>
        <v>17.856101303320091</v>
      </c>
    </row>
    <row r="437" spans="1:69" x14ac:dyDescent="0.25">
      <c r="A437">
        <f t="shared" si="372"/>
        <v>1115000</v>
      </c>
      <c r="B437">
        <f t="shared" si="351"/>
        <v>1115</v>
      </c>
      <c r="C437">
        <f t="shared" si="320"/>
        <v>9.3015031098126411</v>
      </c>
      <c r="D437">
        <f t="shared" si="321"/>
        <v>1.4630786321911127</v>
      </c>
      <c r="F437">
        <f t="shared" si="322"/>
        <v>1.5256083853283986E-5</v>
      </c>
      <c r="G437">
        <f t="shared" si="323"/>
        <v>1.4699192760790247E-3</v>
      </c>
      <c r="H437">
        <f t="shared" si="324"/>
        <v>-3.1401227307239212</v>
      </c>
      <c r="J437">
        <f t="shared" si="325"/>
        <v>15</v>
      </c>
      <c r="M437">
        <f t="shared" si="326"/>
        <v>1.6350499362926291E-3</v>
      </c>
      <c r="N437">
        <f t="shared" si="327"/>
        <v>-1.5707963250000001</v>
      </c>
      <c r="O437">
        <f t="shared" si="328"/>
        <v>184.39409396557159</v>
      </c>
      <c r="P437">
        <f t="shared" si="329"/>
        <v>1.5653731330236147</v>
      </c>
      <c r="Q437">
        <f t="shared" si="330"/>
        <v>286.6770999886142</v>
      </c>
      <c r="R437">
        <f t="shared" si="331"/>
        <v>1.5673080745835184</v>
      </c>
      <c r="S437">
        <f t="shared" si="332"/>
        <v>0.10750950552766553</v>
      </c>
      <c r="T437">
        <f t="shared" si="333"/>
        <v>-1.4630786321911127</v>
      </c>
      <c r="U437">
        <f t="shared" si="334"/>
        <v>0.17271639573162118</v>
      </c>
      <c r="V437">
        <f t="shared" si="335"/>
        <v>-1.39720947899836</v>
      </c>
      <c r="X437">
        <f t="shared" si="352"/>
        <v>-49.329221540685921</v>
      </c>
      <c r="Y437">
        <f t="shared" si="336"/>
        <v>-170.48057420198211</v>
      </c>
      <c r="Z437">
        <f t="shared" si="353"/>
        <v>9.5194257980178918</v>
      </c>
      <c r="AC437">
        <v>1</v>
      </c>
      <c r="AD437">
        <f t="shared" si="337"/>
        <v>184.39138236203999</v>
      </c>
      <c r="AE437">
        <f t="shared" si="338"/>
        <v>-0.19377003356411873</v>
      </c>
      <c r="AF437">
        <f t="shared" si="339"/>
        <v>3.3977895306075E-2</v>
      </c>
      <c r="AG437">
        <f t="shared" si="367"/>
        <v>156.87993426582153</v>
      </c>
      <c r="AH437">
        <f t="shared" si="368"/>
        <v>-924.08990743494155</v>
      </c>
      <c r="AJ437">
        <f t="shared" si="340"/>
        <v>18000</v>
      </c>
      <c r="AK437">
        <f t="shared" si="341"/>
        <v>166456.65824172003</v>
      </c>
      <c r="AL437">
        <v>1</v>
      </c>
      <c r="AM437">
        <f t="shared" si="342"/>
        <v>286.67535586073996</v>
      </c>
      <c r="AN437">
        <f t="shared" si="369"/>
        <v>580.85711745917195</v>
      </c>
      <c r="AO437">
        <f t="shared" si="370"/>
        <v>-60.762610131729048</v>
      </c>
      <c r="AQ437">
        <f t="shared" si="343"/>
        <v>2.0108986686041006E-3</v>
      </c>
      <c r="AR437">
        <f t="shared" si="344"/>
        <v>-4.4843040309871443</v>
      </c>
      <c r="AT437">
        <f t="shared" si="365"/>
        <v>-4143.5846272541003</v>
      </c>
      <c r="AU437">
        <f t="shared" si="366"/>
        <v>-705.35557277375312</v>
      </c>
      <c r="AV437">
        <f t="shared" si="354"/>
        <v>-2.9729805691013231</v>
      </c>
      <c r="AW437">
        <f t="shared" si="355"/>
        <v>476.87091648355812</v>
      </c>
      <c r="AX437">
        <f t="shared" si="356"/>
        <v>-3752.8448631996789</v>
      </c>
      <c r="AY437">
        <f t="shared" si="364"/>
        <v>-1.4444045080924661</v>
      </c>
      <c r="BA437">
        <f t="shared" si="345"/>
        <v>1.1110673917343818</v>
      </c>
      <c r="BB437">
        <f t="shared" si="357"/>
        <v>0.91480803697630408</v>
      </c>
      <c r="BC437">
        <f t="shared" si="358"/>
        <v>-1.528576061008857</v>
      </c>
      <c r="BD437">
        <f t="shared" si="346"/>
        <v>-267.58095706061516</v>
      </c>
      <c r="BF437">
        <f t="shared" si="347"/>
        <v>-52.523442727996439</v>
      </c>
      <c r="BG437">
        <f t="shared" si="348"/>
        <v>-183.66850607366291</v>
      </c>
      <c r="BH437">
        <f t="shared" si="359"/>
        <v>-3.6685060736629111</v>
      </c>
      <c r="BI437">
        <f t="shared" si="360"/>
        <v>-3.6685060736629111</v>
      </c>
      <c r="BJ437">
        <f t="shared" si="349"/>
        <v>0</v>
      </c>
      <c r="BK437">
        <f t="shared" si="361"/>
        <v>0</v>
      </c>
      <c r="BM437">
        <f t="shared" si="362"/>
        <v>-53.438250764972743</v>
      </c>
      <c r="BN437">
        <f t="shared" si="350"/>
        <v>-96.08754901304772</v>
      </c>
      <c r="BQ437" s="56">
        <f t="shared" si="363"/>
        <v>17.816768837261442</v>
      </c>
    </row>
    <row r="438" spans="1:69" x14ac:dyDescent="0.25">
      <c r="A438">
        <f t="shared" si="372"/>
        <v>1120000</v>
      </c>
      <c r="B438">
        <f t="shared" si="351"/>
        <v>1120</v>
      </c>
      <c r="C438">
        <f t="shared" si="320"/>
        <v>9.3427328444286371</v>
      </c>
      <c r="D438">
        <f t="shared" si="321"/>
        <v>1.4635558281463796</v>
      </c>
      <c r="F438">
        <f t="shared" si="322"/>
        <v>1.5120170948732689E-5</v>
      </c>
      <c r="G438">
        <f t="shared" si="323"/>
        <v>1.4633569457866678E-3</v>
      </c>
      <c r="H438">
        <f t="shared" si="324"/>
        <v>-3.1401292930542137</v>
      </c>
      <c r="J438">
        <f t="shared" si="325"/>
        <v>15</v>
      </c>
      <c r="M438">
        <f t="shared" si="326"/>
        <v>1.6277506062198942E-3</v>
      </c>
      <c r="N438">
        <f t="shared" si="327"/>
        <v>-1.5707963250000001</v>
      </c>
      <c r="O438">
        <f t="shared" si="328"/>
        <v>185.22094904585549</v>
      </c>
      <c r="P438">
        <f t="shared" si="329"/>
        <v>1.5653973432385628</v>
      </c>
      <c r="Q438">
        <f t="shared" si="330"/>
        <v>287.96263191475612</v>
      </c>
      <c r="R438">
        <f t="shared" si="331"/>
        <v>1.5673236470125549</v>
      </c>
      <c r="S438">
        <f t="shared" si="332"/>
        <v>0.10703506315032132</v>
      </c>
      <c r="T438">
        <f t="shared" si="333"/>
        <v>-1.4635558281463796</v>
      </c>
      <c r="U438">
        <f t="shared" si="334"/>
        <v>0.17196819246675651</v>
      </c>
      <c r="V438">
        <f t="shared" si="335"/>
        <v>-1.3979690476146505</v>
      </c>
      <c r="X438">
        <f t="shared" si="352"/>
        <v>-49.405796159466234</v>
      </c>
      <c r="Y438">
        <f t="shared" si="336"/>
        <v>-170.52219089422505</v>
      </c>
      <c r="Z438">
        <f t="shared" si="353"/>
        <v>9.4778091057749521</v>
      </c>
      <c r="AC438">
        <v>1</v>
      </c>
      <c r="AD438">
        <f t="shared" si="337"/>
        <v>185.21824954752</v>
      </c>
      <c r="AE438">
        <f t="shared" si="338"/>
        <v>-0.19551177791858315</v>
      </c>
      <c r="AF438">
        <f t="shared" si="339"/>
        <v>3.4130262549599999E-2</v>
      </c>
      <c r="AG438">
        <f t="shared" si="367"/>
        <v>155.52367808634034</v>
      </c>
      <c r="AH438">
        <f t="shared" si="368"/>
        <v>-920.20126611847195</v>
      </c>
      <c r="AJ438">
        <f t="shared" si="340"/>
        <v>18000</v>
      </c>
      <c r="AK438">
        <f t="shared" si="341"/>
        <v>167203.10065536</v>
      </c>
      <c r="AL438">
        <v>1</v>
      </c>
      <c r="AM438">
        <f t="shared" si="342"/>
        <v>287.96089557311996</v>
      </c>
      <c r="AN438">
        <f t="shared" si="369"/>
        <v>580.85522924040379</v>
      </c>
      <c r="AO438">
        <f t="shared" si="370"/>
        <v>-60.491355036560755</v>
      </c>
      <c r="AQ438">
        <f t="shared" si="343"/>
        <v>1.992984296678831E-3</v>
      </c>
      <c r="AR438">
        <f t="shared" si="344"/>
        <v>-4.4642848245605817</v>
      </c>
      <c r="AT438">
        <f t="shared" si="365"/>
        <v>-4107.7305916259402</v>
      </c>
      <c r="AU438">
        <f t="shared" si="366"/>
        <v>-696.13594261385231</v>
      </c>
      <c r="AV438">
        <f t="shared" si="354"/>
        <v>-2.9737179294241094</v>
      </c>
      <c r="AW438">
        <f t="shared" si="355"/>
        <v>477.8395041503793</v>
      </c>
      <c r="AX438">
        <f t="shared" si="356"/>
        <v>-3736.3343985463362</v>
      </c>
      <c r="AY438">
        <f t="shared" si="364"/>
        <v>-1.4435968927829643</v>
      </c>
      <c r="BA438">
        <f t="shared" si="345"/>
        <v>1.1060682117824101</v>
      </c>
      <c r="BB438">
        <f t="shared" si="357"/>
        <v>0.87563821907013895</v>
      </c>
      <c r="BC438">
        <f t="shared" si="358"/>
        <v>-1.5301210366411451</v>
      </c>
      <c r="BD438">
        <f t="shared" si="346"/>
        <v>-267.66947764389698</v>
      </c>
      <c r="BF438">
        <f t="shared" si="347"/>
        <v>-52.601923965870157</v>
      </c>
      <c r="BG438">
        <f t="shared" si="348"/>
        <v>-183.73006133650591</v>
      </c>
      <c r="BH438">
        <f t="shared" si="359"/>
        <v>-3.7300613365059121</v>
      </c>
      <c r="BI438">
        <f t="shared" si="360"/>
        <v>-3.7300613365059121</v>
      </c>
      <c r="BJ438">
        <f t="shared" si="349"/>
        <v>0</v>
      </c>
      <c r="BK438">
        <f t="shared" si="361"/>
        <v>0</v>
      </c>
      <c r="BM438">
        <f t="shared" si="362"/>
        <v>-53.477562184940297</v>
      </c>
      <c r="BN438">
        <f t="shared" si="350"/>
        <v>-96.060583692608944</v>
      </c>
      <c r="BQ438" s="56">
        <f t="shared" si="363"/>
        <v>17.777599019355279</v>
      </c>
    </row>
    <row r="439" spans="1:69" x14ac:dyDescent="0.25">
      <c r="A439">
        <f t="shared" si="372"/>
        <v>1125000</v>
      </c>
      <c r="B439">
        <f t="shared" si="351"/>
        <v>1125</v>
      </c>
      <c r="C439">
        <f t="shared" si="320"/>
        <v>9.3839646878390788</v>
      </c>
      <c r="D439">
        <f t="shared" si="321"/>
        <v>1.4640288307424687</v>
      </c>
      <c r="F439">
        <f t="shared" si="322"/>
        <v>1.4986066220048949E-5</v>
      </c>
      <c r="G439">
        <f t="shared" si="323"/>
        <v>1.456852949844477E-3</v>
      </c>
      <c r="H439">
        <f t="shared" si="324"/>
        <v>-3.1401357970501556</v>
      </c>
      <c r="J439">
        <f t="shared" si="325"/>
        <v>15</v>
      </c>
      <c r="M439">
        <f t="shared" si="326"/>
        <v>1.6205161590811393E-3</v>
      </c>
      <c r="N439">
        <f t="shared" si="327"/>
        <v>-1.5707963250000001</v>
      </c>
      <c r="O439">
        <f t="shared" si="328"/>
        <v>186.04780423373882</v>
      </c>
      <c r="P439">
        <f t="shared" si="329"/>
        <v>1.5654213382578457</v>
      </c>
      <c r="Q439">
        <f t="shared" si="330"/>
        <v>289.24816391010836</v>
      </c>
      <c r="R439">
        <f t="shared" si="331"/>
        <v>1.5673390810216619</v>
      </c>
      <c r="S439">
        <f t="shared" si="332"/>
        <v>0.10656476588151764</v>
      </c>
      <c r="T439">
        <f t="shared" si="333"/>
        <v>-1.4640288307424687</v>
      </c>
      <c r="U439">
        <f t="shared" si="334"/>
        <v>0.17122634612502668</v>
      </c>
      <c r="V439">
        <f t="shared" si="335"/>
        <v>-1.3987220633201536</v>
      </c>
      <c r="X439">
        <f t="shared" si="352"/>
        <v>-49.482039577531594</v>
      </c>
      <c r="Y439">
        <f t="shared" si="336"/>
        <v>-170.563449050705</v>
      </c>
      <c r="Z439">
        <f t="shared" si="353"/>
        <v>9.4365509492949968</v>
      </c>
      <c r="AC439">
        <v>1</v>
      </c>
      <c r="AD439">
        <f t="shared" si="337"/>
        <v>186.04511673300001</v>
      </c>
      <c r="AE439">
        <f t="shared" si="338"/>
        <v>-0.19726131531266486</v>
      </c>
      <c r="AF439">
        <f t="shared" si="339"/>
        <v>3.4282629793124998E-2</v>
      </c>
      <c r="AG439">
        <f t="shared" si="367"/>
        <v>154.18475819631567</v>
      </c>
      <c r="AH439">
        <f t="shared" si="368"/>
        <v>-916.34417757736549</v>
      </c>
      <c r="AJ439">
        <f t="shared" si="340"/>
        <v>18000</v>
      </c>
      <c r="AK439">
        <f t="shared" si="341"/>
        <v>167949.54306900001</v>
      </c>
      <c r="AL439">
        <v>1</v>
      </c>
      <c r="AM439">
        <f t="shared" si="342"/>
        <v>289.24643528550001</v>
      </c>
      <c r="AN439">
        <f t="shared" si="369"/>
        <v>580.8533661414956</v>
      </c>
      <c r="AO439">
        <f t="shared" si="370"/>
        <v>-60.222511010948068</v>
      </c>
      <c r="AQ439">
        <f t="shared" si="343"/>
        <v>1.9753082517909625E-3</v>
      </c>
      <c r="AR439">
        <f t="shared" si="344"/>
        <v>-4.4444435665296655</v>
      </c>
      <c r="AT439">
        <f t="shared" si="365"/>
        <v>-4072.335422335474</v>
      </c>
      <c r="AU439">
        <f t="shared" si="366"/>
        <v>-687.07551883799647</v>
      </c>
      <c r="AV439">
        <f t="shared" si="354"/>
        <v>-2.9744489342369205</v>
      </c>
      <c r="AW439">
        <f t="shared" si="355"/>
        <v>478.79445177833514</v>
      </c>
      <c r="AX439">
        <f t="shared" si="356"/>
        <v>-3719.9676022704507</v>
      </c>
      <c r="AY439">
        <f t="shared" si="364"/>
        <v>-1.4427907744216484</v>
      </c>
      <c r="BA439">
        <f t="shared" si="345"/>
        <v>1.1011119655589308</v>
      </c>
      <c r="BB439">
        <f t="shared" si="357"/>
        <v>0.83662964105314142</v>
      </c>
      <c r="BC439">
        <f t="shared" si="358"/>
        <v>-1.5316581598152721</v>
      </c>
      <c r="BD439">
        <f t="shared" si="346"/>
        <v>-267.75754831446687</v>
      </c>
      <c r="BF439">
        <f t="shared" si="347"/>
        <v>-52.680064934589275</v>
      </c>
      <c r="BG439">
        <f t="shared" si="348"/>
        <v>-183.79140360610805</v>
      </c>
      <c r="BH439">
        <f t="shared" si="359"/>
        <v>-3.7914036061080481</v>
      </c>
      <c r="BI439">
        <f t="shared" si="360"/>
        <v>-3.7914036061080481</v>
      </c>
      <c r="BJ439">
        <f t="shared" si="349"/>
        <v>0</v>
      </c>
      <c r="BK439">
        <f t="shared" si="361"/>
        <v>0</v>
      </c>
      <c r="BM439">
        <f t="shared" si="362"/>
        <v>-53.516694575642418</v>
      </c>
      <c r="BN439">
        <f t="shared" si="350"/>
        <v>-96.033855291641203</v>
      </c>
      <c r="BQ439" s="56">
        <f t="shared" si="363"/>
        <v>17.738590441338278</v>
      </c>
    </row>
    <row r="440" spans="1:69" x14ac:dyDescent="0.25">
      <c r="A440">
        <f t="shared" si="372"/>
        <v>1130000</v>
      </c>
      <c r="B440">
        <f t="shared" si="351"/>
        <v>1130</v>
      </c>
      <c r="C440">
        <f t="shared" si="320"/>
        <v>9.4251986123683249</v>
      </c>
      <c r="D440">
        <f t="shared" si="321"/>
        <v>1.4644976948024062</v>
      </c>
      <c r="F440">
        <f t="shared" si="322"/>
        <v>1.4853737734286275E-5</v>
      </c>
      <c r="G440">
        <f t="shared" si="323"/>
        <v>1.4504065138582715E-3</v>
      </c>
      <c r="H440">
        <f t="shared" si="324"/>
        <v>-3.1401422434861419</v>
      </c>
      <c r="J440">
        <f t="shared" si="325"/>
        <v>15</v>
      </c>
      <c r="M440">
        <f t="shared" si="326"/>
        <v>1.6133457335984792E-3</v>
      </c>
      <c r="N440">
        <f t="shared" si="327"/>
        <v>-1.5707963250000001</v>
      </c>
      <c r="O440">
        <f t="shared" si="328"/>
        <v>186.87465952779328</v>
      </c>
      <c r="P440">
        <f t="shared" si="329"/>
        <v>1.5654451209379325</v>
      </c>
      <c r="Q440">
        <f t="shared" si="330"/>
        <v>290.53369597375234</v>
      </c>
      <c r="R440">
        <f t="shared" si="331"/>
        <v>1.5673543784482427</v>
      </c>
      <c r="S440">
        <f t="shared" si="332"/>
        <v>0.1060985599484067</v>
      </c>
      <c r="T440">
        <f t="shared" si="333"/>
        <v>-1.4644976948024062</v>
      </c>
      <c r="U440">
        <f t="shared" si="334"/>
        <v>0.17049077729904163</v>
      </c>
      <c r="V440">
        <f t="shared" si="335"/>
        <v>-1.3994686097070201</v>
      </c>
      <c r="X440">
        <f t="shared" si="352"/>
        <v>-49.557954606784513</v>
      </c>
      <c r="Y440">
        <f t="shared" si="336"/>
        <v>-170.60435323632984</v>
      </c>
      <c r="Z440">
        <f t="shared" si="353"/>
        <v>9.3956467636701575</v>
      </c>
      <c r="AC440">
        <v>1</v>
      </c>
      <c r="AD440">
        <f t="shared" si="337"/>
        <v>186.87198391848</v>
      </c>
      <c r="AE440">
        <f t="shared" si="338"/>
        <v>-0.19901864574636388</v>
      </c>
      <c r="AF440">
        <f t="shared" si="339"/>
        <v>3.4434997036649997E-2</v>
      </c>
      <c r="AG440">
        <f t="shared" si="367"/>
        <v>152.86288339833189</v>
      </c>
      <c r="AH440">
        <f t="shared" si="368"/>
        <v>-912.51827335360463</v>
      </c>
      <c r="AJ440">
        <f t="shared" si="340"/>
        <v>18000</v>
      </c>
      <c r="AK440">
        <f t="shared" si="341"/>
        <v>168695.98548264001</v>
      </c>
      <c r="AL440">
        <v>1</v>
      </c>
      <c r="AM440">
        <f t="shared" si="342"/>
        <v>290.53197499788001</v>
      </c>
      <c r="AN440">
        <f t="shared" si="369"/>
        <v>580.85152771884225</v>
      </c>
      <c r="AO440">
        <f t="shared" si="370"/>
        <v>-59.956046051069812</v>
      </c>
      <c r="AQ440">
        <f t="shared" si="343"/>
        <v>1.95786632511036E-3</v>
      </c>
      <c r="AR440">
        <f t="shared" si="344"/>
        <v>-4.4247778947494139</v>
      </c>
      <c r="AT440">
        <f t="shared" si="365"/>
        <v>-4037.3913993981678</v>
      </c>
      <c r="AU440">
        <f t="shared" si="366"/>
        <v>-678.17089618704301</v>
      </c>
      <c r="AV440">
        <f t="shared" si="354"/>
        <v>-2.9751736645116518</v>
      </c>
      <c r="AW440">
        <f t="shared" si="355"/>
        <v>479.73601621034095</v>
      </c>
      <c r="AX440">
        <f t="shared" si="356"/>
        <v>-3703.7426188564373</v>
      </c>
      <c r="AY440">
        <f t="shared" si="364"/>
        <v>-1.4419861325650167</v>
      </c>
      <c r="BA440">
        <f t="shared" si="345"/>
        <v>1.096198101557829</v>
      </c>
      <c r="BB440">
        <f t="shared" si="357"/>
        <v>0.79778091214612445</v>
      </c>
      <c r="BC440">
        <f t="shared" si="358"/>
        <v>-1.533187531946635</v>
      </c>
      <c r="BD440">
        <f t="shared" si="346"/>
        <v>-267.845174882999</v>
      </c>
      <c r="BF440">
        <f t="shared" si="347"/>
        <v>-52.75786866383541</v>
      </c>
      <c r="BG440">
        <f t="shared" si="348"/>
        <v>-183.85253559638508</v>
      </c>
      <c r="BH440">
        <f t="shared" si="359"/>
        <v>-3.8525355963850814</v>
      </c>
      <c r="BI440">
        <f t="shared" si="360"/>
        <v>-3.8525355963850814</v>
      </c>
      <c r="BJ440">
        <f t="shared" si="349"/>
        <v>0</v>
      </c>
      <c r="BK440">
        <f t="shared" si="361"/>
        <v>0</v>
      </c>
      <c r="BM440">
        <f t="shared" si="362"/>
        <v>-53.555649575981533</v>
      </c>
      <c r="BN440">
        <f t="shared" si="350"/>
        <v>-96.007360713386063</v>
      </c>
      <c r="BQ440" s="56">
        <f t="shared" si="363"/>
        <v>17.699741712431262</v>
      </c>
    </row>
    <row r="441" spans="1:69" x14ac:dyDescent="0.25">
      <c r="A441">
        <f t="shared" si="372"/>
        <v>1135000</v>
      </c>
      <c r="B441">
        <f t="shared" si="351"/>
        <v>1135</v>
      </c>
      <c r="C441">
        <f t="shared" si="320"/>
        <v>9.4664345908215441</v>
      </c>
      <c r="D441">
        <f t="shared" si="321"/>
        <v>1.4649624742013279</v>
      </c>
      <c r="F441">
        <f t="shared" si="322"/>
        <v>1.4723154260333793E-5</v>
      </c>
      <c r="G441">
        <f t="shared" si="323"/>
        <v>1.4440168770805519E-3</v>
      </c>
      <c r="H441">
        <f t="shared" si="324"/>
        <v>-3.1401486331229198</v>
      </c>
      <c r="J441">
        <f t="shared" si="325"/>
        <v>15</v>
      </c>
      <c r="M441">
        <f t="shared" si="326"/>
        <v>1.6062384836707327E-3</v>
      </c>
      <c r="N441">
        <f t="shared" si="327"/>
        <v>-1.5707963250000001</v>
      </c>
      <c r="O441">
        <f t="shared" si="328"/>
        <v>187.70151492661574</v>
      </c>
      <c r="P441">
        <f t="shared" si="329"/>
        <v>1.5654686940849616</v>
      </c>
      <c r="Q441">
        <f t="shared" si="330"/>
        <v>291.81922810478545</v>
      </c>
      <c r="R441">
        <f t="shared" si="331"/>
        <v>1.5673695410973243</v>
      </c>
      <c r="S441">
        <f t="shared" si="332"/>
        <v>0.10563639249877449</v>
      </c>
      <c r="T441">
        <f t="shared" si="333"/>
        <v>-1.4649624742013279</v>
      </c>
      <c r="U441">
        <f t="shared" si="334"/>
        <v>0.16976140787651939</v>
      </c>
      <c r="V441">
        <f t="shared" si="335"/>
        <v>-1.4002087689660776</v>
      </c>
      <c r="X441">
        <f t="shared" si="352"/>
        <v>-49.633544023979283</v>
      </c>
      <c r="Y441">
        <f t="shared" si="336"/>
        <v>-170.64490793967451</v>
      </c>
      <c r="Z441">
        <f t="shared" si="353"/>
        <v>9.3550920603254895</v>
      </c>
      <c r="AC441">
        <v>1</v>
      </c>
      <c r="AD441">
        <f t="shared" si="337"/>
        <v>187.69885110395998</v>
      </c>
      <c r="AE441">
        <f t="shared" si="338"/>
        <v>-0.20078376921968016</v>
      </c>
      <c r="AF441">
        <f t="shared" si="339"/>
        <v>3.4587364280174997E-2</v>
      </c>
      <c r="AG441">
        <f t="shared" si="367"/>
        <v>151.55776851883013</v>
      </c>
      <c r="AH441">
        <f t="shared" si="368"/>
        <v>-908.72319044414542</v>
      </c>
      <c r="AJ441">
        <f t="shared" si="340"/>
        <v>18000</v>
      </c>
      <c r="AK441">
        <f t="shared" si="341"/>
        <v>169442.42789628002</v>
      </c>
      <c r="AL441">
        <v>1</v>
      </c>
      <c r="AM441">
        <f t="shared" si="342"/>
        <v>291.81751471026001</v>
      </c>
      <c r="AN441">
        <f t="shared" si="369"/>
        <v>580.84971353858737</v>
      </c>
      <c r="AO441">
        <f t="shared" si="370"/>
        <v>-59.69192871701533</v>
      </c>
      <c r="AQ441">
        <f t="shared" si="343"/>
        <v>1.9406544003077101E-3</v>
      </c>
      <c r="AR441">
        <f t="shared" si="344"/>
        <v>-4.4052854886985022</v>
      </c>
      <c r="AT441">
        <f t="shared" si="365"/>
        <v>-4002.8909628570223</v>
      </c>
      <c r="AU441">
        <f t="shared" si="366"/>
        <v>-669.41875601372612</v>
      </c>
      <c r="AV441">
        <f t="shared" si="354"/>
        <v>-2.9758921998650449</v>
      </c>
      <c r="AW441">
        <f t="shared" si="355"/>
        <v>480.66444824328477</v>
      </c>
      <c r="AX441">
        <f t="shared" si="356"/>
        <v>-3687.6576244254147</v>
      </c>
      <c r="AY441">
        <f t="shared" si="364"/>
        <v>-1.4411829472020712</v>
      </c>
      <c r="BA441">
        <f t="shared" si="345"/>
        <v>1.0913260776009148</v>
      </c>
      <c r="BB441">
        <f t="shared" si="357"/>
        <v>0.75909065877407322</v>
      </c>
      <c r="BC441">
        <f t="shared" si="358"/>
        <v>-1.5347092526629738</v>
      </c>
      <c r="BD441">
        <f t="shared" si="346"/>
        <v>-267.93236305774246</v>
      </c>
      <c r="BF441">
        <f t="shared" si="347"/>
        <v>-52.835338143499662</v>
      </c>
      <c r="BG441">
        <f t="shared" si="348"/>
        <v>-183.91345997235567</v>
      </c>
      <c r="BH441">
        <f t="shared" si="359"/>
        <v>-3.9134599723556676</v>
      </c>
      <c r="BI441">
        <f t="shared" si="360"/>
        <v>-3.9134599723556676</v>
      </c>
      <c r="BJ441">
        <f t="shared" si="349"/>
        <v>0</v>
      </c>
      <c r="BK441">
        <f t="shared" si="361"/>
        <v>0</v>
      </c>
      <c r="BM441">
        <f t="shared" si="362"/>
        <v>-53.59442880227374</v>
      </c>
      <c r="BN441">
        <f t="shared" si="350"/>
        <v>-95.981096914613204</v>
      </c>
      <c r="BQ441" s="56">
        <f t="shared" si="363"/>
        <v>17.661051459059209</v>
      </c>
    </row>
    <row r="442" spans="1:69" x14ac:dyDescent="0.25">
      <c r="A442">
        <f t="shared" si="372"/>
        <v>1140000</v>
      </c>
      <c r="B442">
        <f t="shared" si="351"/>
        <v>1140</v>
      </c>
      <c r="C442">
        <f t="shared" si="320"/>
        <v>9.5076725964743503</v>
      </c>
      <c r="D442">
        <f t="shared" si="321"/>
        <v>1.4654232218867995</v>
      </c>
      <c r="F442">
        <f t="shared" si="322"/>
        <v>1.4594285250486879E-5</v>
      </c>
      <c r="G442">
        <f t="shared" si="323"/>
        <v>1.4376832921112102E-3</v>
      </c>
      <c r="H442">
        <f t="shared" si="324"/>
        <v>-3.1401549667078892</v>
      </c>
      <c r="J442">
        <f t="shared" si="325"/>
        <v>15</v>
      </c>
      <c r="M442">
        <f t="shared" si="326"/>
        <v>1.5991935780405979E-3</v>
      </c>
      <c r="N442">
        <f t="shared" si="327"/>
        <v>-1.5707963250000001</v>
      </c>
      <c r="O442">
        <f t="shared" si="328"/>
        <v>188.52837042882777</v>
      </c>
      <c r="P442">
        <f t="shared" si="329"/>
        <v>1.5654920604558429</v>
      </c>
      <c r="Q442">
        <f t="shared" si="330"/>
        <v>293.10476030232098</v>
      </c>
      <c r="R442">
        <f t="shared" si="331"/>
        <v>1.5673845707422676</v>
      </c>
      <c r="S442">
        <f t="shared" si="332"/>
        <v>0.10517821158154118</v>
      </c>
      <c r="T442">
        <f t="shared" si="333"/>
        <v>-1.4654232218867995</v>
      </c>
      <c r="U442">
        <f t="shared" si="334"/>
        <v>0.16903816101446861</v>
      </c>
      <c r="V442">
        <f t="shared" si="335"/>
        <v>-1.400942621915763</v>
      </c>
      <c r="X442">
        <f t="shared" si="352"/>
        <v>-49.708810571296986</v>
      </c>
      <c r="Y442">
        <f t="shared" si="336"/>
        <v>-170.68511757455167</v>
      </c>
      <c r="Z442">
        <f t="shared" si="353"/>
        <v>9.3148824254483316</v>
      </c>
      <c r="AC442">
        <v>1</v>
      </c>
      <c r="AD442">
        <f t="shared" si="337"/>
        <v>188.52571828944002</v>
      </c>
      <c r="AE442">
        <f t="shared" si="338"/>
        <v>-0.20255668573261376</v>
      </c>
      <c r="AF442">
        <f t="shared" si="339"/>
        <v>3.4739731523699996E-2</v>
      </c>
      <c r="AG442">
        <f t="shared" si="367"/>
        <v>150.26913426084798</v>
      </c>
      <c r="AH442">
        <f t="shared" si="368"/>
        <v>-904.95857120654534</v>
      </c>
      <c r="AJ442">
        <f t="shared" si="340"/>
        <v>18000</v>
      </c>
      <c r="AK442">
        <f t="shared" si="341"/>
        <v>170188.87030992002</v>
      </c>
      <c r="AL442">
        <v>1</v>
      </c>
      <c r="AM442">
        <f t="shared" si="342"/>
        <v>293.10305442263996</v>
      </c>
      <c r="AN442">
        <f t="shared" si="369"/>
        <v>580.84792317636823</v>
      </c>
      <c r="AO442">
        <f t="shared" si="370"/>
        <v>-59.430128120418978</v>
      </c>
      <c r="AQ442">
        <f t="shared" si="343"/>
        <v>1.9236684511256441E-3</v>
      </c>
      <c r="AR442">
        <f t="shared" si="344"/>
        <v>-4.3859640685664685</v>
      </c>
      <c r="AT442">
        <f t="shared" si="365"/>
        <v>-3968.8267088604025</v>
      </c>
      <c r="AU442">
        <f t="shared" si="366"/>
        <v>-660.81586373567552</v>
      </c>
      <c r="AV442">
        <f t="shared" si="354"/>
        <v>-2.9766046185866091</v>
      </c>
      <c r="AW442">
        <f t="shared" si="355"/>
        <v>481.57999279842636</v>
      </c>
      <c r="AX442">
        <f t="shared" si="356"/>
        <v>-3671.7108260671266</v>
      </c>
      <c r="AY442">
        <f t="shared" si="364"/>
        <v>-1.4403811987432587</v>
      </c>
      <c r="BA442">
        <f t="shared" si="345"/>
        <v>1.0864953606435745</v>
      </c>
      <c r="BB442">
        <f t="shared" si="357"/>
        <v>0.72055752429153197</v>
      </c>
      <c r="BC442">
        <f t="shared" si="358"/>
        <v>-1.5362234198433504</v>
      </c>
      <c r="BD442">
        <f t="shared" si="346"/>
        <v>-268.01911844675442</v>
      </c>
      <c r="BF442">
        <f t="shared" si="347"/>
        <v>-52.912476324373216</v>
      </c>
      <c r="BG442">
        <f t="shared" si="348"/>
        <v>-183.97417935122783</v>
      </c>
      <c r="BH442">
        <f t="shared" si="359"/>
        <v>-3.9741793512278321</v>
      </c>
      <c r="BI442">
        <f t="shared" si="360"/>
        <v>-3.9741793512278321</v>
      </c>
      <c r="BJ442">
        <f t="shared" si="349"/>
        <v>0</v>
      </c>
      <c r="BK442">
        <f t="shared" si="361"/>
        <v>0</v>
      </c>
      <c r="BM442">
        <f t="shared" si="362"/>
        <v>-53.633033848664752</v>
      </c>
      <c r="BN442">
        <f t="shared" si="350"/>
        <v>-95.955060904473456</v>
      </c>
      <c r="BQ442" s="56">
        <f t="shared" si="363"/>
        <v>17.622518324576667</v>
      </c>
    </row>
    <row r="443" spans="1:69" x14ac:dyDescent="0.25">
      <c r="A443">
        <f t="shared" si="372"/>
        <v>1145000</v>
      </c>
      <c r="B443">
        <f t="shared" si="351"/>
        <v>1145</v>
      </c>
      <c r="C443">
        <f t="shared" si="320"/>
        <v>9.5489126030627069</v>
      </c>
      <c r="D443">
        <f t="shared" si="321"/>
        <v>1.4658799898986188</v>
      </c>
      <c r="F443">
        <f t="shared" si="322"/>
        <v>1.4467100822579995E-5</v>
      </c>
      <c r="G443">
        <f t="shared" si="323"/>
        <v>1.4314050246060745E-3</v>
      </c>
      <c r="H443">
        <f t="shared" si="324"/>
        <v>-3.1401612449753942</v>
      </c>
      <c r="J443">
        <f t="shared" si="325"/>
        <v>15</v>
      </c>
      <c r="M443">
        <f t="shared" si="326"/>
        <v>1.5922101999705518E-3</v>
      </c>
      <c r="N443">
        <f t="shared" si="327"/>
        <v>-1.5707963250000001</v>
      </c>
      <c r="O443">
        <f t="shared" si="328"/>
        <v>189.3552260330749</v>
      </c>
      <c r="P443">
        <f t="shared" si="329"/>
        <v>1.5655152227593325</v>
      </c>
      <c r="Q443">
        <f t="shared" si="330"/>
        <v>294.39029256548781</v>
      </c>
      <c r="R443">
        <f t="shared" si="331"/>
        <v>1.5673994691254571</v>
      </c>
      <c r="S443">
        <f t="shared" si="332"/>
        <v>0.1047239661277517</v>
      </c>
      <c r="T443">
        <f t="shared" si="333"/>
        <v>-1.4658799898986188</v>
      </c>
      <c r="U443">
        <f t="shared" si="334"/>
        <v>0.16832096111397388</v>
      </c>
      <c r="V443">
        <f t="shared" si="335"/>
        <v>-1.4016702480303502</v>
      </c>
      <c r="X443">
        <f t="shared" si="352"/>
        <v>-49.783756956908846</v>
      </c>
      <c r="Y443">
        <f t="shared" si="336"/>
        <v>-170.72498648154522</v>
      </c>
      <c r="Z443">
        <f t="shared" si="353"/>
        <v>9.2750135184547844</v>
      </c>
      <c r="AC443">
        <v>1</v>
      </c>
      <c r="AD443">
        <f t="shared" si="337"/>
        <v>189.35258547492001</v>
      </c>
      <c r="AE443">
        <f t="shared" si="338"/>
        <v>-0.20433739528516462</v>
      </c>
      <c r="AF443">
        <f t="shared" si="339"/>
        <v>3.4892098767224995E-2</v>
      </c>
      <c r="AG443">
        <f t="shared" si="367"/>
        <v>148.9967070608931</v>
      </c>
      <c r="AH443">
        <f t="shared" si="368"/>
        <v>-901.22406326635803</v>
      </c>
      <c r="AJ443">
        <f t="shared" si="340"/>
        <v>18000</v>
      </c>
      <c r="AK443">
        <f t="shared" si="341"/>
        <v>170935.31272356003</v>
      </c>
      <c r="AL443">
        <v>1</v>
      </c>
      <c r="AM443">
        <f t="shared" si="342"/>
        <v>294.38859413501996</v>
      </c>
      <c r="AN443">
        <f t="shared" si="369"/>
        <v>580.84615621706666</v>
      </c>
      <c r="AO443">
        <f t="shared" si="370"/>
        <v>-59.170613912418503</v>
      </c>
      <c r="AQ443">
        <f t="shared" si="343"/>
        <v>1.9069045390239434E-3</v>
      </c>
      <c r="AR443">
        <f t="shared" si="344"/>
        <v>-4.3668113943648299</v>
      </c>
      <c r="AT443">
        <f t="shared" si="365"/>
        <v>-3935.1913858503085</v>
      </c>
      <c r="AU443">
        <f t="shared" si="366"/>
        <v>-652.35906637326696</v>
      </c>
      <c r="AV443">
        <f t="shared" si="354"/>
        <v>-2.9773109976658603</v>
      </c>
      <c r="AW443">
        <f t="shared" si="355"/>
        <v>482.48288908621782</v>
      </c>
      <c r="AX443">
        <f t="shared" si="356"/>
        <v>-3655.9004611886367</v>
      </c>
      <c r="AY443">
        <f t="shared" si="364"/>
        <v>-1.4395808680097424</v>
      </c>
      <c r="BA443">
        <f t="shared" si="345"/>
        <v>1.0817054265852113</v>
      </c>
      <c r="BB443">
        <f t="shared" si="357"/>
        <v>0.68218016871331244</v>
      </c>
      <c r="BC443">
        <f t="shared" si="358"/>
        <v>-1.5377301296561179</v>
      </c>
      <c r="BD443">
        <f t="shared" si="346"/>
        <v>-268.10544656007556</v>
      </c>
      <c r="BF443">
        <f t="shared" si="347"/>
        <v>-52.989286118822847</v>
      </c>
      <c r="BG443">
        <f t="shared" si="348"/>
        <v>-184.03469630345637</v>
      </c>
      <c r="BH443">
        <f t="shared" si="359"/>
        <v>-4.0346963034563714</v>
      </c>
      <c r="BI443">
        <f t="shared" si="360"/>
        <v>-4.0346963034563714</v>
      </c>
      <c r="BJ443">
        <f t="shared" si="349"/>
        <v>0</v>
      </c>
      <c r="BK443">
        <f t="shared" si="361"/>
        <v>0</v>
      </c>
      <c r="BM443">
        <f t="shared" si="362"/>
        <v>-53.671466287536155</v>
      </c>
      <c r="BN443">
        <f t="shared" si="350"/>
        <v>-95.929249743380822</v>
      </c>
      <c r="BQ443" s="56">
        <f t="shared" si="363"/>
        <v>17.584140968998451</v>
      </c>
    </row>
    <row r="444" spans="1:69" x14ac:dyDescent="0.25">
      <c r="A444">
        <f t="shared" si="372"/>
        <v>1150000</v>
      </c>
      <c r="B444">
        <f t="shared" si="351"/>
        <v>1150</v>
      </c>
      <c r="C444">
        <f t="shared" si="320"/>
        <v>9.5901545847730816</v>
      </c>
      <c r="D444">
        <f t="shared" si="321"/>
        <v>1.4663328293881124</v>
      </c>
      <c r="F444">
        <f t="shared" si="322"/>
        <v>1.4341571742662078E-5</v>
      </c>
      <c r="G444">
        <f t="shared" si="323"/>
        <v>1.4251813529930618E-3</v>
      </c>
      <c r="H444">
        <f t="shared" si="324"/>
        <v>-3.1401674686470074</v>
      </c>
      <c r="J444">
        <f t="shared" si="325"/>
        <v>15</v>
      </c>
      <c r="M444">
        <f t="shared" si="326"/>
        <v>1.5852875469272013E-3</v>
      </c>
      <c r="N444">
        <f t="shared" si="327"/>
        <v>-1.5707963250000001</v>
      </c>
      <c r="O444">
        <f t="shared" si="328"/>
        <v>190.18208173802634</v>
      </c>
      <c r="P444">
        <f t="shared" si="329"/>
        <v>1.5655381836570803</v>
      </c>
      <c r="Q444">
        <f t="shared" si="330"/>
        <v>295.67582489342982</v>
      </c>
      <c r="R444">
        <f t="shared" si="331"/>
        <v>1.5674142379589771</v>
      </c>
      <c r="S444">
        <f t="shared" si="332"/>
        <v>0.10427360593204264</v>
      </c>
      <c r="T444">
        <f t="shared" si="333"/>
        <v>-1.4663328293881124</v>
      </c>
      <c r="U444">
        <f t="shared" si="334"/>
        <v>0.16760973379556715</v>
      </c>
      <c r="V444">
        <f t="shared" si="335"/>
        <v>-1.40239172546749</v>
      </c>
      <c r="X444">
        <f t="shared" si="352"/>
        <v>-49.858385855528304</v>
      </c>
      <c r="Y444">
        <f t="shared" si="336"/>
        <v>-170.7645189295051</v>
      </c>
      <c r="Z444">
        <f t="shared" si="353"/>
        <v>9.2354810704948989</v>
      </c>
      <c r="AC444">
        <v>1</v>
      </c>
      <c r="AD444">
        <f t="shared" si="337"/>
        <v>190.17945266039999</v>
      </c>
      <c r="AE444">
        <f t="shared" si="338"/>
        <v>-0.20612589787733279</v>
      </c>
      <c r="AF444">
        <f t="shared" si="339"/>
        <v>3.5044466010749994E-2</v>
      </c>
      <c r="AG444">
        <f t="shared" si="367"/>
        <v>147.74021894981976</v>
      </c>
      <c r="AH444">
        <f t="shared" si="368"/>
        <v>-897.51931942626845</v>
      </c>
      <c r="AJ444">
        <f t="shared" si="340"/>
        <v>18000</v>
      </c>
      <c r="AK444">
        <f t="shared" si="341"/>
        <v>171681.7551372</v>
      </c>
      <c r="AL444">
        <v>1</v>
      </c>
      <c r="AM444">
        <f t="shared" si="342"/>
        <v>295.67413384739996</v>
      </c>
      <c r="AN444">
        <f t="shared" si="369"/>
        <v>580.84441225456942</v>
      </c>
      <c r="AO444">
        <f t="shared" si="370"/>
        <v>-58.913356271927427</v>
      </c>
      <c r="AQ444">
        <f t="shared" si="343"/>
        <v>1.8903588108962551E-3</v>
      </c>
      <c r="AR444">
        <f t="shared" si="344"/>
        <v>-4.3478252650613864</v>
      </c>
      <c r="AT444">
        <f t="shared" si="365"/>
        <v>-3901.9778908576154</v>
      </c>
      <c r="AU444">
        <f t="shared" si="366"/>
        <v>-644.04529016915444</v>
      </c>
      <c r="AV444">
        <f t="shared" si="354"/>
        <v>-2.9780114128189035</v>
      </c>
      <c r="AW444">
        <f t="shared" si="355"/>
        <v>483.37337076575284</v>
      </c>
      <c r="AX444">
        <f t="shared" si="356"/>
        <v>-3640.2247968793417</v>
      </c>
      <c r="AY444">
        <f t="shared" si="364"/>
        <v>-1.4387819362229988</v>
      </c>
      <c r="BA444">
        <f t="shared" si="345"/>
        <v>1.0769557600843309</v>
      </c>
      <c r="BB444">
        <f t="shared" si="357"/>
        <v>0.64395726845034762</v>
      </c>
      <c r="BC444">
        <f t="shared" si="358"/>
        <v>-1.5392294765959047</v>
      </c>
      <c r="BD444">
        <f t="shared" si="346"/>
        <v>-268.19135281184936</v>
      </c>
      <c r="BF444">
        <f t="shared" si="347"/>
        <v>-53.065770401452099</v>
      </c>
      <c r="BG444">
        <f t="shared" si="348"/>
        <v>-184.0950133537726</v>
      </c>
      <c r="BH444">
        <f t="shared" si="359"/>
        <v>-4.0950133537726003</v>
      </c>
      <c r="BI444">
        <f t="shared" si="360"/>
        <v>-4.0950133537726003</v>
      </c>
      <c r="BJ444">
        <f t="shared" si="349"/>
        <v>0</v>
      </c>
      <c r="BK444">
        <f t="shared" si="361"/>
        <v>0</v>
      </c>
      <c r="BM444">
        <f t="shared" si="362"/>
        <v>-53.709727669902435</v>
      </c>
      <c r="BN444">
        <f t="shared" si="350"/>
        <v>-95.903660541923244</v>
      </c>
      <c r="BQ444" s="56">
        <f t="shared" si="363"/>
        <v>17.545918068735485</v>
      </c>
    </row>
    <row r="445" spans="1:69" x14ac:dyDescent="0.25">
      <c r="A445">
        <f t="shared" si="372"/>
        <v>1155000</v>
      </c>
      <c r="B445">
        <f t="shared" si="351"/>
        <v>1155</v>
      </c>
      <c r="C445">
        <f t="shared" si="320"/>
        <v>9.6313985162328493</v>
      </c>
      <c r="D445">
        <f t="shared" si="321"/>
        <v>1.4667817906369469</v>
      </c>
      <c r="F445">
        <f t="shared" si="322"/>
        <v>1.4217669408195858E-5</v>
      </c>
      <c r="G445">
        <f t="shared" si="323"/>
        <v>1.4190115681957025E-3</v>
      </c>
      <c r="H445">
        <f t="shared" si="324"/>
        <v>-3.1401736384318046</v>
      </c>
      <c r="J445">
        <f t="shared" si="325"/>
        <v>15</v>
      </c>
      <c r="M445">
        <f t="shared" si="326"/>
        <v>1.5784248302738368E-3</v>
      </c>
      <c r="N445">
        <f t="shared" si="327"/>
        <v>-1.5707963250000001</v>
      </c>
      <c r="O445">
        <f t="shared" si="328"/>
        <v>191.00893754237424</v>
      </c>
      <c r="P445">
        <f t="shared" si="329"/>
        <v>1.5655609457646493</v>
      </c>
      <c r="Q445">
        <f t="shared" si="330"/>
        <v>296.96135728530584</v>
      </c>
      <c r="R445">
        <f t="shared" si="331"/>
        <v>1.5674288789252648</v>
      </c>
      <c r="S445">
        <f t="shared" si="332"/>
        <v>0.10382708163457163</v>
      </c>
      <c r="T445">
        <f t="shared" si="333"/>
        <v>-1.4667817906369469</v>
      </c>
      <c r="U445">
        <f t="shared" si="334"/>
        <v>0.16690440587517097</v>
      </c>
      <c r="V445">
        <f t="shared" si="335"/>
        <v>-1.4031071310950847</v>
      </c>
      <c r="X445">
        <f t="shared" si="352"/>
        <v>-49.932699908952259</v>
      </c>
      <c r="Y445">
        <f t="shared" si="336"/>
        <v>-170.80371911700757</v>
      </c>
      <c r="Z445">
        <f t="shared" si="353"/>
        <v>9.1962808829924256</v>
      </c>
      <c r="AC445">
        <v>1</v>
      </c>
      <c r="AD445">
        <f t="shared" si="337"/>
        <v>191.00631984588</v>
      </c>
      <c r="AE445">
        <f t="shared" si="338"/>
        <v>-0.20792219350911822</v>
      </c>
      <c r="AF445">
        <f t="shared" si="339"/>
        <v>3.5196833254274994E-2</v>
      </c>
      <c r="AG445">
        <f t="shared" si="367"/>
        <v>146.49940741758198</v>
      </c>
      <c r="AH445">
        <f t="shared" si="368"/>
        <v>-893.8439975769254</v>
      </c>
      <c r="AJ445">
        <f t="shared" si="340"/>
        <v>18000</v>
      </c>
      <c r="AK445">
        <f t="shared" si="341"/>
        <v>172428.19755084001</v>
      </c>
      <c r="AL445">
        <v>1</v>
      </c>
      <c r="AM445">
        <f t="shared" si="342"/>
        <v>296.95967355977996</v>
      </c>
      <c r="AN445">
        <f t="shared" si="369"/>
        <v>580.8426908915344</v>
      </c>
      <c r="AO445">
        <f t="shared" si="370"/>
        <v>-58.658325894212282</v>
      </c>
      <c r="AQ445">
        <f t="shared" si="343"/>
        <v>1.8740274968558504E-3</v>
      </c>
      <c r="AR445">
        <f t="shared" si="344"/>
        <v>-4.3290035177370143</v>
      </c>
      <c r="AT445">
        <f t="shared" si="365"/>
        <v>-3869.1792659008515</v>
      </c>
      <c r="AU445">
        <f t="shared" si="366"/>
        <v>-635.8715382864591</v>
      </c>
      <c r="AV445">
        <f t="shared" si="354"/>
        <v>-2.9787059385143704</v>
      </c>
      <c r="AW445">
        <f t="shared" si="355"/>
        <v>484.25166609904124</v>
      </c>
      <c r="AX445">
        <f t="shared" si="356"/>
        <v>-3624.6821292918039</v>
      </c>
      <c r="AY445">
        <f t="shared" si="364"/>
        <v>-1.4379843849947249</v>
      </c>
      <c r="BA445">
        <f t="shared" si="345"/>
        <v>1.072245854378143</v>
      </c>
      <c r="BB445">
        <f t="shared" si="357"/>
        <v>0.60588751605057656</v>
      </c>
      <c r="BC445">
        <f t="shared" si="358"/>
        <v>-1.5407215535196455</v>
      </c>
      <c r="BD445">
        <f t="shared" si="346"/>
        <v>-268.27684252238623</v>
      </c>
      <c r="BF445">
        <f t="shared" si="347"/>
        <v>-53.141932009748345</v>
      </c>
      <c r="BG445">
        <f t="shared" si="348"/>
        <v>-184.15513298218676</v>
      </c>
      <c r="BH445">
        <f t="shared" si="359"/>
        <v>-4.1551329821867569</v>
      </c>
      <c r="BI445">
        <f t="shared" si="360"/>
        <v>-4.1551329821867569</v>
      </c>
      <c r="BJ445">
        <f t="shared" si="349"/>
        <v>0</v>
      </c>
      <c r="BK445">
        <f t="shared" si="361"/>
        <v>0</v>
      </c>
      <c r="BM445">
        <f t="shared" si="362"/>
        <v>-53.747819525798917</v>
      </c>
      <c r="BN445">
        <f t="shared" si="350"/>
        <v>-95.878290459800496</v>
      </c>
      <c r="BQ445" s="56">
        <f t="shared" si="363"/>
        <v>17.507848316335711</v>
      </c>
    </row>
    <row r="446" spans="1:69" x14ac:dyDescent="0.25">
      <c r="A446">
        <f t="shared" si="372"/>
        <v>1160000</v>
      </c>
      <c r="B446">
        <f t="shared" si="351"/>
        <v>1160</v>
      </c>
      <c r="C446">
        <f t="shared" si="320"/>
        <v>9.672644372500951</v>
      </c>
      <c r="D446">
        <f t="shared" si="321"/>
        <v>1.4672269230754638</v>
      </c>
      <c r="F446">
        <f t="shared" si="322"/>
        <v>1.409536583176294E-5</v>
      </c>
      <c r="G446">
        <f t="shared" si="323"/>
        <v>1.4128949733638169E-3</v>
      </c>
      <c r="H446">
        <f t="shared" si="324"/>
        <v>-3.1401797550266366</v>
      </c>
      <c r="J446">
        <f t="shared" si="325"/>
        <v>15</v>
      </c>
      <c r="M446">
        <f t="shared" si="326"/>
        <v>1.5716212749709324E-3</v>
      </c>
      <c r="N446">
        <f t="shared" si="327"/>
        <v>-1.5707963250000001</v>
      </c>
      <c r="O446">
        <f t="shared" si="328"/>
        <v>191.83579344483331</v>
      </c>
      <c r="P446">
        <f t="shared" si="329"/>
        <v>1.5655835116525083</v>
      </c>
      <c r="Q446">
        <f t="shared" si="330"/>
        <v>298.24688974028913</v>
      </c>
      <c r="R446">
        <f t="shared" si="331"/>
        <v>1.567443393677751</v>
      </c>
      <c r="S446">
        <f t="shared" si="332"/>
        <v>0.10338434470339583</v>
      </c>
      <c r="T446">
        <f t="shared" si="333"/>
        <v>-1.4672269230754638</v>
      </c>
      <c r="U446">
        <f t="shared" si="334"/>
        <v>0.16620490534059706</v>
      </c>
      <c r="V446">
        <f t="shared" si="335"/>
        <v>-1.4038165405175123</v>
      </c>
      <c r="X446">
        <f t="shared" si="352"/>
        <v>-50.006701726591338</v>
      </c>
      <c r="Y446">
        <f t="shared" si="336"/>
        <v>-170.84259117377937</v>
      </c>
      <c r="Z446">
        <f t="shared" si="353"/>
        <v>9.1574088262206317</v>
      </c>
      <c r="AC446">
        <v>1</v>
      </c>
      <c r="AD446">
        <f t="shared" si="337"/>
        <v>191.83318703136001</v>
      </c>
      <c r="AE446">
        <f t="shared" si="338"/>
        <v>-0.20972628218052097</v>
      </c>
      <c r="AF446">
        <f t="shared" si="339"/>
        <v>3.53492004978E-2</v>
      </c>
      <c r="AG446">
        <f t="shared" si="367"/>
        <v>145.27401528174227</v>
      </c>
      <c r="AH446">
        <f t="shared" si="368"/>
        <v>-890.19776060944935</v>
      </c>
      <c r="AJ446">
        <f t="shared" si="340"/>
        <v>18000</v>
      </c>
      <c r="AK446">
        <f t="shared" si="341"/>
        <v>173174.63996448001</v>
      </c>
      <c r="AL446">
        <v>1</v>
      </c>
      <c r="AM446">
        <f t="shared" si="342"/>
        <v>298.24521327215996</v>
      </c>
      <c r="AN446">
        <f t="shared" si="369"/>
        <v>580.84099173916377</v>
      </c>
      <c r="AO446">
        <f t="shared" si="370"/>
        <v>-58.405493979764906</v>
      </c>
      <c r="AQ446">
        <f t="shared" si="343"/>
        <v>1.8579069080880447E-3</v>
      </c>
      <c r="AR446">
        <f t="shared" si="344"/>
        <v>-4.3103440267642634</v>
      </c>
      <c r="AT446">
        <f t="shared" si="365"/>
        <v>-3836.7886944853062</v>
      </c>
      <c r="AU446">
        <f t="shared" si="366"/>
        <v>-627.83488858271892</v>
      </c>
      <c r="AV446">
        <f t="shared" si="354"/>
        <v>-2.9793946479987325</v>
      </c>
      <c r="AW446">
        <f t="shared" si="355"/>
        <v>485.11799810030192</v>
      </c>
      <c r="AX446">
        <f t="shared" si="356"/>
        <v>-3609.2707830379431</v>
      </c>
      <c r="AY446">
        <f t="shared" si="364"/>
        <v>-1.4371881963170452</v>
      </c>
      <c r="BA446">
        <f t="shared" si="345"/>
        <v>1.0675752111065553</v>
      </c>
      <c r="BB446">
        <f t="shared" si="357"/>
        <v>0.56796961994478745</v>
      </c>
      <c r="BC446">
        <f t="shared" si="358"/>
        <v>-1.5422064516816874</v>
      </c>
      <c r="BD446">
        <f t="shared" si="346"/>
        <v>-268.36192092017524</v>
      </c>
      <c r="BF446">
        <f t="shared" si="347"/>
        <v>-53.217773744716084</v>
      </c>
      <c r="BG446">
        <f t="shared" si="348"/>
        <v>-184.21505762496446</v>
      </c>
      <c r="BH446">
        <f t="shared" si="359"/>
        <v>-4.2150576249644587</v>
      </c>
      <c r="BI446">
        <f t="shared" si="360"/>
        <v>-4.2150576249644587</v>
      </c>
      <c r="BJ446">
        <f t="shared" si="349"/>
        <v>0</v>
      </c>
      <c r="BK446">
        <f t="shared" si="361"/>
        <v>0</v>
      </c>
      <c r="BM446">
        <f t="shared" si="362"/>
        <v>-53.785743364660867</v>
      </c>
      <c r="BN446">
        <f t="shared" si="350"/>
        <v>-95.85313670478925</v>
      </c>
      <c r="BQ446" s="56">
        <f t="shared" si="363"/>
        <v>17.469930420229925</v>
      </c>
    </row>
    <row r="447" spans="1:69" x14ac:dyDescent="0.25">
      <c r="A447">
        <f t="shared" si="372"/>
        <v>1165000</v>
      </c>
      <c r="B447">
        <f t="shared" si="351"/>
        <v>1165</v>
      </c>
      <c r="C447">
        <f t="shared" si="320"/>
        <v>9.713892129058781</v>
      </c>
      <c r="D447">
        <f t="shared" si="321"/>
        <v>1.4676682753005559</v>
      </c>
      <c r="F447">
        <f t="shared" si="322"/>
        <v>1.3974633625257482E-5</v>
      </c>
      <c r="G447">
        <f t="shared" si="323"/>
        <v>1.4068308836111261E-3</v>
      </c>
      <c r="H447">
        <f t="shared" si="324"/>
        <v>-3.1401858191163892</v>
      </c>
      <c r="J447">
        <f t="shared" si="325"/>
        <v>15</v>
      </c>
      <c r="M447">
        <f t="shared" si="326"/>
        <v>1.5648761192843619E-3</v>
      </c>
      <c r="N447">
        <f t="shared" si="327"/>
        <v>-1.5707963250000001</v>
      </c>
      <c r="O447">
        <f t="shared" si="328"/>
        <v>192.66264944414041</v>
      </c>
      <c r="P447">
        <f t="shared" si="329"/>
        <v>1.5656058838469999</v>
      </c>
      <c r="Q447">
        <f t="shared" si="330"/>
        <v>299.53242225756713</v>
      </c>
      <c r="R447">
        <f t="shared" si="331"/>
        <v>1.5674577838414818</v>
      </c>
      <c r="S447">
        <f t="shared" si="332"/>
        <v>0.10294534741728641</v>
      </c>
      <c r="T447">
        <f t="shared" si="333"/>
        <v>-1.4676682753005557</v>
      </c>
      <c r="U447">
        <f t="shared" si="334"/>
        <v>0.1655111613285869</v>
      </c>
      <c r="V447">
        <f t="shared" si="335"/>
        <v>-1.4045200281012227</v>
      </c>
      <c r="X447">
        <f t="shared" si="352"/>
        <v>-50.080393885989849</v>
      </c>
      <c r="Y447">
        <f t="shared" si="336"/>
        <v>-170.88113916208815</v>
      </c>
      <c r="Z447">
        <f t="shared" si="353"/>
        <v>9.1188608379118534</v>
      </c>
      <c r="AC447">
        <v>1</v>
      </c>
      <c r="AD447">
        <f t="shared" si="337"/>
        <v>192.66005421684</v>
      </c>
      <c r="AE447">
        <f t="shared" si="338"/>
        <v>-0.21153816389154104</v>
      </c>
      <c r="AF447">
        <f t="shared" si="339"/>
        <v>3.5501567741324999E-2</v>
      </c>
      <c r="AG447">
        <f t="shared" si="367"/>
        <v>144.06379055961943</v>
      </c>
      <c r="AH447">
        <f t="shared" si="368"/>
        <v>-886.58027632958544</v>
      </c>
      <c r="AJ447">
        <f t="shared" si="340"/>
        <v>18000</v>
      </c>
      <c r="AK447">
        <f t="shared" si="341"/>
        <v>173921.08237812002</v>
      </c>
      <c r="AL447">
        <v>1</v>
      </c>
      <c r="AM447">
        <f t="shared" si="342"/>
        <v>299.53075298453996</v>
      </c>
      <c r="AN447">
        <f t="shared" si="369"/>
        <v>580.83931441698508</v>
      </c>
      <c r="AO447">
        <f t="shared" si="370"/>
        <v>-58.154832223461518</v>
      </c>
      <c r="AQ447">
        <f t="shared" si="343"/>
        <v>1.8419934347669998E-3</v>
      </c>
      <c r="AR447">
        <f t="shared" si="344"/>
        <v>-4.2918447030071096</v>
      </c>
      <c r="AT447">
        <f t="shared" si="365"/>
        <v>-3804.7994981993124</v>
      </c>
      <c r="AU447">
        <f t="shared" si="366"/>
        <v>-619.93249145682137</v>
      </c>
      <c r="AV447">
        <f t="shared" si="354"/>
        <v>-2.9800776133210114</v>
      </c>
      <c r="AW447">
        <f t="shared" si="355"/>
        <v>485.97258468045777</v>
      </c>
      <c r="AX447">
        <f t="shared" si="356"/>
        <v>-3593.9891106001865</v>
      </c>
      <c r="AY447">
        <f t="shared" si="364"/>
        <v>-1.4363933525530108</v>
      </c>
      <c r="BA447">
        <f t="shared" si="345"/>
        <v>1.0629433401404362</v>
      </c>
      <c r="BB447">
        <f t="shared" si="357"/>
        <v>0.5302023041972953</v>
      </c>
      <c r="BC447">
        <f t="shared" si="358"/>
        <v>-1.5436842607680006</v>
      </c>
      <c r="BD447">
        <f t="shared" si="346"/>
        <v>-268.44659314384381</v>
      </c>
      <c r="BF447">
        <f t="shared" si="347"/>
        <v>-53.293298371496753</v>
      </c>
      <c r="BG447">
        <f t="shared" si="348"/>
        <v>-184.27478967557747</v>
      </c>
      <c r="BH447">
        <f t="shared" si="359"/>
        <v>-4.2747896755774661</v>
      </c>
      <c r="BI447">
        <f t="shared" si="360"/>
        <v>-4.2747896755774661</v>
      </c>
      <c r="BJ447">
        <f t="shared" si="349"/>
        <v>0</v>
      </c>
      <c r="BK447">
        <f t="shared" si="361"/>
        <v>0</v>
      </c>
      <c r="BM447">
        <f t="shared" si="362"/>
        <v>-53.823500675694049</v>
      </c>
      <c r="BN447">
        <f t="shared" si="350"/>
        <v>-95.828196531733667</v>
      </c>
      <c r="BQ447" s="56">
        <f t="shared" si="363"/>
        <v>17.432163104482431</v>
      </c>
    </row>
    <row r="448" spans="1:69" x14ac:dyDescent="0.25">
      <c r="A448">
        <f t="shared" si="372"/>
        <v>1170000</v>
      </c>
      <c r="B448">
        <f t="shared" si="351"/>
        <v>1170</v>
      </c>
      <c r="C448">
        <f t="shared" si="320"/>
        <v>9.755141761801303</v>
      </c>
      <c r="D448">
        <f t="shared" si="321"/>
        <v>1.4681058950930952</v>
      </c>
      <c r="F448">
        <f t="shared" si="322"/>
        <v>1.3855445984551632E-5</v>
      </c>
      <c r="G448">
        <f t="shared" si="323"/>
        <v>1.400818625759594E-3</v>
      </c>
      <c r="H448">
        <f t="shared" si="324"/>
        <v>-3.1401918313742407</v>
      </c>
      <c r="J448">
        <f t="shared" si="325"/>
        <v>15</v>
      </c>
      <c r="M448">
        <f t="shared" si="326"/>
        <v>1.5581886145010955E-3</v>
      </c>
      <c r="N448">
        <f t="shared" si="327"/>
        <v>-1.5707963250000001</v>
      </c>
      <c r="O448">
        <f t="shared" si="328"/>
        <v>193.48950553905388</v>
      </c>
      <c r="P448">
        <f t="shared" si="329"/>
        <v>1.5656280648312835</v>
      </c>
      <c r="Q448">
        <f t="shared" si="330"/>
        <v>300.81795483634124</v>
      </c>
      <c r="R448">
        <f t="shared" si="331"/>
        <v>1.5674720510137252</v>
      </c>
      <c r="S448">
        <f t="shared" si="332"/>
        <v>0.10251004284896714</v>
      </c>
      <c r="T448">
        <f t="shared" si="333"/>
        <v>-1.4681058950930952</v>
      </c>
      <c r="U448">
        <f t="shared" si="334"/>
        <v>0.16482310410237919</v>
      </c>
      <c r="V448">
        <f t="shared" si="335"/>
        <v>-1.4052176669997174</v>
      </c>
      <c r="X448">
        <f t="shared" si="352"/>
        <v>-50.15377893333546</v>
      </c>
      <c r="Y448">
        <f t="shared" si="336"/>
        <v>-170.91936707809998</v>
      </c>
      <c r="Z448">
        <f t="shared" si="353"/>
        <v>9.080632921900019</v>
      </c>
      <c r="AC448">
        <v>1</v>
      </c>
      <c r="AD448">
        <f t="shared" si="337"/>
        <v>193.48692140232001</v>
      </c>
      <c r="AE448">
        <f t="shared" si="338"/>
        <v>-0.21335783864217836</v>
      </c>
      <c r="AF448">
        <f t="shared" si="339"/>
        <v>3.5653934984849998E-2</v>
      </c>
      <c r="AG448">
        <f t="shared" si="367"/>
        <v>142.86848634396102</v>
      </c>
      <c r="AH448">
        <f t="shared" si="368"/>
        <v>-882.99121737346547</v>
      </c>
      <c r="AJ448">
        <f t="shared" si="340"/>
        <v>18000</v>
      </c>
      <c r="AK448">
        <f t="shared" si="341"/>
        <v>174667.52479176002</v>
      </c>
      <c r="AL448">
        <v>1</v>
      </c>
      <c r="AM448">
        <f t="shared" si="342"/>
        <v>300.81629269692002</v>
      </c>
      <c r="AN448">
        <f t="shared" si="369"/>
        <v>580.83765855263789</v>
      </c>
      <c r="AO448">
        <f t="shared" si="370"/>
        <v>-57.906312803999633</v>
      </c>
      <c r="AQ448">
        <f t="shared" si="343"/>
        <v>1.8262835440347096E-3</v>
      </c>
      <c r="AR448">
        <f t="shared" si="344"/>
        <v>-4.2735034930412201</v>
      </c>
      <c r="AT448">
        <f t="shared" si="365"/>
        <v>-3773.2051334046528</v>
      </c>
      <c r="AU448">
        <f t="shared" si="366"/>
        <v>-612.16156776624564</v>
      </c>
      <c r="AV448">
        <f t="shared" si="354"/>
        <v>-2.9807549053568922</v>
      </c>
      <c r="AW448">
        <f t="shared" si="355"/>
        <v>486.81563878700501</v>
      </c>
      <c r="AX448">
        <f t="shared" si="356"/>
        <v>-3578.8354917570914</v>
      </c>
      <c r="AY448">
        <f t="shared" si="364"/>
        <v>-1.4355998364273772</v>
      </c>
      <c r="BA448">
        <f t="shared" si="345"/>
        <v>1.0583497594140234</v>
      </c>
      <c r="BB448">
        <f t="shared" si="357"/>
        <v>0.49258430826131372</v>
      </c>
      <c r="BC448">
        <f t="shared" si="358"/>
        <v>-1.545155068929515</v>
      </c>
      <c r="BD448">
        <f t="shared" si="346"/>
        <v>-268.53086424406825</v>
      </c>
      <c r="BF448">
        <f t="shared" si="347"/>
        <v>-53.368508619975657</v>
      </c>
      <c r="BG448">
        <f t="shared" si="348"/>
        <v>-184.33433148563003</v>
      </c>
      <c r="BH448">
        <f t="shared" si="359"/>
        <v>-4.334331485630031</v>
      </c>
      <c r="BI448">
        <f t="shared" si="360"/>
        <v>-4.334331485630031</v>
      </c>
      <c r="BJ448">
        <f t="shared" si="349"/>
        <v>0</v>
      </c>
      <c r="BK448">
        <f t="shared" si="361"/>
        <v>0</v>
      </c>
      <c r="BM448">
        <f t="shared" si="362"/>
        <v>-53.861092928236971</v>
      </c>
      <c r="BN448">
        <f t="shared" si="350"/>
        <v>-95.803467241561748</v>
      </c>
      <c r="BQ448" s="56">
        <f t="shared" si="363"/>
        <v>17.394545108546453</v>
      </c>
    </row>
    <row r="449" spans="1:69" x14ac:dyDescent="0.25">
      <c r="A449">
        <f t="shared" si="372"/>
        <v>1175000</v>
      </c>
      <c r="B449">
        <f t="shared" si="351"/>
        <v>1175</v>
      </c>
      <c r="C449">
        <f t="shared" si="320"/>
        <v>9.7963932470283837</v>
      </c>
      <c r="D449">
        <f t="shared" si="321"/>
        <v>1.468539829434929</v>
      </c>
      <c r="F449">
        <f t="shared" si="322"/>
        <v>1.3737776674616826E-5</v>
      </c>
      <c r="G449">
        <f t="shared" si="323"/>
        <v>1.394857538090295E-3</v>
      </c>
      <c r="H449">
        <f t="shared" si="324"/>
        <v>-3.14019779246191</v>
      </c>
      <c r="J449">
        <f t="shared" si="325"/>
        <v>15</v>
      </c>
      <c r="M449">
        <f t="shared" si="326"/>
        <v>1.5515580246521544E-3</v>
      </c>
      <c r="N449">
        <f t="shared" si="327"/>
        <v>-1.5707963250000001</v>
      </c>
      <c r="O449">
        <f t="shared" si="328"/>
        <v>194.31636172835329</v>
      </c>
      <c r="P449">
        <f t="shared" si="329"/>
        <v>1.5656500570462535</v>
      </c>
      <c r="Q449">
        <f t="shared" si="330"/>
        <v>302.10348747582634</v>
      </c>
      <c r="R449">
        <f t="shared" si="331"/>
        <v>1.5674861967645624</v>
      </c>
      <c r="S449">
        <f t="shared" si="332"/>
        <v>0.10207838484876441</v>
      </c>
      <c r="T449">
        <f t="shared" si="333"/>
        <v>-1.468539829434929</v>
      </c>
      <c r="U449">
        <f t="shared" si="334"/>
        <v>0.16414066502979113</v>
      </c>
      <c r="V449">
        <f t="shared" si="335"/>
        <v>-1.4059095291779367</v>
      </c>
      <c r="X449">
        <f t="shared" si="352"/>
        <v>-50.226859383958818</v>
      </c>
      <c r="Y449">
        <f t="shared" si="336"/>
        <v>-170.9572788532038</v>
      </c>
      <c r="Z449">
        <f t="shared" si="353"/>
        <v>9.0427211467961968</v>
      </c>
      <c r="AC449">
        <v>1</v>
      </c>
      <c r="AD449">
        <f t="shared" si="337"/>
        <v>194.31378858779999</v>
      </c>
      <c r="AE449">
        <f t="shared" si="338"/>
        <v>-0.21518530643243292</v>
      </c>
      <c r="AF449">
        <f t="shared" si="339"/>
        <v>3.5806302228375005E-2</v>
      </c>
      <c r="AG449">
        <f t="shared" si="367"/>
        <v>141.68786068203138</v>
      </c>
      <c r="AH449">
        <f t="shared" si="368"/>
        <v>-879.43026112495215</v>
      </c>
      <c r="AJ449">
        <f t="shared" si="340"/>
        <v>18000</v>
      </c>
      <c r="AK449">
        <f t="shared" si="341"/>
        <v>175413.96720540003</v>
      </c>
      <c r="AL449">
        <v>1</v>
      </c>
      <c r="AM449">
        <f t="shared" si="342"/>
        <v>302.10183240930002</v>
      </c>
      <c r="AN449">
        <f t="shared" si="369"/>
        <v>580.83602378166802</v>
      </c>
      <c r="AO449">
        <f t="shared" si="370"/>
        <v>-57.659908373604743</v>
      </c>
      <c r="AQ449">
        <f t="shared" si="343"/>
        <v>1.8107737780400583E-3</v>
      </c>
      <c r="AR449">
        <f t="shared" si="344"/>
        <v>-4.2553183783941373</v>
      </c>
      <c r="AT449">
        <f t="shared" si="365"/>
        <v>-3741.9991880181747</v>
      </c>
      <c r="AU449">
        <f t="shared" si="366"/>
        <v>-604.51940681205622</v>
      </c>
      <c r="AV449">
        <f t="shared" si="354"/>
        <v>-2.9814265938322673</v>
      </c>
      <c r="AW449">
        <f t="shared" si="355"/>
        <v>487.64736853942793</v>
      </c>
      <c r="AX449">
        <f t="shared" si="356"/>
        <v>-3563.8083330230775</v>
      </c>
      <c r="AY449">
        <f t="shared" si="364"/>
        <v>-1.4348076310176541</v>
      </c>
      <c r="BA449">
        <f t="shared" si="345"/>
        <v>1.0537939947613695</v>
      </c>
      <c r="BB449">
        <f t="shared" si="357"/>
        <v>0.45511438673897736</v>
      </c>
      <c r="BC449">
        <f t="shared" si="358"/>
        <v>-1.5466189628146132</v>
      </c>
      <c r="BD449">
        <f t="shared" si="346"/>
        <v>-268.61473918543527</v>
      </c>
      <c r="BF449">
        <f t="shared" si="347"/>
        <v>-53.443407185376017</v>
      </c>
      <c r="BG449">
        <f t="shared" si="348"/>
        <v>-184.39368536576086</v>
      </c>
      <c r="BH449">
        <f t="shared" si="359"/>
        <v>-4.3936853657608594</v>
      </c>
      <c r="BI449">
        <f t="shared" si="360"/>
        <v>-4.3936853657608594</v>
      </c>
      <c r="BJ449">
        <f t="shared" si="349"/>
        <v>0</v>
      </c>
      <c r="BK449">
        <f t="shared" si="361"/>
        <v>0</v>
      </c>
      <c r="BM449">
        <f t="shared" si="362"/>
        <v>-53.898521572115001</v>
      </c>
      <c r="BN449">
        <f t="shared" si="350"/>
        <v>-95.778946180325633</v>
      </c>
      <c r="BQ449" s="56">
        <f t="shared" si="363"/>
        <v>17.357075187024115</v>
      </c>
    </row>
    <row r="450" spans="1:69" x14ac:dyDescent="0.25">
      <c r="A450">
        <f t="shared" si="372"/>
        <v>1180000</v>
      </c>
      <c r="B450">
        <f t="shared" si="351"/>
        <v>1180</v>
      </c>
      <c r="C450">
        <f t="shared" si="320"/>
        <v>9.83764656143636</v>
      </c>
      <c r="D450">
        <f t="shared" si="321"/>
        <v>1.4689701245254518</v>
      </c>
      <c r="F450">
        <f t="shared" si="322"/>
        <v>1.3621600015085488E-5</v>
      </c>
      <c r="G450">
        <f t="shared" si="323"/>
        <v>1.388946970100616E-3</v>
      </c>
      <c r="H450">
        <f t="shared" si="324"/>
        <v>-3.1402037030298997</v>
      </c>
      <c r="J450">
        <f t="shared" si="325"/>
        <v>15</v>
      </c>
      <c r="M450">
        <f t="shared" si="326"/>
        <v>1.5449836262426114E-3</v>
      </c>
      <c r="N450">
        <f t="shared" si="327"/>
        <v>-1.5707963250000001</v>
      </c>
      <c r="O450">
        <f t="shared" si="328"/>
        <v>195.14321801083881</v>
      </c>
      <c r="P450">
        <f t="shared" si="329"/>
        <v>1.5656718628914355</v>
      </c>
      <c r="Q450">
        <f t="shared" si="330"/>
        <v>303.38902017525078</v>
      </c>
      <c r="R450">
        <f t="shared" si="331"/>
        <v>1.5675002226374628</v>
      </c>
      <c r="S450">
        <f t="shared" si="332"/>
        <v>0.10165032802865746</v>
      </c>
      <c r="T450">
        <f t="shared" si="333"/>
        <v>-1.4689701245254518</v>
      </c>
      <c r="U450">
        <f t="shared" si="334"/>
        <v>0.16346377656179994</v>
      </c>
      <c r="V450">
        <f t="shared" si="335"/>
        <v>-1.4065956854360637</v>
      </c>
      <c r="X450">
        <f t="shared" si="352"/>
        <v>-50.299637722823427</v>
      </c>
      <c r="Y450">
        <f t="shared" si="336"/>
        <v>-170.99487835530545</v>
      </c>
      <c r="Z450">
        <f t="shared" si="353"/>
        <v>9.0051216446945546</v>
      </c>
      <c r="AC450">
        <v>1</v>
      </c>
      <c r="AD450">
        <f t="shared" si="337"/>
        <v>195.14065577328</v>
      </c>
      <c r="AE450">
        <f t="shared" si="338"/>
        <v>-0.21702056726230481</v>
      </c>
      <c r="AF450">
        <f t="shared" si="339"/>
        <v>3.5958669471900004E-2</v>
      </c>
      <c r="AG450">
        <f t="shared" si="367"/>
        <v>140.52167645801049</v>
      </c>
      <c r="AH450">
        <f t="shared" si="368"/>
        <v>-875.89708963453734</v>
      </c>
      <c r="AJ450">
        <f t="shared" si="340"/>
        <v>18000</v>
      </c>
      <c r="AK450">
        <f t="shared" si="341"/>
        <v>176160.40961904</v>
      </c>
      <c r="AL450">
        <v>1</v>
      </c>
      <c r="AM450">
        <f t="shared" si="342"/>
        <v>303.38737212168002</v>
      </c>
      <c r="AN450">
        <f t="shared" si="369"/>
        <v>580.83440974732491</v>
      </c>
      <c r="AO450">
        <f t="shared" si="370"/>
        <v>-57.415592047998445</v>
      </c>
      <c r="AQ450">
        <f t="shared" si="343"/>
        <v>1.7954607520359179E-3</v>
      </c>
      <c r="AR450">
        <f t="shared" si="344"/>
        <v>-4.2372873748047661</v>
      </c>
      <c r="AT450">
        <f t="shared" si="365"/>
        <v>-3711.175378381773</v>
      </c>
      <c r="AU450">
        <f t="shared" si="366"/>
        <v>-597.00336438918919</v>
      </c>
      <c r="AV450">
        <f t="shared" si="354"/>
        <v>-2.9820927473462215</v>
      </c>
      <c r="AW450">
        <f t="shared" si="355"/>
        <v>488.46797736031766</v>
      </c>
      <c r="AX450">
        <f t="shared" si="356"/>
        <v>-3548.9060671018233</v>
      </c>
      <c r="AY450">
        <f t="shared" si="364"/>
        <v>-1.4340167197454163</v>
      </c>
      <c r="BA450">
        <f t="shared" si="345"/>
        <v>1.049275579756709</v>
      </c>
      <c r="BB450">
        <f t="shared" si="357"/>
        <v>0.4177913091458727</v>
      </c>
      <c r="BC450">
        <f t="shared" si="358"/>
        <v>-1.5480760276008052</v>
      </c>
      <c r="BD450">
        <f t="shared" si="346"/>
        <v>-268.69822284825659</v>
      </c>
      <c r="BF450">
        <f t="shared" si="347"/>
        <v>-53.517996728840664</v>
      </c>
      <c r="BG450">
        <f t="shared" si="348"/>
        <v>-184.45285358652259</v>
      </c>
      <c r="BH450">
        <f t="shared" si="359"/>
        <v>-4.4528535865225933</v>
      </c>
      <c r="BI450">
        <f t="shared" si="360"/>
        <v>-4.4528535865225933</v>
      </c>
      <c r="BJ450">
        <f t="shared" si="349"/>
        <v>0</v>
      </c>
      <c r="BK450">
        <f t="shared" si="361"/>
        <v>0</v>
      </c>
      <c r="BM450">
        <f t="shared" si="362"/>
        <v>-53.935788037986534</v>
      </c>
      <c r="BN450">
        <f t="shared" si="350"/>
        <v>-95.75463073826603</v>
      </c>
      <c r="BQ450" s="56">
        <f t="shared" si="363"/>
        <v>17.319752109431011</v>
      </c>
    </row>
    <row r="451" spans="1:69" x14ac:dyDescent="0.25">
      <c r="A451">
        <f t="shared" si="372"/>
        <v>1185000</v>
      </c>
      <c r="B451">
        <f t="shared" si="351"/>
        <v>1185</v>
      </c>
      <c r="C451">
        <f t="shared" si="320"/>
        <v>9.8789016821097988</v>
      </c>
      <c r="D451">
        <f t="shared" si="321"/>
        <v>1.4693968257977699</v>
      </c>
      <c r="F451">
        <f t="shared" si="322"/>
        <v>1.3506890866238258E-5</v>
      </c>
      <c r="G451">
        <f t="shared" si="323"/>
        <v>1.383086282267609E-3</v>
      </c>
      <c r="H451">
        <f t="shared" si="324"/>
        <v>-3.1402095637177325</v>
      </c>
      <c r="J451">
        <f t="shared" si="325"/>
        <v>15</v>
      </c>
      <c r="M451">
        <f t="shared" si="326"/>
        <v>1.5384647079884233E-3</v>
      </c>
      <c r="N451">
        <f t="shared" si="327"/>
        <v>-1.5707963250000001</v>
      </c>
      <c r="O451">
        <f t="shared" si="328"/>
        <v>195.97007438533092</v>
      </c>
      <c r="P451">
        <f t="shared" si="329"/>
        <v>1.5656934847258583</v>
      </c>
      <c r="Q451">
        <f t="shared" si="330"/>
        <v>304.67455293385575</v>
      </c>
      <c r="R451">
        <f t="shared" si="331"/>
        <v>1.5675141301498474</v>
      </c>
      <c r="S451">
        <f t="shared" si="332"/>
        <v>0.10122582774671711</v>
      </c>
      <c r="T451">
        <f t="shared" si="333"/>
        <v>-1.4693968257977699</v>
      </c>
      <c r="U451">
        <f t="shared" si="334"/>
        <v>0.16279237221161108</v>
      </c>
      <c r="V451">
        <f t="shared" si="335"/>
        <v>-1.407276205432767</v>
      </c>
      <c r="X451">
        <f t="shared" si="352"/>
        <v>-50.372116405005947</v>
      </c>
      <c r="Y451">
        <f t="shared" si="336"/>
        <v>-171.03216939009036</v>
      </c>
      <c r="Z451">
        <f t="shared" si="353"/>
        <v>8.9678306099096403</v>
      </c>
      <c r="AC451">
        <v>1</v>
      </c>
      <c r="AD451">
        <f t="shared" si="337"/>
        <v>195.96752295876001</v>
      </c>
      <c r="AE451">
        <f t="shared" si="338"/>
        <v>-0.218863621131794</v>
      </c>
      <c r="AF451">
        <f t="shared" si="339"/>
        <v>3.6111036715425003E-2</v>
      </c>
      <c r="AG451">
        <f t="shared" si="367"/>
        <v>139.36970127860138</v>
      </c>
      <c r="AH451">
        <f t="shared" si="368"/>
        <v>-872.39138953976578</v>
      </c>
      <c r="AJ451">
        <f t="shared" si="340"/>
        <v>18000</v>
      </c>
      <c r="AK451">
        <f t="shared" si="341"/>
        <v>176906.85203268001</v>
      </c>
      <c r="AL451">
        <v>1</v>
      </c>
      <c r="AM451">
        <f t="shared" si="342"/>
        <v>304.67291183405996</v>
      </c>
      <c r="AN451">
        <f t="shared" si="369"/>
        <v>580.83281610036954</v>
      </c>
      <c r="AO451">
        <f t="shared" si="370"/>
        <v>-57.173337396620859</v>
      </c>
      <c r="AQ451">
        <f t="shared" si="343"/>
        <v>1.7803411525323305E-3</v>
      </c>
      <c r="AR451">
        <f t="shared" si="344"/>
        <v>-4.2194085315016236</v>
      </c>
      <c r="AT451">
        <f t="shared" si="365"/>
        <v>-3680.7275462180414</v>
      </c>
      <c r="AU451">
        <f t="shared" si="366"/>
        <v>-589.61086089967591</v>
      </c>
      <c r="AV451">
        <f t="shared" si="354"/>
        <v>-2.9827534333934715</v>
      </c>
      <c r="AW451">
        <f t="shared" si="355"/>
        <v>489.27766410235449</v>
      </c>
      <c r="AX451">
        <f t="shared" si="356"/>
        <v>-3534.1271523529958</v>
      </c>
      <c r="AY451">
        <f t="shared" si="364"/>
        <v>-1.4332270863678689</v>
      </c>
      <c r="BA451">
        <f t="shared" si="345"/>
        <v>1.0447940555586428</v>
      </c>
      <c r="BB451">
        <f t="shared" si="357"/>
        <v>0.3806138596800116</v>
      </c>
      <c r="BC451">
        <f t="shared" si="358"/>
        <v>-1.5495263470256027</v>
      </c>
      <c r="BD451">
        <f t="shared" si="346"/>
        <v>-268.78132003033829</v>
      </c>
      <c r="BF451">
        <f t="shared" si="347"/>
        <v>-53.592279878001577</v>
      </c>
      <c r="BG451">
        <f t="shared" si="348"/>
        <v>-184.5118383792379</v>
      </c>
      <c r="BH451">
        <f t="shared" si="359"/>
        <v>-4.5118383792379007</v>
      </c>
      <c r="BI451">
        <f t="shared" si="360"/>
        <v>-4.5118383792379007</v>
      </c>
      <c r="BJ451">
        <f t="shared" si="349"/>
        <v>0</v>
      </c>
      <c r="BK451">
        <f t="shared" si="361"/>
        <v>0</v>
      </c>
      <c r="BM451">
        <f t="shared" si="362"/>
        <v>-53.972893737681588</v>
      </c>
      <c r="BN451">
        <f t="shared" si="350"/>
        <v>-95.730518348899651</v>
      </c>
      <c r="BQ451" s="56">
        <f t="shared" si="363"/>
        <v>17.28257465996515</v>
      </c>
    </row>
    <row r="452" spans="1:69" x14ac:dyDescent="0.25">
      <c r="A452">
        <f t="shared" si="372"/>
        <v>1190000</v>
      </c>
      <c r="B452">
        <f t="shared" si="351"/>
        <v>1190</v>
      </c>
      <c r="C452">
        <f t="shared" si="320"/>
        <v>9.9201585865134625</v>
      </c>
      <c r="D452">
        <f t="shared" si="321"/>
        <v>1.4698199779344685</v>
      </c>
      <c r="F452">
        <f t="shared" si="322"/>
        <v>1.3393624615402513E-5</v>
      </c>
      <c r="G452">
        <f t="shared" si="323"/>
        <v>1.3772748458173059E-3</v>
      </c>
      <c r="H452">
        <f t="shared" si="324"/>
        <v>-3.1402153751541828</v>
      </c>
      <c r="J452">
        <f t="shared" si="325"/>
        <v>15</v>
      </c>
      <c r="M452">
        <f t="shared" si="326"/>
        <v>1.5320005705599005E-3</v>
      </c>
      <c r="N452">
        <f t="shared" si="327"/>
        <v>-1.5707963250000001</v>
      </c>
      <c r="O452">
        <f t="shared" si="328"/>
        <v>196.79693085066992</v>
      </c>
      <c r="P452">
        <f t="shared" si="329"/>
        <v>1.5657149248689048</v>
      </c>
      <c r="Q452">
        <f t="shared" si="330"/>
        <v>305.96008575089536</v>
      </c>
      <c r="R452">
        <f t="shared" si="331"/>
        <v>1.5675279207936337</v>
      </c>
      <c r="S452">
        <f t="shared" si="332"/>
        <v>0.10080484009192237</v>
      </c>
      <c r="T452">
        <f t="shared" si="333"/>
        <v>-1.4698199779344685</v>
      </c>
      <c r="U452">
        <f t="shared" si="334"/>
        <v>0.16212638653420169</v>
      </c>
      <c r="V452">
        <f t="shared" si="335"/>
        <v>-1.4079511577078925</v>
      </c>
      <c r="X452">
        <f t="shared" si="352"/>
        <v>-50.444297856167282</v>
      </c>
      <c r="Y452">
        <f t="shared" si="336"/>
        <v>-171.06915570225715</v>
      </c>
      <c r="Z452">
        <f t="shared" si="353"/>
        <v>8.9308442977428513</v>
      </c>
      <c r="AC452">
        <v>1</v>
      </c>
      <c r="AD452">
        <f t="shared" si="337"/>
        <v>196.79439014424</v>
      </c>
      <c r="AE452">
        <f t="shared" si="338"/>
        <v>-0.2207144680409005</v>
      </c>
      <c r="AF452">
        <f t="shared" si="339"/>
        <v>3.6263403958950002E-2</v>
      </c>
      <c r="AG452">
        <f t="shared" si="367"/>
        <v>138.23170736174674</v>
      </c>
      <c r="AH452">
        <f t="shared" si="368"/>
        <v>-868.91285198715036</v>
      </c>
      <c r="AJ452">
        <f t="shared" si="340"/>
        <v>18000</v>
      </c>
      <c r="AK452">
        <f t="shared" si="341"/>
        <v>177653.29444632001</v>
      </c>
      <c r="AL452">
        <v>1</v>
      </c>
      <c r="AM452">
        <f t="shared" si="342"/>
        <v>305.95845154643996</v>
      </c>
      <c r="AN452">
        <f t="shared" si="369"/>
        <v>580.83124249888328</v>
      </c>
      <c r="AO452">
        <f t="shared" si="370"/>
        <v>-56.933118433099224</v>
      </c>
      <c r="AQ452">
        <f t="shared" si="343"/>
        <v>1.7654117355038954E-3</v>
      </c>
      <c r="AR452">
        <f t="shared" si="344"/>
        <v>-4.2016799304992709</v>
      </c>
      <c r="AT452">
        <f t="shared" si="365"/>
        <v>-3650.649655668898</v>
      </c>
      <c r="AU452">
        <f t="shared" si="366"/>
        <v>-582.33937952652798</v>
      </c>
      <c r="AV452">
        <f t="shared" si="354"/>
        <v>-2.9834087183862796</v>
      </c>
      <c r="AW452">
        <f t="shared" si="355"/>
        <v>490.07662317129569</v>
      </c>
      <c r="AX452">
        <f t="shared" si="356"/>
        <v>-3519.4700722718735</v>
      </c>
      <c r="AY452">
        <f t="shared" si="364"/>
        <v>-1.4324387149696545</v>
      </c>
      <c r="BA452">
        <f t="shared" si="345"/>
        <v>1.0403489707580273</v>
      </c>
      <c r="BB452">
        <f t="shared" si="357"/>
        <v>0.343580836995099</v>
      </c>
      <c r="BC452">
        <f t="shared" si="358"/>
        <v>-1.5509700034166252</v>
      </c>
      <c r="BD452">
        <f t="shared" si="346"/>
        <v>-268.86403544870547</v>
      </c>
      <c r="BF452">
        <f t="shared" si="347"/>
        <v>-53.666259227537694</v>
      </c>
      <c r="BG452">
        <f t="shared" si="348"/>
        <v>-184.57064193683451</v>
      </c>
      <c r="BH452">
        <f t="shared" si="359"/>
        <v>-4.5706419368345053</v>
      </c>
      <c r="BI452">
        <f t="shared" si="360"/>
        <v>-4.5706419368345053</v>
      </c>
      <c r="BJ452">
        <f t="shared" si="349"/>
        <v>0</v>
      </c>
      <c r="BK452">
        <f t="shared" si="361"/>
        <v>0</v>
      </c>
      <c r="BM452">
        <f t="shared" si="362"/>
        <v>-54.009840064532796</v>
      </c>
      <c r="BN452">
        <f t="shared" si="350"/>
        <v>-95.706606488129054</v>
      </c>
      <c r="BQ452" s="56">
        <f t="shared" si="363"/>
        <v>17.245541637280233</v>
      </c>
    </row>
    <row r="453" spans="1:69" x14ac:dyDescent="0.25">
      <c r="A453">
        <f t="shared" si="372"/>
        <v>1195000</v>
      </c>
      <c r="B453">
        <f t="shared" si="351"/>
        <v>1195</v>
      </c>
      <c r="C453">
        <f t="shared" si="320"/>
        <v>9.9614172524844875</v>
      </c>
      <c r="D453">
        <f t="shared" si="321"/>
        <v>1.4702396248829905</v>
      </c>
      <c r="F453">
        <f t="shared" si="322"/>
        <v>1.3281777163748454E-5</v>
      </c>
      <c r="G453">
        <f t="shared" si="323"/>
        <v>1.3715120424998286E-3</v>
      </c>
      <c r="H453">
        <f t="shared" si="324"/>
        <v>-3.1402211379575005</v>
      </c>
      <c r="J453">
        <f t="shared" si="325"/>
        <v>15</v>
      </c>
      <c r="M453">
        <f t="shared" si="326"/>
        <v>1.5255905263316164E-3</v>
      </c>
      <c r="N453">
        <f t="shared" si="327"/>
        <v>-1.5707963250000001</v>
      </c>
      <c r="O453">
        <f t="shared" si="328"/>
        <v>197.62378740571543</v>
      </c>
      <c r="P453">
        <f t="shared" si="329"/>
        <v>1.5657361856011416</v>
      </c>
      <c r="Q453">
        <f t="shared" si="330"/>
        <v>307.2456186256361</v>
      </c>
      <c r="R453">
        <f t="shared" si="331"/>
        <v>1.5675415960357706</v>
      </c>
      <c r="S453">
        <f t="shared" si="332"/>
        <v>0.10038732186934436</v>
      </c>
      <c r="T453">
        <f t="shared" si="333"/>
        <v>-1.4702396248829905</v>
      </c>
      <c r="U453">
        <f t="shared" si="334"/>
        <v>0.16146575510632596</v>
      </c>
      <c r="V453">
        <f t="shared" si="335"/>
        <v>-1.408620609704623</v>
      </c>
      <c r="X453">
        <f t="shared" si="352"/>
        <v>-50.51618447301437</v>
      </c>
      <c r="Y453">
        <f t="shared" si="336"/>
        <v>-171.10584097672179</v>
      </c>
      <c r="Z453">
        <f t="shared" si="353"/>
        <v>8.8941590232782062</v>
      </c>
      <c r="AC453">
        <v>1</v>
      </c>
      <c r="AD453">
        <f t="shared" si="337"/>
        <v>197.62125732972001</v>
      </c>
      <c r="AE453">
        <f t="shared" si="338"/>
        <v>-0.22257310798962429</v>
      </c>
      <c r="AF453">
        <f t="shared" si="339"/>
        <v>3.6415771202475002E-2</v>
      </c>
      <c r="AG453">
        <f t="shared" si="367"/>
        <v>137.10747142836098</v>
      </c>
      <c r="AH453">
        <f t="shared" si="368"/>
        <v>-865.46117255555748</v>
      </c>
      <c r="AJ453">
        <f t="shared" si="340"/>
        <v>18000</v>
      </c>
      <c r="AK453">
        <f t="shared" si="341"/>
        <v>178399.73685996002</v>
      </c>
      <c r="AL453">
        <v>1</v>
      </c>
      <c r="AM453">
        <f t="shared" si="342"/>
        <v>307.24399125881996</v>
      </c>
      <c r="AN453">
        <f t="shared" si="369"/>
        <v>580.82968860808626</v>
      </c>
      <c r="AO453">
        <f t="shared" si="370"/>
        <v>-56.694909605955935</v>
      </c>
      <c r="AQ453">
        <f t="shared" si="343"/>
        <v>1.7506693246495467E-3</v>
      </c>
      <c r="AR453">
        <f t="shared" si="344"/>
        <v>-4.1840996859124164</v>
      </c>
      <c r="AT453">
        <f t="shared" si="365"/>
        <v>-3620.9357904146896</v>
      </c>
      <c r="AU453">
        <f t="shared" si="366"/>
        <v>-575.18646446611899</v>
      </c>
      <c r="AV453">
        <f t="shared" si="354"/>
        <v>-2.9840586676758503</v>
      </c>
      <c r="AW453">
        <f t="shared" si="355"/>
        <v>490.86504464511802</v>
      </c>
      <c r="AX453">
        <f t="shared" si="356"/>
        <v>-3504.9333349815533</v>
      </c>
      <c r="AY453">
        <f t="shared" si="364"/>
        <v>-1.4316515899548998</v>
      </c>
      <c r="BA453">
        <f t="shared" si="345"/>
        <v>1.0359398812294784</v>
      </c>
      <c r="BB453">
        <f t="shared" si="357"/>
        <v>0.30669105397807533</v>
      </c>
      <c r="BC453">
        <f t="shared" si="358"/>
        <v>-1.5524070777209504</v>
      </c>
      <c r="BD453">
        <f t="shared" si="346"/>
        <v>-268.94637374128411</v>
      </c>
      <c r="BF453">
        <f t="shared" si="347"/>
        <v>-53.739937339721166</v>
      </c>
      <c r="BG453">
        <f t="shared" si="348"/>
        <v>-184.62926641465842</v>
      </c>
      <c r="BH453">
        <f t="shared" si="359"/>
        <v>-4.6292664146584173</v>
      </c>
      <c r="BI453">
        <f t="shared" si="360"/>
        <v>-4.6292664146584173</v>
      </c>
      <c r="BJ453">
        <f t="shared" si="349"/>
        <v>0</v>
      </c>
      <c r="BK453">
        <f t="shared" si="361"/>
        <v>0</v>
      </c>
      <c r="BM453">
        <f t="shared" si="362"/>
        <v>-54.046628393699237</v>
      </c>
      <c r="BN453">
        <f t="shared" si="350"/>
        <v>-95.682892673374369</v>
      </c>
      <c r="BQ453" s="56">
        <f t="shared" si="363"/>
        <v>17.208651854263213</v>
      </c>
    </row>
    <row r="454" spans="1:69" x14ac:dyDescent="0.25">
      <c r="A454">
        <f t="shared" si="372"/>
        <v>1200000</v>
      </c>
      <c r="B454">
        <f t="shared" si="351"/>
        <v>1200</v>
      </c>
      <c r="C454">
        <f t="shared" si="320"/>
        <v>10.002677658224735</v>
      </c>
      <c r="D454">
        <f t="shared" si="321"/>
        <v>1.4706558098706428</v>
      </c>
      <c r="F454">
        <f t="shared" si="322"/>
        <v>1.3171324913469495E-5</v>
      </c>
      <c r="G454">
        <f t="shared" si="323"/>
        <v>1.3657972643701193E-3</v>
      </c>
      <c r="H454">
        <f t="shared" si="324"/>
        <v>-3.1402268527356303</v>
      </c>
      <c r="J454">
        <f t="shared" si="325"/>
        <v>15</v>
      </c>
      <c r="M454">
        <f t="shared" si="326"/>
        <v>1.5192338991385679E-3</v>
      </c>
      <c r="N454">
        <f t="shared" si="327"/>
        <v>-1.5707963250000001</v>
      </c>
      <c r="O454">
        <f t="shared" si="328"/>
        <v>198.45064404934627</v>
      </c>
      <c r="P454">
        <f t="shared" si="329"/>
        <v>1.5657572691651274</v>
      </c>
      <c r="Q454">
        <f t="shared" si="330"/>
        <v>308.53115155735674</v>
      </c>
      <c r="R454">
        <f t="shared" si="331"/>
        <v>1.5675551573187587</v>
      </c>
      <c r="S454">
        <f t="shared" si="332"/>
        <v>9.9973230585686926E-2</v>
      </c>
      <c r="T454">
        <f t="shared" si="333"/>
        <v>-1.4706558098706428</v>
      </c>
      <c r="U454">
        <f t="shared" si="334"/>
        <v>0.16081041450697117</v>
      </c>
      <c r="V454">
        <f t="shared" si="335"/>
        <v>-1.4092846277911177</v>
      </c>
      <c r="X454">
        <f t="shared" si="352"/>
        <v>-50.587778623753181</v>
      </c>
      <c r="Y454">
        <f t="shared" si="336"/>
        <v>-171.14222883979406</v>
      </c>
      <c r="Z454">
        <f t="shared" si="353"/>
        <v>8.8577711602059424</v>
      </c>
      <c r="AC454">
        <v>1</v>
      </c>
      <c r="AD454">
        <f t="shared" si="337"/>
        <v>198.44812451520002</v>
      </c>
      <c r="AE454">
        <f t="shared" si="338"/>
        <v>-0.22443954097796537</v>
      </c>
      <c r="AF454">
        <f t="shared" si="339"/>
        <v>3.6568138446000001E-2</v>
      </c>
      <c r="AG454">
        <f t="shared" si="367"/>
        <v>135.99677459698447</v>
      </c>
      <c r="AH454">
        <f t="shared" si="368"/>
        <v>-862.03605118102894</v>
      </c>
      <c r="AJ454">
        <f t="shared" si="340"/>
        <v>18000</v>
      </c>
      <c r="AK454">
        <f t="shared" si="341"/>
        <v>179146.17927360002</v>
      </c>
      <c r="AL454">
        <v>1</v>
      </c>
      <c r="AM454">
        <f t="shared" si="342"/>
        <v>308.52953097119996</v>
      </c>
      <c r="AN454">
        <f t="shared" si="369"/>
        <v>580.82815410015792</v>
      </c>
      <c r="AO454">
        <f t="shared" si="370"/>
        <v>-56.458685789548795</v>
      </c>
      <c r="AQ454">
        <f t="shared" si="343"/>
        <v>1.7361108097029845E-3</v>
      </c>
      <c r="AR454">
        <f t="shared" si="344"/>
        <v>-4.1666659432871622</v>
      </c>
      <c r="AT454">
        <f t="shared" si="365"/>
        <v>-3591.5801508712798</v>
      </c>
      <c r="AU454">
        <f t="shared" si="366"/>
        <v>-568.14971921696497</v>
      </c>
      <c r="AV454">
        <f t="shared" si="354"/>
        <v>-2.9847033455732297</v>
      </c>
      <c r="AW454">
        <f t="shared" si="355"/>
        <v>491.64311438944645</v>
      </c>
      <c r="AX454">
        <f t="shared" si="356"/>
        <v>-3490.5154727373592</v>
      </c>
      <c r="AY454">
        <f t="shared" si="364"/>
        <v>-1.4308656960394879</v>
      </c>
      <c r="BA454">
        <f t="shared" si="345"/>
        <v>1.031566349986381</v>
      </c>
      <c r="BB454">
        <f t="shared" si="357"/>
        <v>0.2699433375307746</v>
      </c>
      <c r="BC454">
        <f t="shared" si="358"/>
        <v>-1.5538376495337418</v>
      </c>
      <c r="BD454">
        <f t="shared" si="346"/>
        <v>-269.02833946854105</v>
      </c>
      <c r="BF454">
        <f t="shared" si="347"/>
        <v>-53.813316744952296</v>
      </c>
      <c r="BG454">
        <f t="shared" si="348"/>
        <v>-184.68771393126707</v>
      </c>
      <c r="BH454">
        <f t="shared" si="359"/>
        <v>-4.6877139312670693</v>
      </c>
      <c r="BI454">
        <f t="shared" si="360"/>
        <v>-4.6877139312670693</v>
      </c>
      <c r="BJ454">
        <f t="shared" si="349"/>
        <v>0</v>
      </c>
      <c r="BK454">
        <f t="shared" si="361"/>
        <v>0</v>
      </c>
      <c r="BM454">
        <f t="shared" si="362"/>
        <v>-54.083260082483079</v>
      </c>
      <c r="BN454">
        <f t="shared" si="350"/>
        <v>-95.659374462726007</v>
      </c>
      <c r="BQ454" s="56">
        <f t="shared" si="363"/>
        <v>17.171904137815911</v>
      </c>
    </row>
    <row r="455" spans="1:69" x14ac:dyDescent="0.25">
      <c r="A455">
        <f t="shared" si="372"/>
        <v>1205000</v>
      </c>
      <c r="B455">
        <f t="shared" si="351"/>
        <v>1205</v>
      </c>
      <c r="C455">
        <f t="shared" si="320"/>
        <v>10.043939782293338</v>
      </c>
      <c r="D455">
        <f t="shared" si="321"/>
        <v>1.4710685754192352</v>
      </c>
      <c r="F455">
        <f t="shared" si="322"/>
        <v>1.3062244755334262E-5</v>
      </c>
      <c r="G455">
        <f t="shared" si="323"/>
        <v>1.3601299135741313E-3</v>
      </c>
      <c r="H455">
        <f t="shared" si="324"/>
        <v>-3.1402325200864261</v>
      </c>
      <c r="J455">
        <f t="shared" si="325"/>
        <v>15</v>
      </c>
      <c r="M455">
        <f t="shared" si="326"/>
        <v>1.512930024038408E-3</v>
      </c>
      <c r="N455">
        <f t="shared" si="327"/>
        <v>-1.5707963250000001</v>
      </c>
      <c r="O455">
        <f t="shared" si="328"/>
        <v>199.27750078045963</v>
      </c>
      <c r="P455">
        <f t="shared" si="329"/>
        <v>1.5657781777662014</v>
      </c>
      <c r="Q455">
        <f t="shared" si="330"/>
        <v>309.81668454534798</v>
      </c>
      <c r="R455">
        <f t="shared" si="331"/>
        <v>1.5675686060611564</v>
      </c>
      <c r="S455">
        <f t="shared" si="332"/>
        <v>9.9562524435174354E-2</v>
      </c>
      <c r="T455">
        <f t="shared" si="333"/>
        <v>-1.4710685754192352</v>
      </c>
      <c r="U455">
        <f t="shared" si="334"/>
        <v>0.16016030229825243</v>
      </c>
      <c r="V455">
        <f t="shared" si="335"/>
        <v>-1.4099432772816467</v>
      </c>
      <c r="X455">
        <f t="shared" si="352"/>
        <v>-50.659082648532994</v>
      </c>
      <c r="Y455">
        <f t="shared" si="336"/>
        <v>-171.17832286032649</v>
      </c>
      <c r="Z455">
        <f t="shared" si="353"/>
        <v>8.8216771396735112</v>
      </c>
      <c r="AC455">
        <v>1</v>
      </c>
      <c r="AD455">
        <f t="shared" si="337"/>
        <v>199.27499170068</v>
      </c>
      <c r="AE455">
        <f t="shared" si="338"/>
        <v>-0.2263137670059237</v>
      </c>
      <c r="AF455">
        <f t="shared" si="339"/>
        <v>3.6720505689525E-2</v>
      </c>
      <c r="AG455">
        <f t="shared" si="367"/>
        <v>134.89940228127253</v>
      </c>
      <c r="AH455">
        <f t="shared" si="368"/>
        <v>-858.6371920830195</v>
      </c>
      <c r="AJ455">
        <f t="shared" si="340"/>
        <v>18000</v>
      </c>
      <c r="AK455">
        <f t="shared" si="341"/>
        <v>179892.62168724</v>
      </c>
      <c r="AL455">
        <v>1</v>
      </c>
      <c r="AM455">
        <f t="shared" si="342"/>
        <v>309.81507068357996</v>
      </c>
      <c r="AN455">
        <f t="shared" si="369"/>
        <v>580.82663865406482</v>
      </c>
      <c r="AO455">
        <f t="shared" si="370"/>
        <v>-56.22442227523679</v>
      </c>
      <c r="AQ455">
        <f t="shared" si="343"/>
        <v>1.7217331447920757E-3</v>
      </c>
      <c r="AR455">
        <f t="shared" si="344"/>
        <v>-4.1493768789489023</v>
      </c>
      <c r="AT455">
        <f t="shared" si="365"/>
        <v>-3562.5770514627684</v>
      </c>
      <c r="AU455">
        <f t="shared" si="366"/>
        <v>-561.22680492289953</v>
      </c>
      <c r="AV455">
        <f t="shared" si="354"/>
        <v>-2.9853428153697159</v>
      </c>
      <c r="AW455">
        <f t="shared" si="355"/>
        <v>492.41101416940569</v>
      </c>
      <c r="AX455">
        <f t="shared" si="356"/>
        <v>-3476.2150414431271</v>
      </c>
      <c r="AY455">
        <f t="shared" si="364"/>
        <v>-1.4300810182435539</v>
      </c>
      <c r="BA455">
        <f t="shared" si="345"/>
        <v>1.0272279470393175</v>
      </c>
      <c r="BB455">
        <f t="shared" si="357"/>
        <v>0.23333652835566748</v>
      </c>
      <c r="BC455">
        <f t="shared" si="358"/>
        <v>-1.555261797126162</v>
      </c>
      <c r="BD455">
        <f t="shared" si="346"/>
        <v>-269.10993711508371</v>
      </c>
      <c r="BF455">
        <f t="shared" si="347"/>
        <v>-53.886399942283703</v>
      </c>
      <c r="BG455">
        <f t="shared" si="348"/>
        <v>-184.74598656920193</v>
      </c>
      <c r="BH455">
        <f t="shared" si="359"/>
        <v>-4.7459865692019321</v>
      </c>
      <c r="BI455">
        <f t="shared" si="360"/>
        <v>-4.7459865692019321</v>
      </c>
      <c r="BJ455">
        <f t="shared" si="349"/>
        <v>0</v>
      </c>
      <c r="BK455">
        <f t="shared" si="361"/>
        <v>0</v>
      </c>
      <c r="BM455">
        <f t="shared" si="362"/>
        <v>-54.119736470639367</v>
      </c>
      <c r="BN455">
        <f t="shared" si="350"/>
        <v>-95.636049454118236</v>
      </c>
      <c r="BQ455" s="56">
        <f t="shared" si="363"/>
        <v>17.135297328640803</v>
      </c>
    </row>
    <row r="456" spans="1:69" x14ac:dyDescent="0.25">
      <c r="A456">
        <f t="shared" si="372"/>
        <v>1210000</v>
      </c>
      <c r="B456">
        <f t="shared" si="351"/>
        <v>1210</v>
      </c>
      <c r="C456">
        <f t="shared" si="320"/>
        <v>10.085203603599435</v>
      </c>
      <c r="D456">
        <f t="shared" si="321"/>
        <v>1.471477963359366</v>
      </c>
      <c r="F456">
        <f t="shared" si="322"/>
        <v>1.2954514056597879E-5</v>
      </c>
      <c r="G456">
        <f t="shared" si="323"/>
        <v>1.3545094021403228E-3</v>
      </c>
      <c r="H456">
        <f t="shared" si="324"/>
        <v>-3.1402381405978601</v>
      </c>
      <c r="J456">
        <f t="shared" si="325"/>
        <v>15</v>
      </c>
      <c r="M456">
        <f t="shared" si="326"/>
        <v>1.5066782470795717E-3</v>
      </c>
      <c r="N456">
        <f t="shared" si="327"/>
        <v>-1.5707963250000001</v>
      </c>
      <c r="O456">
        <f t="shared" si="328"/>
        <v>200.1043575979711</v>
      </c>
      <c r="P456">
        <f t="shared" si="329"/>
        <v>1.5657989135732528</v>
      </c>
      <c r="Q456">
        <f t="shared" si="330"/>
        <v>311.1022175889122</v>
      </c>
      <c r="R456">
        <f t="shared" si="331"/>
        <v>1.5675819436580762</v>
      </c>
      <c r="S456">
        <f t="shared" si="332"/>
        <v>9.9155162285776505E-2</v>
      </c>
      <c r="T456">
        <f t="shared" si="333"/>
        <v>-1.471477963359366</v>
      </c>
      <c r="U456">
        <f t="shared" si="334"/>
        <v>0.15951535700673541</v>
      </c>
      <c r="V456">
        <f t="shared" si="335"/>
        <v>-1.4105966224572328</v>
      </c>
      <c r="X456">
        <f t="shared" si="352"/>
        <v>-50.730098859882176</v>
      </c>
      <c r="Y456">
        <f t="shared" si="336"/>
        <v>-171.2141265508364</v>
      </c>
      <c r="Z456">
        <f t="shared" si="353"/>
        <v>8.7858734491636028</v>
      </c>
      <c r="AC456">
        <v>1</v>
      </c>
      <c r="AD456">
        <f t="shared" si="337"/>
        <v>200.10185888615999</v>
      </c>
      <c r="AE456">
        <f t="shared" si="338"/>
        <v>-0.22819578607349936</v>
      </c>
      <c r="AF456">
        <f t="shared" si="339"/>
        <v>3.6872872933049999E-2</v>
      </c>
      <c r="AG456">
        <f t="shared" si="367"/>
        <v>133.81514409023211</v>
      </c>
      <c r="AH456">
        <f t="shared" si="368"/>
        <v>-855.26430369201341</v>
      </c>
      <c r="AJ456">
        <f t="shared" si="340"/>
        <v>18000</v>
      </c>
      <c r="AK456">
        <f t="shared" si="341"/>
        <v>180639.06410088</v>
      </c>
      <c r="AL456">
        <v>1</v>
      </c>
      <c r="AM456">
        <f t="shared" si="342"/>
        <v>311.10061039595996</v>
      </c>
      <c r="AN456">
        <f t="shared" si="369"/>
        <v>580.82514195539272</v>
      </c>
      <c r="AO456">
        <f t="shared" si="370"/>
        <v>-55.992094762764943</v>
      </c>
      <c r="AQ456">
        <f t="shared" si="343"/>
        <v>1.7075333468456139E-3</v>
      </c>
      <c r="AR456">
        <f t="shared" si="344"/>
        <v>-4.132230699366386</v>
      </c>
      <c r="AT456">
        <f t="shared" si="365"/>
        <v>-3533.9209179675063</v>
      </c>
      <c r="AU456">
        <f t="shared" si="366"/>
        <v>-554.41543876871435</v>
      </c>
      <c r="AV456">
        <f t="shared" si="354"/>
        <v>-2.9859771393567969</v>
      </c>
      <c r="AW456">
        <f t="shared" si="355"/>
        <v>493.16892175801576</v>
      </c>
      <c r="AX456">
        <f t="shared" si="356"/>
        <v>-3462.0306201790272</v>
      </c>
      <c r="AY456">
        <f t="shared" si="364"/>
        <v>-1.4292975418841922</v>
      </c>
      <c r="BA456">
        <f t="shared" si="345"/>
        <v>1.0229242492578141</v>
      </c>
      <c r="BB456">
        <f t="shared" si="357"/>
        <v>0.19686948074552846</v>
      </c>
      <c r="BC456">
        <f t="shared" si="358"/>
        <v>-1.5566795974726046</v>
      </c>
      <c r="BD456">
        <f t="shared" si="346"/>
        <v>-269.19117109121987</v>
      </c>
      <c r="BF456">
        <f t="shared" si="347"/>
        <v>-53.959189399933585</v>
      </c>
      <c r="BG456">
        <f t="shared" si="348"/>
        <v>-184.80408637574246</v>
      </c>
      <c r="BH456">
        <f t="shared" si="359"/>
        <v>-4.8040863757424574</v>
      </c>
      <c r="BI456">
        <f t="shared" si="360"/>
        <v>-4.8040863757424574</v>
      </c>
      <c r="BJ456">
        <f t="shared" si="349"/>
        <v>0</v>
      </c>
      <c r="BK456">
        <f t="shared" si="361"/>
        <v>0</v>
      </c>
      <c r="BM456">
        <f t="shared" si="362"/>
        <v>-54.156058880679112</v>
      </c>
      <c r="BN456">
        <f t="shared" si="350"/>
        <v>-95.612915284522614</v>
      </c>
      <c r="BQ456" s="56">
        <f t="shared" si="363"/>
        <v>17.098830281030665</v>
      </c>
    </row>
    <row r="457" spans="1:69" x14ac:dyDescent="0.25">
      <c r="A457">
        <f t="shared" si="372"/>
        <v>1215000</v>
      </c>
      <c r="B457">
        <f t="shared" si="351"/>
        <v>1215</v>
      </c>
      <c r="C457">
        <f t="shared" ref="C457:C520" si="373">SQRT((A457/Fesr)^2+1)</f>
        <v>10.126469101395077</v>
      </c>
      <c r="D457">
        <f t="shared" ref="D457:D520" si="374">ATAN(A457/Fesr)</f>
        <v>1.4718840148443639</v>
      </c>
      <c r="F457">
        <f t="shared" ref="F457:F520" si="375">(Ro/(Ro+Rdcr))/SQRT((A457/(Q*Fo))^2+(1-(A457^2/Fo^2))^2)</f>
        <v>1.2848110649260856E-5</v>
      </c>
      <c r="G457">
        <f t="shared" ref="G457:G520" si="376">-ATAN(A457*Fo/(Q*(Fo^2-A457^2)))</f>
        <v>1.3489351517762958E-3</v>
      </c>
      <c r="H457">
        <f t="shared" ref="H457:H520" si="377">IF(G457&gt;0,G457-Pi,G457)</f>
        <v>-3.1402437148482241</v>
      </c>
      <c r="J457">
        <f t="shared" ref="J457:J520" si="378">Vin/Vramp</f>
        <v>15</v>
      </c>
      <c r="M457">
        <f t="shared" ref="M457:M520" si="379">1/(2*Pi*_Rfb1*(Cc1ea_u+Cc2ea_u)*A457)</f>
        <v>1.5004779250751288E-3</v>
      </c>
      <c r="N457">
        <f t="shared" ref="N457:N520" si="380">-Pi/2</f>
        <v>-1.5707963250000001</v>
      </c>
      <c r="O457">
        <f t="shared" ref="O457:O520" si="381">SQRT(1+(A457/Fz1_u)^2)</f>
        <v>200.93121450081406</v>
      </c>
      <c r="P457">
        <f t="shared" ref="P457:P520" si="382">ATAN2(Fz1_u,A457)</f>
        <v>1.5658194787194706</v>
      </c>
      <c r="Q457">
        <f t="shared" ref="Q457:Q520" si="383">SQRT(1+(A457/Fz2_u)^2)</f>
        <v>312.38775068736339</v>
      </c>
      <c r="R457">
        <f t="shared" ref="R457:R520" si="384">ATAN2(Fz2_u,A457)</f>
        <v>1.5675951714816652</v>
      </c>
      <c r="S457">
        <f t="shared" ref="S457:S520" si="385">1/SQRT(1+(A457/Fp1_u)^2)</f>
        <v>9.8751103665761925E-2</v>
      </c>
      <c r="T457">
        <f t="shared" ref="T457:T520" si="386">-ATAN2(Fp1_u,A457)</f>
        <v>-1.4718840148443639</v>
      </c>
      <c r="U457">
        <f t="shared" ref="U457:U520" si="387">1/SQRT(1+(A457/Fp2_u)^2)</f>
        <v>0.15887551810517556</v>
      </c>
      <c r="V457">
        <f t="shared" ref="V457:V520" si="388">-ATAN2(Fp2_u,A457)</f>
        <v>-1.411244726585817</v>
      </c>
      <c r="X457">
        <f t="shared" si="352"/>
        <v>-50.800829543135549</v>
      </c>
      <c r="Y457">
        <f t="shared" ref="Y457:Y520" si="389">(180/Pi)*(D457+H457+N457+P457+R457+T457+V457)</f>
        <v>-171.24964336860251</v>
      </c>
      <c r="Z457">
        <f t="shared" si="353"/>
        <v>8.7503566313974943</v>
      </c>
      <c r="AC457">
        <v>1</v>
      </c>
      <c r="AD457">
        <f t="shared" ref="AD457:AD520" si="390">Rcea1_u*Cc1ea_u*A457*2*Pi</f>
        <v>200.92872607164</v>
      </c>
      <c r="AE457">
        <f t="shared" ref="AE457:AE520" si="391">-Rcea1_u*Cc1ea_u*Cc2ea_u*(A457*2*Pi)^2</f>
        <v>-0.2300855981806923</v>
      </c>
      <c r="AF457">
        <f t="shared" ref="AF457:AF520" si="392">(Cc2ea_u+Cc1ea_u)*A457*2*Pi</f>
        <v>3.7025240176574999E-2</v>
      </c>
      <c r="AG457">
        <f t="shared" si="367"/>
        <v>132.74379373112404</v>
      </c>
      <c r="AH457">
        <f t="shared" si="368"/>
        <v>-851.91709857850617</v>
      </c>
      <c r="AJ457">
        <f t="shared" ref="AJ457:AJ520" si="393">_Rfb1</f>
        <v>18000</v>
      </c>
      <c r="AK457">
        <f t="shared" ref="AK457:AK520" si="394">_Rfb1*Rcea2_u*Cc3ea_u*A457*2*Pi</f>
        <v>181385.50651452004</v>
      </c>
      <c r="AL457">
        <v>1</v>
      </c>
      <c r="AM457">
        <f t="shared" ref="AM457:AM520" si="395">(_Rfb1+Rcea2_u)*Cc3ea_u*A457*2*Pi</f>
        <v>312.38615010833996</v>
      </c>
      <c r="AN457">
        <f t="shared" si="369"/>
        <v>580.8236636961833</v>
      </c>
      <c r="AO457">
        <f t="shared" si="370"/>
        <v>-55.761679351861787</v>
      </c>
      <c r="AQ457">
        <f t="shared" ref="AQ457:AQ520" si="396">Eadcg/(1+(Eadcg*A457/GBP)^2)</f>
        <v>1.6935084940458782E-3</v>
      </c>
      <c r="AR457">
        <f t="shared" ref="AR457:AR520" si="397">-(A457*Eadcg*Eadcg/GBP)/(1+(Eadcg*A457/GBP)^2)</f>
        <v>-4.1152256405314835</v>
      </c>
      <c r="AT457">
        <f t="shared" si="365"/>
        <v>-3505.6062849352406</v>
      </c>
      <c r="AU457">
        <f t="shared" si="366"/>
        <v>-547.71339242640965</v>
      </c>
      <c r="AV457">
        <f t="shared" si="354"/>
        <v>-2.9866063788456252</v>
      </c>
      <c r="AW457">
        <f t="shared" si="355"/>
        <v>493.91701104125673</v>
      </c>
      <c r="AX457">
        <f t="shared" si="356"/>
        <v>-3447.9608107406166</v>
      </c>
      <c r="AY457">
        <f t="shared" si="364"/>
        <v>-1.4285152525683722</v>
      </c>
      <c r="BA457">
        <f t="shared" ref="BA457:BA520" si="398">SQRT(AT457^2+AU457^2)/SQRT(AW457^2+AX457^2)</f>
        <v>1.0186548402353255</v>
      </c>
      <c r="BB457">
        <f t="shared" si="357"/>
        <v>0.16054106237704319</v>
      </c>
      <c r="BC457">
        <f t="shared" si="358"/>
        <v>-1.558091126277253</v>
      </c>
      <c r="BD457">
        <f t="shared" ref="BD457:BD520" si="399">BC457*180/Pi-180</f>
        <v>-269.27204573447978</v>
      </c>
      <c r="BF457">
        <f t="shared" ref="BF457:BF520" si="400">20*LOG(BA457*J457*F457*C457)</f>
        <v>-54.031687555788722</v>
      </c>
      <c r="BG457">
        <f t="shared" ref="BG457:BG520" si="401">(180/Pi)*(D457+H457+BC457)</f>
        <v>-184.86201536364058</v>
      </c>
      <c r="BH457">
        <f t="shared" si="359"/>
        <v>-4.8620153636405803</v>
      </c>
      <c r="BI457">
        <f t="shared" si="360"/>
        <v>-4.8620153636405803</v>
      </c>
      <c r="BJ457">
        <f t="shared" ref="BJ457:BJ520" si="402">SUM((BF458&lt;0)*(BF457&gt;0))*A457</f>
        <v>0</v>
      </c>
      <c r="BK457">
        <f t="shared" si="361"/>
        <v>0</v>
      </c>
      <c r="BM457">
        <f t="shared" si="362"/>
        <v>-54.192228618165771</v>
      </c>
      <c r="BN457">
        <f t="shared" ref="BN457:BN520" si="403">(H457+D457)*180/Pi</f>
        <v>-95.589969629160805</v>
      </c>
      <c r="BQ457" s="56">
        <f t="shared" si="363"/>
        <v>17.062501862662181</v>
      </c>
    </row>
    <row r="458" spans="1:69" x14ac:dyDescent="0.25">
      <c r="A458">
        <f t="shared" si="372"/>
        <v>1220000</v>
      </c>
      <c r="B458">
        <f t="shared" ref="B458:B521" si="404">A458/1000</f>
        <v>1220</v>
      </c>
      <c r="C458">
        <f t="shared" si="373"/>
        <v>10.167736255268288</v>
      </c>
      <c r="D458">
        <f t="shared" si="374"/>
        <v>1.4722867703638933</v>
      </c>
      <c r="F458">
        <f t="shared" si="375"/>
        <v>1.2743012818664053E-5</v>
      </c>
      <c r="G458">
        <f t="shared" si="376"/>
        <v>1.3434065936704395E-3</v>
      </c>
      <c r="H458">
        <f t="shared" si="377"/>
        <v>-3.1402492434063296</v>
      </c>
      <c r="J458">
        <f t="shared" si="378"/>
        <v>15</v>
      </c>
      <c r="M458">
        <f t="shared" si="379"/>
        <v>1.4943284253821978E-3</v>
      </c>
      <c r="N458">
        <f t="shared" si="380"/>
        <v>-1.5707963250000001</v>
      </c>
      <c r="O458">
        <f t="shared" si="381"/>
        <v>201.75807148793936</v>
      </c>
      <c r="P458">
        <f t="shared" si="382"/>
        <v>1.565839875303074</v>
      </c>
      <c r="Q458">
        <f t="shared" si="383"/>
        <v>313.67328384002667</v>
      </c>
      <c r="R458">
        <f t="shared" si="384"/>
        <v>1.5676082908815772</v>
      </c>
      <c r="S458">
        <f t="shared" si="385"/>
        <v>9.8350308750569965E-2</v>
      </c>
      <c r="T458">
        <f t="shared" si="386"/>
        <v>-1.4722867703638933</v>
      </c>
      <c r="U458">
        <f t="shared" si="387"/>
        <v>0.15824072599466366</v>
      </c>
      <c r="V458">
        <f t="shared" si="388"/>
        <v>-1.4118876519419548</v>
      </c>
      <c r="X458">
        <f t="shared" ref="X458:X521" si="405">20*LOG(C458*J458*O458*Q458*F458*M458*S458*U458)</f>
        <v>-50.871276956853805</v>
      </c>
      <c r="Y458">
        <f t="shared" si="389"/>
        <v>-171.28487671673599</v>
      </c>
      <c r="Z458">
        <f t="shared" ref="Z458:Z521" si="406">Y458+180</f>
        <v>8.7151232832640062</v>
      </c>
      <c r="AC458">
        <v>1</v>
      </c>
      <c r="AD458">
        <f t="shared" si="390"/>
        <v>201.75559325712001</v>
      </c>
      <c r="AE458">
        <f t="shared" si="391"/>
        <v>-0.23198320332750252</v>
      </c>
      <c r="AF458">
        <f t="shared" si="392"/>
        <v>3.7177607420099998E-2</v>
      </c>
      <c r="AG458">
        <f t="shared" si="367"/>
        <v>131.68514891495028</v>
      </c>
      <c r="AH458">
        <f t="shared" si="368"/>
        <v>-848.5952933833122</v>
      </c>
      <c r="AJ458">
        <f t="shared" si="393"/>
        <v>18000</v>
      </c>
      <c r="AK458">
        <f t="shared" si="394"/>
        <v>182131.94892816001</v>
      </c>
      <c r="AL458">
        <v>1</v>
      </c>
      <c r="AM458">
        <f t="shared" si="395"/>
        <v>313.67168982072002</v>
      </c>
      <c r="AN458">
        <f t="shared" si="369"/>
        <v>580.82220357477536</v>
      </c>
      <c r="AO458">
        <f t="shared" si="370"/>
        <v>-55.533152534043502</v>
      </c>
      <c r="AQ458">
        <f t="shared" si="396"/>
        <v>1.6796557243254965E-3</v>
      </c>
      <c r="AR458">
        <f t="shared" si="397"/>
        <v>-4.0983599673542113</v>
      </c>
      <c r="AT458">
        <f t="shared" si="365"/>
        <v>-3477.6277931731847</v>
      </c>
      <c r="AU458">
        <f t="shared" si="366"/>
        <v>-541.11849055027699</v>
      </c>
      <c r="AV458">
        <f t="shared" ref="AV458:AV521" si="407">ATAN2(AT458,AU458)</f>
        <v>-2.987230594186046</v>
      </c>
      <c r="AW458">
        <f t="shared" ref="AW458:AW521" si="408">AG458-AH458*AO458/_Rfb2+AG458*AN458/_Rfb2+AN458-AO458*AR458+AQ458*AN458</f>
        <v>494.65545211991707</v>
      </c>
      <c r="AX458">
        <f t="shared" ref="AX458:AX521" si="409">AH458+AH458*AN458/_Rfb2+AG458*AO458/_Rfb2+AO458+AO458*AQ458+AN458*AR458</f>
        <v>-3434.0042371887957</v>
      </c>
      <c r="AY458">
        <f t="shared" si="364"/>
        <v>-1.427734136186052</v>
      </c>
      <c r="BA458">
        <f t="shared" si="398"/>
        <v>1.0144193101573622</v>
      </c>
      <c r="BB458">
        <f t="shared" ref="BB458:BB521" si="410">20*LOG(BA458)</f>
        <v>0.12435015410818065</v>
      </c>
      <c r="BC458">
        <f t="shared" ref="BC458:BC521" si="411">AV458-AY458</f>
        <v>-1.5594964579999939</v>
      </c>
      <c r="BD458">
        <f t="shared" si="399"/>
        <v>-269.3525653111007</v>
      </c>
      <c r="BF458">
        <f t="shared" si="400"/>
        <v>-54.103896817897201</v>
      </c>
      <c r="BG458">
        <f t="shared" si="401"/>
        <v>-184.91977551183709</v>
      </c>
      <c r="BH458">
        <f t="shared" ref="BH458:BH521" si="412">IF(BG458&gt;180,BG458-180,BG458+180)</f>
        <v>-4.9197755118370878</v>
      </c>
      <c r="BI458">
        <f t="shared" ref="BI458:BI521" si="413">IF(BH458&gt;180,BH458-360,BH458)</f>
        <v>-4.9197755118370878</v>
      </c>
      <c r="BJ458">
        <f t="shared" si="402"/>
        <v>0</v>
      </c>
      <c r="BK458">
        <f t="shared" ref="BK458:BK521" si="414">IF(BJ458&gt;0,BI458,0)</f>
        <v>0</v>
      </c>
      <c r="BM458">
        <f t="shared" ref="BM458:BM521" si="415">20*LOG(J458*F458*C458)</f>
        <v>-54.228246972005387</v>
      </c>
      <c r="BN458">
        <f t="shared" si="403"/>
        <v>-95.567210200736397</v>
      </c>
      <c r="BQ458" s="56">
        <f t="shared" ref="BQ458:BQ521" si="416">20*LOG(BA458*7)</f>
        <v>17.026310954393317</v>
      </c>
    </row>
    <row r="459" spans="1:69" x14ac:dyDescent="0.25">
      <c r="A459">
        <f t="shared" si="372"/>
        <v>1225000</v>
      </c>
      <c r="B459">
        <f t="shared" si="404"/>
        <v>1225</v>
      </c>
      <c r="C459">
        <f t="shared" si="373"/>
        <v>10.209005045136328</v>
      </c>
      <c r="D459">
        <f t="shared" si="374"/>
        <v>1.4726862697572352</v>
      </c>
      <c r="F459">
        <f t="shared" si="375"/>
        <v>1.2639199292408899E-5</v>
      </c>
      <c r="G459">
        <f t="shared" si="376"/>
        <v>1.3379231682984307E-3</v>
      </c>
      <c r="H459">
        <f t="shared" si="377"/>
        <v>-3.1402547268317016</v>
      </c>
      <c r="J459">
        <f t="shared" si="378"/>
        <v>15</v>
      </c>
      <c r="M459">
        <f t="shared" si="379"/>
        <v>1.4882291256867607E-3</v>
      </c>
      <c r="N459">
        <f t="shared" si="380"/>
        <v>-1.5707963250000001</v>
      </c>
      <c r="O459">
        <f t="shared" si="381"/>
        <v>202.58492855831503</v>
      </c>
      <c r="P459">
        <f t="shared" si="382"/>
        <v>1.5658601053880279</v>
      </c>
      <c r="Q459">
        <f t="shared" si="383"/>
        <v>314.95881704623832</v>
      </c>
      <c r="R459">
        <f t="shared" si="384"/>
        <v>1.5676213031854311</v>
      </c>
      <c r="S459">
        <f t="shared" si="385"/>
        <v>9.7952738349993296E-2</v>
      </c>
      <c r="T459">
        <f t="shared" si="386"/>
        <v>-1.4726862697572352</v>
      </c>
      <c r="U459">
        <f t="shared" si="387"/>
        <v>0.1576109219871672</v>
      </c>
      <c r="V459">
        <f t="shared" si="388"/>
        <v>-1.4125254598260621</v>
      </c>
      <c r="X459">
        <f t="shared" si="405"/>
        <v>-50.941443333234758</v>
      </c>
      <c r="Y459">
        <f t="shared" si="389"/>
        <v>-171.31982994522693</v>
      </c>
      <c r="Z459">
        <f t="shared" si="406"/>
        <v>8.6801700547730718</v>
      </c>
      <c r="AC459">
        <v>1</v>
      </c>
      <c r="AD459">
        <f t="shared" si="390"/>
        <v>202.5824604426</v>
      </c>
      <c r="AE459">
        <f t="shared" si="391"/>
        <v>-0.23388860151393004</v>
      </c>
      <c r="AF459">
        <f t="shared" si="392"/>
        <v>3.7329974663624997E-2</v>
      </c>
      <c r="AG459">
        <f t="shared" si="367"/>
        <v>130.6390112644487</v>
      </c>
      <c r="AH459">
        <f t="shared" si="368"/>
        <v>-845.29860874918302</v>
      </c>
      <c r="AJ459">
        <f t="shared" si="393"/>
        <v>18000</v>
      </c>
      <c r="AK459">
        <f t="shared" si="394"/>
        <v>182878.39134180002</v>
      </c>
      <c r="AL459">
        <v>1</v>
      </c>
      <c r="AM459">
        <f t="shared" si="395"/>
        <v>314.95722953310002</v>
      </c>
      <c r="AN459">
        <f t="shared" si="369"/>
        <v>580.82076129565223</v>
      </c>
      <c r="AO459">
        <f t="shared" si="370"/>
        <v>-55.306491184618778</v>
      </c>
      <c r="AQ459">
        <f t="shared" si="396"/>
        <v>1.6659722339071664E-3</v>
      </c>
      <c r="AR459">
        <f t="shared" si="397"/>
        <v>-4.0816319730725574</v>
      </c>
      <c r="AT459">
        <f t="shared" si="365"/>
        <v>-3449.9801872989838</v>
      </c>
      <c r="AU459">
        <f t="shared" si="366"/>
        <v>-534.6286093190962</v>
      </c>
      <c r="AV459">
        <f t="shared" si="407"/>
        <v>-2.9878498447851873</v>
      </c>
      <c r="AW459">
        <f t="shared" si="408"/>
        <v>495.38441140833942</v>
      </c>
      <c r="AX459">
        <f t="shared" si="409"/>
        <v>-3420.1595454103908</v>
      </c>
      <c r="AY459">
        <f t="shared" ref="AY459:AY522" si="417">ATAN2(AW459,AX459)</f>
        <v>-1.4269541789034883</v>
      </c>
      <c r="BA459">
        <f t="shared" si="398"/>
        <v>1.0102172556726803</v>
      </c>
      <c r="BB459">
        <f t="shared" si="410"/>
        <v>8.8295649779292926E-2</v>
      </c>
      <c r="BC459">
        <f t="shared" si="411"/>
        <v>-1.560895665881699</v>
      </c>
      <c r="BD459">
        <f t="shared" si="399"/>
        <v>-269.43273401747547</v>
      </c>
      <c r="BF459">
        <f t="shared" si="400"/>
        <v>-54.17581956495124</v>
      </c>
      <c r="BG459">
        <f t="shared" si="401"/>
        <v>-184.97736876616059</v>
      </c>
      <c r="BH459">
        <f t="shared" si="412"/>
        <v>-4.9773687661605948</v>
      </c>
      <c r="BI459">
        <f t="shared" si="413"/>
        <v>-4.9773687661605948</v>
      </c>
      <c r="BJ459">
        <f t="shared" si="402"/>
        <v>0</v>
      </c>
      <c r="BK459">
        <f t="shared" si="414"/>
        <v>0</v>
      </c>
      <c r="BM459">
        <f t="shared" si="415"/>
        <v>-54.264115214730538</v>
      </c>
      <c r="BN459">
        <f t="shared" si="403"/>
        <v>-95.544634748685169</v>
      </c>
      <c r="BQ459" s="56">
        <f t="shared" si="416"/>
        <v>16.990256450064429</v>
      </c>
    </row>
    <row r="460" spans="1:69" x14ac:dyDescent="0.25">
      <c r="A460">
        <f t="shared" si="372"/>
        <v>1230000</v>
      </c>
      <c r="B460">
        <f t="shared" si="404"/>
        <v>1230</v>
      </c>
      <c r="C460">
        <f t="shared" si="373"/>
        <v>10.250275451239087</v>
      </c>
      <c r="D460">
        <f t="shared" si="374"/>
        <v>1.4730825522262507</v>
      </c>
      <c r="F460">
        <f t="shared" si="375"/>
        <v>1.2536649229592219E-5</v>
      </c>
      <c r="G460">
        <f t="shared" si="376"/>
        <v>1.3324843252344543E-3</v>
      </c>
      <c r="H460">
        <f t="shared" si="377"/>
        <v>-3.140260165674766</v>
      </c>
      <c r="J460">
        <f t="shared" si="378"/>
        <v>15</v>
      </c>
      <c r="M460">
        <f t="shared" si="379"/>
        <v>1.4821794137937249E-3</v>
      </c>
      <c r="N460">
        <f t="shared" si="380"/>
        <v>-1.5707963250000001</v>
      </c>
      <c r="O460">
        <f t="shared" si="381"/>
        <v>203.41178571092578</v>
      </c>
      <c r="P460">
        <f t="shared" si="382"/>
        <v>1.5658801710047379</v>
      </c>
      <c r="Q460">
        <f t="shared" si="383"/>
        <v>316.24435030534522</v>
      </c>
      <c r="R460">
        <f t="shared" si="384"/>
        <v>1.567634209699259</v>
      </c>
      <c r="S460">
        <f t="shared" si="385"/>
        <v>9.75583538956621E-2</v>
      </c>
      <c r="T460">
        <f t="shared" si="386"/>
        <v>-1.4730825522262505</v>
      </c>
      <c r="U460">
        <f t="shared" si="387"/>
        <v>0.15698604828845777</v>
      </c>
      <c r="V460">
        <f t="shared" si="388"/>
        <v>-1.4131582105832179</v>
      </c>
      <c r="X460">
        <f t="shared" si="405"/>
        <v>-51.011330878517057</v>
      </c>
      <c r="Y460">
        <f t="shared" si="389"/>
        <v>-171.35450635196693</v>
      </c>
      <c r="Z460">
        <f t="shared" si="406"/>
        <v>8.6454936480330673</v>
      </c>
      <c r="AC460">
        <v>1</v>
      </c>
      <c r="AD460">
        <f t="shared" si="390"/>
        <v>203.40932762807998</v>
      </c>
      <c r="AE460">
        <f t="shared" si="391"/>
        <v>-0.23580179273997487</v>
      </c>
      <c r="AF460">
        <f t="shared" si="392"/>
        <v>3.7482341907149996E-2</v>
      </c>
      <c r="AG460">
        <f t="shared" si="367"/>
        <v>129.60518622452057</v>
      </c>
      <c r="AH460">
        <f t="shared" si="368"/>
        <v>-842.0267692537044</v>
      </c>
      <c r="AJ460">
        <f t="shared" si="393"/>
        <v>18000</v>
      </c>
      <c r="AK460">
        <f t="shared" si="394"/>
        <v>183624.83375544002</v>
      </c>
      <c r="AL460">
        <v>1</v>
      </c>
      <c r="AM460">
        <f t="shared" si="395"/>
        <v>316.24276924547996</v>
      </c>
      <c r="AN460">
        <f t="shared" si="369"/>
        <v>580.81933656929061</v>
      </c>
      <c r="AO460">
        <f t="shared" si="370"/>
        <v>-55.081672554888563</v>
      </c>
      <c r="AQ460">
        <f t="shared" si="396"/>
        <v>1.6524552758848444E-3</v>
      </c>
      <c r="AR460">
        <f t="shared" si="397"/>
        <v>-4.0650399786767171</v>
      </c>
      <c r="AT460">
        <f t="shared" si="365"/>
        <v>-3422.6583133585445</v>
      </c>
      <c r="AU460">
        <f t="shared" si="366"/>
        <v>-528.24167502380658</v>
      </c>
      <c r="AV460">
        <f t="shared" si="407"/>
        <v>-2.9884641891256236</v>
      </c>
      <c r="AW460">
        <f t="shared" si="408"/>
        <v>496.1040517301675</v>
      </c>
      <c r="AX460">
        <f t="shared" si="409"/>
        <v>-3406.4254026890526</v>
      </c>
      <c r="AY460">
        <f t="shared" si="417"/>
        <v>-1.4261753671567303</v>
      </c>
      <c r="BA460">
        <f t="shared" si="398"/>
        <v>1.0060482797674515</v>
      </c>
      <c r="BB460">
        <f t="shared" si="410"/>
        <v>5.2376456017860978E-2</v>
      </c>
      <c r="BC460">
        <f t="shared" si="411"/>
        <v>-1.5622888219688933</v>
      </c>
      <c r="BD460">
        <f t="shared" si="399"/>
        <v>-269.51255598156581</v>
      </c>
      <c r="BF460">
        <f t="shared" si="400"/>
        <v>-54.247458146760309</v>
      </c>
      <c r="BG460">
        <f t="shared" si="401"/>
        <v>-185.03479704000881</v>
      </c>
      <c r="BH460">
        <f t="shared" si="412"/>
        <v>-5.0347970400088116</v>
      </c>
      <c r="BI460">
        <f t="shared" si="413"/>
        <v>-5.0347970400088116</v>
      </c>
      <c r="BJ460">
        <f t="shared" si="402"/>
        <v>0</v>
      </c>
      <c r="BK460">
        <f t="shared" si="414"/>
        <v>0</v>
      </c>
      <c r="BM460">
        <f t="shared" si="415"/>
        <v>-54.299834602778176</v>
      </c>
      <c r="BN460">
        <f t="shared" si="403"/>
        <v>-95.522241058443001</v>
      </c>
      <c r="BQ460" s="56">
        <f t="shared" si="416"/>
        <v>16.954337256302999</v>
      </c>
    </row>
    <row r="461" spans="1:69" x14ac:dyDescent="0.25">
      <c r="A461">
        <f t="shared" si="372"/>
        <v>1235000</v>
      </c>
      <c r="B461">
        <f t="shared" si="404"/>
        <v>1235</v>
      </c>
      <c r="C461">
        <f t="shared" si="373"/>
        <v>10.291547454132646</v>
      </c>
      <c r="D461">
        <f t="shared" si="374"/>
        <v>1.4734756563480376</v>
      </c>
      <c r="F461">
        <f t="shared" si="375"/>
        <v>1.2435342210345578E-5</v>
      </c>
      <c r="G461">
        <f t="shared" si="376"/>
        <v>1.3270895229670087E-3</v>
      </c>
      <c r="H461">
        <f t="shared" si="377"/>
        <v>-3.1402655604770331</v>
      </c>
      <c r="J461">
        <f t="shared" si="378"/>
        <v>15</v>
      </c>
      <c r="M461">
        <f t="shared" si="379"/>
        <v>1.4761786874220903E-3</v>
      </c>
      <c r="N461">
        <f t="shared" si="380"/>
        <v>-1.5707963250000001</v>
      </c>
      <c r="O461">
        <f t="shared" si="381"/>
        <v>204.23864294477292</v>
      </c>
      <c r="P461">
        <f t="shared" si="382"/>
        <v>1.5659000741507292</v>
      </c>
      <c r="Q461">
        <f t="shared" si="383"/>
        <v>317.52988361670492</v>
      </c>
      <c r="R461">
        <f t="shared" si="384"/>
        <v>1.5676470117079426</v>
      </c>
      <c r="S461">
        <f t="shared" si="385"/>
        <v>9.7167117428821947E-2</v>
      </c>
      <c r="T461">
        <f t="shared" si="386"/>
        <v>-1.4734756563480376</v>
      </c>
      <c r="U461">
        <f t="shared" si="387"/>
        <v>0.15636604798141446</v>
      </c>
      <c r="V461">
        <f t="shared" si="388"/>
        <v>-1.4137859636215377</v>
      </c>
      <c r="X461">
        <f t="shared" si="405"/>
        <v>-51.080941773376097</v>
      </c>
      <c r="Y461">
        <f t="shared" si="389"/>
        <v>-171.3889091837485</v>
      </c>
      <c r="Z461">
        <f t="shared" si="406"/>
        <v>8.6110908162515045</v>
      </c>
      <c r="AC461">
        <v>1</v>
      </c>
      <c r="AD461">
        <f t="shared" si="390"/>
        <v>204.23619481355999</v>
      </c>
      <c r="AE461">
        <f t="shared" si="391"/>
        <v>-0.23772277700563696</v>
      </c>
      <c r="AF461">
        <f t="shared" si="392"/>
        <v>3.7634709150674996E-2</v>
      </c>
      <c r="AG461">
        <f t="shared" si="367"/>
        <v>128.58348297501851</v>
      </c>
      <c r="AH461">
        <f t="shared" si="368"/>
        <v>-838.77950334345212</v>
      </c>
      <c r="AJ461">
        <f t="shared" si="393"/>
        <v>18000</v>
      </c>
      <c r="AK461">
        <f t="shared" si="394"/>
        <v>184371.27616908</v>
      </c>
      <c r="AL461">
        <v>1</v>
      </c>
      <c r="AM461">
        <f t="shared" si="395"/>
        <v>317.52830895785996</v>
      </c>
      <c r="AN461">
        <f t="shared" si="369"/>
        <v>580.81792911201569</v>
      </c>
      <c r="AO461">
        <f t="shared" si="370"/>
        <v>-54.858674264535352</v>
      </c>
      <c r="AQ461">
        <f t="shared" si="396"/>
        <v>1.6391021588450625E-3</v>
      </c>
      <c r="AR461">
        <f t="shared" si="397"/>
        <v>-4.048582332347304</v>
      </c>
      <c r="AT461">
        <f t="shared" si="365"/>
        <v>-3395.6571165068108</v>
      </c>
      <c r="AU461">
        <f t="shared" si="366"/>
        <v>-521.95566269906556</v>
      </c>
      <c r="AV461">
        <f t="shared" si="407"/>
        <v>-2.9890736847831265</v>
      </c>
      <c r="AW461">
        <f t="shared" si="408"/>
        <v>496.8145324112034</v>
      </c>
      <c r="AX461">
        <f t="shared" si="409"/>
        <v>-3392.8004972861991</v>
      </c>
      <c r="AY461">
        <f t="shared" si="417"/>
        <v>-1.425397687645297</v>
      </c>
      <c r="BA461">
        <f t="shared" si="398"/>
        <v>1.0019119916423371</v>
      </c>
      <c r="BB461">
        <f t="shared" si="410"/>
        <v>1.6591492046829529E-2</v>
      </c>
      <c r="BC461">
        <f t="shared" si="411"/>
        <v>-1.5636759971378296</v>
      </c>
      <c r="BD461">
        <f t="shared" si="399"/>
        <v>-269.59203526428206</v>
      </c>
      <c r="BF461">
        <f t="shared" si="400"/>
        <v>-54.31881488471479</v>
      </c>
      <c r="BG461">
        <f t="shared" si="401"/>
        <v>-185.0920622150133</v>
      </c>
      <c r="BH461">
        <f t="shared" si="412"/>
        <v>-5.0920622150132999</v>
      </c>
      <c r="BI461">
        <f t="shared" si="413"/>
        <v>-5.0920622150132999</v>
      </c>
      <c r="BJ461">
        <f t="shared" si="402"/>
        <v>0</v>
      </c>
      <c r="BK461">
        <f t="shared" si="414"/>
        <v>0</v>
      </c>
      <c r="BM461">
        <f t="shared" si="415"/>
        <v>-54.335406376761611</v>
      </c>
      <c r="BN461">
        <f t="shared" si="403"/>
        <v>-95.500026950731254</v>
      </c>
      <c r="BQ461" s="56">
        <f t="shared" si="416"/>
        <v>16.918552292331967</v>
      </c>
    </row>
    <row r="462" spans="1:69" x14ac:dyDescent="0.25">
      <c r="A462">
        <f t="shared" si="372"/>
        <v>1240000</v>
      </c>
      <c r="B462">
        <f t="shared" si="404"/>
        <v>1240</v>
      </c>
      <c r="C462">
        <f t="shared" si="373"/>
        <v>10.332821034682997</v>
      </c>
      <c r="D462">
        <f t="shared" si="374"/>
        <v>1.4738656200872873</v>
      </c>
      <c r="F462">
        <f t="shared" si="375"/>
        <v>1.2335258225669252E-5</v>
      </c>
      <c r="G462">
        <f t="shared" si="376"/>
        <v>1.3217382287191699E-3</v>
      </c>
      <c r="H462">
        <f t="shared" si="377"/>
        <v>-3.1402709117712813</v>
      </c>
      <c r="J462">
        <f t="shared" si="378"/>
        <v>15</v>
      </c>
      <c r="M462">
        <f t="shared" si="379"/>
        <v>1.4702263540050658E-3</v>
      </c>
      <c r="N462">
        <f t="shared" si="380"/>
        <v>-1.5707963250000001</v>
      </c>
      <c r="O462">
        <f t="shared" si="381"/>
        <v>205.06550025887373</v>
      </c>
      <c r="P462">
        <f t="shared" si="382"/>
        <v>1.5659198167913113</v>
      </c>
      <c r="Q462">
        <f t="shared" si="383"/>
        <v>318.81541697968538</v>
      </c>
      <c r="R462">
        <f t="shared" si="384"/>
        <v>1.5676597104756407</v>
      </c>
      <c r="S462">
        <f t="shared" si="385"/>
        <v>9.677899158839727E-2</v>
      </c>
      <c r="T462">
        <f t="shared" si="386"/>
        <v>-1.4738656200872873</v>
      </c>
      <c r="U462">
        <f t="shared" si="387"/>
        <v>0.15575086500969401</v>
      </c>
      <c r="V462">
        <f t="shared" si="388"/>
        <v>-1.4144087774301282</v>
      </c>
      <c r="X462">
        <f t="shared" si="405"/>
        <v>-51.150278173312643</v>
      </c>
      <c r="Y462">
        <f t="shared" si="389"/>
        <v>-171.42304163724165</v>
      </c>
      <c r="Z462">
        <f t="shared" si="406"/>
        <v>8.5769583627583472</v>
      </c>
      <c r="AC462">
        <v>1</v>
      </c>
      <c r="AD462">
        <f t="shared" si="390"/>
        <v>205.06306199904003</v>
      </c>
      <c r="AE462">
        <f t="shared" si="391"/>
        <v>-0.23965155431091636</v>
      </c>
      <c r="AF462">
        <f t="shared" si="392"/>
        <v>3.7787076394200002E-2</v>
      </c>
      <c r="AG462">
        <f t="shared" si="367"/>
        <v>127.57371434582417</v>
      </c>
      <c r="AH462">
        <f t="shared" si="368"/>
        <v>-835.55654326937656</v>
      </c>
      <c r="AJ462">
        <f t="shared" si="393"/>
        <v>18000</v>
      </c>
      <c r="AK462">
        <f t="shared" si="394"/>
        <v>185117.71858272003</v>
      </c>
      <c r="AL462">
        <v>1</v>
      </c>
      <c r="AM462">
        <f t="shared" si="395"/>
        <v>318.81384867023996</v>
      </c>
      <c r="AN462">
        <f t="shared" si="369"/>
        <v>580.81653864586133</v>
      </c>
      <c r="AO462">
        <f t="shared" si="370"/>
        <v>-54.637474294196657</v>
      </c>
      <c r="AQ462">
        <f t="shared" si="396"/>
        <v>1.6259102455270802E-3</v>
      </c>
      <c r="AR462">
        <f t="shared" si="397"/>
        <v>-4.0322574089071592</v>
      </c>
      <c r="AT462">
        <f t="shared" si="365"/>
        <v>-3368.9716387495841</v>
      </c>
      <c r="AU462">
        <f t="shared" si="366"/>
        <v>-515.76859479717393</v>
      </c>
      <c r="AV462">
        <f t="shared" si="407"/>
        <v>-2.9896783884440121</v>
      </c>
      <c r="AW462">
        <f t="shared" si="408"/>
        <v>497.51600936947091</v>
      </c>
      <c r="AX462">
        <f t="shared" si="409"/>
        <v>-3379.2835380317415</v>
      </c>
      <c r="AY462">
        <f t="shared" si="417"/>
        <v>-1.424621127326029</v>
      </c>
      <c r="BA462">
        <f t="shared" si="398"/>
        <v>0.99780800659237867</v>
      </c>
      <c r="BB462">
        <f t="shared" si="410"/>
        <v>-1.9060310503630697E-2</v>
      </c>
      <c r="BC462">
        <f t="shared" si="411"/>
        <v>-1.5650572611179832</v>
      </c>
      <c r="BD462">
        <f t="shared" si="399"/>
        <v>-269.67117586082873</v>
      </c>
      <c r="BF462">
        <f t="shared" si="400"/>
        <v>-54.389892072240372</v>
      </c>
      <c r="BG462">
        <f t="shared" si="401"/>
        <v>-185.14916614168797</v>
      </c>
      <c r="BH462">
        <f t="shared" si="412"/>
        <v>-5.1491661416879708</v>
      </c>
      <c r="BI462">
        <f t="shared" si="413"/>
        <v>-5.1491661416879708</v>
      </c>
      <c r="BJ462">
        <f t="shared" si="402"/>
        <v>0</v>
      </c>
      <c r="BK462">
        <f t="shared" si="414"/>
        <v>0</v>
      </c>
      <c r="BM462">
        <f t="shared" si="415"/>
        <v>-54.370831761736738</v>
      </c>
      <c r="BN462">
        <f t="shared" si="403"/>
        <v>-95.47799028085926</v>
      </c>
      <c r="BQ462" s="56">
        <f t="shared" si="416"/>
        <v>16.882900489781505</v>
      </c>
    </row>
    <row r="463" spans="1:69" x14ac:dyDescent="0.25">
      <c r="A463">
        <f t="shared" si="372"/>
        <v>1245000</v>
      </c>
      <c r="B463">
        <f t="shared" si="404"/>
        <v>1245</v>
      </c>
      <c r="C463">
        <f t="shared" si="373"/>
        <v>10.374096174059916</v>
      </c>
      <c r="D463">
        <f t="shared" si="374"/>
        <v>1.4742524808083497</v>
      </c>
      <c r="F463">
        <f t="shared" si="375"/>
        <v>1.2236377667551454E-5</v>
      </c>
      <c r="G463">
        <f t="shared" si="376"/>
        <v>1.3164299182731843E-3</v>
      </c>
      <c r="H463">
        <f t="shared" si="377"/>
        <v>-3.1402762200817271</v>
      </c>
      <c r="J463">
        <f t="shared" si="378"/>
        <v>15</v>
      </c>
      <c r="M463">
        <f t="shared" si="379"/>
        <v>1.4643218304950054E-3</v>
      </c>
      <c r="N463">
        <f t="shared" si="380"/>
        <v>-1.5707963250000001</v>
      </c>
      <c r="O463">
        <f t="shared" si="381"/>
        <v>205.89235765226127</v>
      </c>
      <c r="P463">
        <f t="shared" si="382"/>
        <v>1.5659394008602228</v>
      </c>
      <c r="Q463">
        <f t="shared" si="383"/>
        <v>320.10095039366468</v>
      </c>
      <c r="R463">
        <f t="shared" si="384"/>
        <v>1.567672307246204</v>
      </c>
      <c r="S463">
        <f t="shared" si="385"/>
        <v>9.6393939599332748E-2</v>
      </c>
      <c r="T463">
        <f t="shared" si="386"/>
        <v>-1.4742524808083497</v>
      </c>
      <c r="U463">
        <f t="shared" si="387"/>
        <v>0.15514044416175854</v>
      </c>
      <c r="V463">
        <f t="shared" si="388"/>
        <v>-1.4150267095966351</v>
      </c>
      <c r="X463">
        <f t="shared" si="405"/>
        <v>-51.219342209034089</v>
      </c>
      <c r="Y463">
        <f t="shared" si="389"/>
        <v>-171.45690685994836</v>
      </c>
      <c r="Z463">
        <f t="shared" si="406"/>
        <v>8.5430931400516386</v>
      </c>
      <c r="AC463">
        <v>1</v>
      </c>
      <c r="AD463">
        <f t="shared" si="390"/>
        <v>205.88992918452001</v>
      </c>
      <c r="AE463">
        <f t="shared" si="391"/>
        <v>-0.24158812465581306</v>
      </c>
      <c r="AF463">
        <f t="shared" si="392"/>
        <v>3.7939443637725001E-2</v>
      </c>
      <c r="AG463">
        <f t="shared" si="367"/>
        <v>126.57569673414837</v>
      </c>
      <c r="AH463">
        <f t="shared" si="368"/>
        <v>-832.35762502339742</v>
      </c>
      <c r="AJ463">
        <f t="shared" si="393"/>
        <v>18000</v>
      </c>
      <c r="AK463">
        <f t="shared" si="394"/>
        <v>185864.16099636001</v>
      </c>
      <c r="AL463">
        <v>1</v>
      </c>
      <c r="AM463">
        <f t="shared" si="395"/>
        <v>320.09938838261996</v>
      </c>
      <c r="AN463">
        <f t="shared" si="369"/>
        <v>580.81516489843068</v>
      </c>
      <c r="AO463">
        <f t="shared" si="370"/>
        <v>-54.418050978217238</v>
      </c>
      <c r="AQ463">
        <f t="shared" si="396"/>
        <v>1.6128769515206284E-3</v>
      </c>
      <c r="AR463">
        <f t="shared" si="397"/>
        <v>-4.0160636092863644</v>
      </c>
      <c r="AT463">
        <f t="shared" si="365"/>
        <v>-3342.5970167446067</v>
      </c>
      <c r="AU463">
        <f t="shared" si="366"/>
        <v>-509.67853990290291</v>
      </c>
      <c r="AV463">
        <f t="shared" si="407"/>
        <v>-2.990278355922094</v>
      </c>
      <c r="AW463">
        <f t="shared" si="408"/>
        <v>498.20863520257836</v>
      </c>
      <c r="AX463">
        <f t="shared" si="409"/>
        <v>-3365.873253924296</v>
      </c>
      <c r="AY463">
        <f t="shared" si="417"/>
        <v>-1.4238456734071101</v>
      </c>
      <c r="BA463">
        <f t="shared" si="398"/>
        <v>0.99373594588964553</v>
      </c>
      <c r="BB463">
        <f t="shared" si="410"/>
        <v>-5.4580007780875371E-2</v>
      </c>
      <c r="BC463">
        <f t="shared" si="411"/>
        <v>-1.5664326825149839</v>
      </c>
      <c r="BD463">
        <f t="shared" si="399"/>
        <v>-269.74998170201889</v>
      </c>
      <c r="BF463">
        <f t="shared" si="400"/>
        <v>-54.46069197524352</v>
      </c>
      <c r="BG463">
        <f t="shared" si="401"/>
        <v>-185.20611064006181</v>
      </c>
      <c r="BH463">
        <f t="shared" si="412"/>
        <v>-5.2061106400618087</v>
      </c>
      <c r="BI463">
        <f t="shared" si="413"/>
        <v>-5.2061106400618087</v>
      </c>
      <c r="BJ463">
        <f t="shared" si="402"/>
        <v>0</v>
      </c>
      <c r="BK463">
        <f t="shared" si="414"/>
        <v>0</v>
      </c>
      <c r="BM463">
        <f t="shared" si="415"/>
        <v>-54.406111967462643</v>
      </c>
      <c r="BN463">
        <f t="shared" si="403"/>
        <v>-95.456128938042923</v>
      </c>
      <c r="BQ463" s="56">
        <f t="shared" si="416"/>
        <v>16.847380792504261</v>
      </c>
    </row>
    <row r="464" spans="1:69" x14ac:dyDescent="0.25">
      <c r="A464">
        <f t="shared" si="372"/>
        <v>1250000</v>
      </c>
      <c r="B464">
        <f t="shared" si="404"/>
        <v>1250</v>
      </c>
      <c r="C464">
        <f t="shared" si="373"/>
        <v>10.415372853730947</v>
      </c>
      <c r="D464">
        <f t="shared" si="374"/>
        <v>1.4746362752870159</v>
      </c>
      <c r="F464">
        <f t="shared" si="375"/>
        <v>1.2138681319363669E-5</v>
      </c>
      <c r="G464">
        <f t="shared" si="376"/>
        <v>1.3111640757992758E-3</v>
      </c>
      <c r="H464">
        <f t="shared" si="377"/>
        <v>-3.1402814859242008</v>
      </c>
      <c r="J464">
        <f t="shared" si="378"/>
        <v>15</v>
      </c>
      <c r="M464">
        <f t="shared" si="379"/>
        <v>1.4584645431730252E-3</v>
      </c>
      <c r="N464">
        <f t="shared" si="380"/>
        <v>-1.5707963250000001</v>
      </c>
      <c r="O464">
        <f t="shared" si="381"/>
        <v>206.71921512398418</v>
      </c>
      <c r="P464">
        <f t="shared" si="382"/>
        <v>1.5659588282602641</v>
      </c>
      <c r="Q464">
        <f t="shared" si="383"/>
        <v>321.38648385803083</v>
      </c>
      <c r="R464">
        <f t="shared" si="384"/>
        <v>1.5676848032435826</v>
      </c>
      <c r="S464">
        <f t="shared" si="385"/>
        <v>9.6011925261205125E-2</v>
      </c>
      <c r="T464">
        <f t="shared" si="386"/>
        <v>-1.4746362752870159</v>
      </c>
      <c r="U464">
        <f t="shared" si="387"/>
        <v>0.15453473105525187</v>
      </c>
      <c r="V464">
        <f t="shared" si="388"/>
        <v>-1.4156398168243931</v>
      </c>
      <c r="X464">
        <f t="shared" si="405"/>
        <v>-51.288135986828735</v>
      </c>
      <c r="Y464">
        <f t="shared" si="389"/>
        <v>-171.49050795113567</v>
      </c>
      <c r="Z464">
        <f t="shared" si="406"/>
        <v>8.5094920488643311</v>
      </c>
      <c r="AC464">
        <v>1</v>
      </c>
      <c r="AD464">
        <f t="shared" si="390"/>
        <v>206.71679637</v>
      </c>
      <c r="AE464">
        <f t="shared" si="391"/>
        <v>-0.24353248804032704</v>
      </c>
      <c r="AF464">
        <f t="shared" si="392"/>
        <v>3.809181088125E-2</v>
      </c>
      <c r="AG464">
        <f t="shared" si="367"/>
        <v>125.58925002398867</v>
      </c>
      <c r="AH464">
        <f t="shared" si="368"/>
        <v>-829.18248827618311</v>
      </c>
      <c r="AJ464">
        <f t="shared" si="393"/>
        <v>18000</v>
      </c>
      <c r="AK464">
        <f t="shared" si="394"/>
        <v>186610.60341000001</v>
      </c>
      <c r="AL464">
        <v>1</v>
      </c>
      <c r="AM464">
        <f t="shared" si="395"/>
        <v>321.38492809499996</v>
      </c>
      <c r="AN464">
        <f t="shared" si="369"/>
        <v>580.81380760276443</v>
      </c>
      <c r="AO464">
        <f t="shared" si="370"/>
        <v>-54.200382997575424</v>
      </c>
      <c r="AQ464">
        <f t="shared" si="396"/>
        <v>1.599999744000041E-3</v>
      </c>
      <c r="AR464">
        <f t="shared" si="397"/>
        <v>-3.9999993600001025</v>
      </c>
      <c r="AT464">
        <f t="shared" si="365"/>
        <v>-3316.5284796601372</v>
      </c>
      <c r="AU464">
        <f t="shared" si="366"/>
        <v>-503.68361148781872</v>
      </c>
      <c r="AV464">
        <f t="shared" si="407"/>
        <v>-2.9908736421752553</v>
      </c>
      <c r="AW464">
        <f t="shared" si="408"/>
        <v>498.89255927248058</v>
      </c>
      <c r="AX464">
        <f t="shared" si="409"/>
        <v>-3352.5683937406739</v>
      </c>
      <c r="AY464">
        <f t="shared" si="417"/>
        <v>-1.4230713133422539</v>
      </c>
      <c r="BA464">
        <f t="shared" si="398"/>
        <v>0.98969543666855475</v>
      </c>
      <c r="BB464">
        <f t="shared" si="410"/>
        <v>-8.9968643891239E-2</v>
      </c>
      <c r="BC464">
        <f t="shared" si="411"/>
        <v>-1.5678023288330014</v>
      </c>
      <c r="BD464">
        <f t="shared" si="399"/>
        <v>-269.82845665555664</v>
      </c>
      <c r="BF464">
        <f t="shared" si="400"/>
        <v>-54.531216832548004</v>
      </c>
      <c r="BG464">
        <f t="shared" si="401"/>
        <v>-185.26289750029605</v>
      </c>
      <c r="BH464">
        <f t="shared" si="412"/>
        <v>-5.2628975002960487</v>
      </c>
      <c r="BI464">
        <f t="shared" si="413"/>
        <v>-5.2628975002960487</v>
      </c>
      <c r="BJ464">
        <f t="shared" si="402"/>
        <v>0</v>
      </c>
      <c r="BK464">
        <f t="shared" si="414"/>
        <v>0</v>
      </c>
      <c r="BM464">
        <f t="shared" si="415"/>
        <v>-54.441248188656772</v>
      </c>
      <c r="BN464">
        <f t="shared" si="403"/>
        <v>-95.434440844739456</v>
      </c>
      <c r="BQ464" s="56">
        <f t="shared" si="416"/>
        <v>16.811992156393899</v>
      </c>
    </row>
    <row r="465" spans="1:69" x14ac:dyDescent="0.25">
      <c r="A465">
        <f t="shared" si="372"/>
        <v>1255000</v>
      </c>
      <c r="B465">
        <f t="shared" si="404"/>
        <v>1255</v>
      </c>
      <c r="C465">
        <f t="shared" si="373"/>
        <v>10.45665105545558</v>
      </c>
      <c r="D465">
        <f t="shared" si="374"/>
        <v>1.475017039722025</v>
      </c>
      <c r="F465">
        <f t="shared" si="375"/>
        <v>1.2042150346523313E-5</v>
      </c>
      <c r="G465">
        <f t="shared" si="376"/>
        <v>1.3059401936885403E-3</v>
      </c>
      <c r="H465">
        <f t="shared" si="377"/>
        <v>-3.1402867098063116</v>
      </c>
      <c r="J465">
        <f t="shared" si="378"/>
        <v>15</v>
      </c>
      <c r="M465">
        <f t="shared" si="379"/>
        <v>1.4526539274631726E-3</v>
      </c>
      <c r="N465">
        <f t="shared" si="380"/>
        <v>-1.5707963250000001</v>
      </c>
      <c r="O465">
        <f t="shared" si="381"/>
        <v>207.54607267310621</v>
      </c>
      <c r="P465">
        <f t="shared" si="382"/>
        <v>1.5659781008639131</v>
      </c>
      <c r="Q465">
        <f t="shared" si="383"/>
        <v>322.67201737218153</v>
      </c>
      <c r="R465">
        <f t="shared" si="384"/>
        <v>1.5676971996722209</v>
      </c>
      <c r="S465">
        <f t="shared" si="385"/>
        <v>9.5632912937098261E-2</v>
      </c>
      <c r="T465">
        <f t="shared" si="386"/>
        <v>-1.475017039722025</v>
      </c>
      <c r="U465">
        <f t="shared" si="387"/>
        <v>0.15393367212171569</v>
      </c>
      <c r="V465">
        <f t="shared" si="388"/>
        <v>-1.4162481549491899</v>
      </c>
      <c r="X465">
        <f t="shared" si="405"/>
        <v>-51.356661588932973</v>
      </c>
      <c r="Y465">
        <f t="shared" si="389"/>
        <v>-171.52384796274785</v>
      </c>
      <c r="Z465">
        <f t="shared" si="406"/>
        <v>8.4761520372521488</v>
      </c>
      <c r="AC465">
        <v>1</v>
      </c>
      <c r="AD465">
        <f t="shared" si="390"/>
        <v>207.54366355548001</v>
      </c>
      <c r="AE465">
        <f t="shared" si="391"/>
        <v>-0.24548464446445822</v>
      </c>
      <c r="AF465">
        <f t="shared" si="392"/>
        <v>3.8244178124775E-2</v>
      </c>
      <c r="AG465">
        <f t="shared" si="367"/>
        <v>124.61419750767985</v>
      </c>
      <c r="AH465">
        <f t="shared" si="368"/>
        <v>-826.0308763160906</v>
      </c>
      <c r="AJ465">
        <f t="shared" si="393"/>
        <v>18000</v>
      </c>
      <c r="AK465">
        <f t="shared" si="394"/>
        <v>187357.04582364002</v>
      </c>
      <c r="AL465">
        <v>1</v>
      </c>
      <c r="AM465">
        <f t="shared" si="395"/>
        <v>322.67046780737996</v>
      </c>
      <c r="AN465">
        <f t="shared" si="369"/>
        <v>580.81246649721015</v>
      </c>
      <c r="AO465">
        <f t="shared" si="370"/>
        <v>-53.984449372978489</v>
      </c>
      <c r="AQ465">
        <f t="shared" si="396"/>
        <v>1.5872761404936207E-3</v>
      </c>
      <c r="AR465">
        <f t="shared" si="397"/>
        <v>-3.9840631126389878</v>
      </c>
      <c r="AT465">
        <f t="shared" si="365"/>
        <v>-3290.7613470893239</v>
      </c>
      <c r="AU465">
        <f t="shared" si="366"/>
        <v>-497.78196670274411</v>
      </c>
      <c r="AV465">
        <f t="shared" si="407"/>
        <v>-2.9914643013216473</v>
      </c>
      <c r="AW465">
        <f t="shared" si="408"/>
        <v>499.56792778771927</v>
      </c>
      <c r="AX465">
        <f t="shared" si="409"/>
        <v>-3339.3677256543488</v>
      </c>
      <c r="AY465">
        <f t="shared" si="417"/>
        <v>-1.4222980348250478</v>
      </c>
      <c r="BA465">
        <f t="shared" si="398"/>
        <v>0.98568611181380184</v>
      </c>
      <c r="BB465">
        <f t="shared" si="410"/>
        <v>-0.12522725107817292</v>
      </c>
      <c r="BC465">
        <f t="shared" si="411"/>
        <v>-1.5691662664965995</v>
      </c>
      <c r="BD465">
        <f t="shared" si="399"/>
        <v>-269.90660452728901</v>
      </c>
      <c r="BF465">
        <f t="shared" si="400"/>
        <v>-54.601468856322924</v>
      </c>
      <c r="BG465">
        <f t="shared" si="401"/>
        <v>-185.3195284832868</v>
      </c>
      <c r="BH465">
        <f t="shared" si="412"/>
        <v>-5.3195284832868026</v>
      </c>
      <c r="BI465">
        <f t="shared" si="413"/>
        <v>-5.3195284832868026</v>
      </c>
      <c r="BJ465">
        <f t="shared" si="402"/>
        <v>0</v>
      </c>
      <c r="BK465">
        <f t="shared" si="414"/>
        <v>0</v>
      </c>
      <c r="BM465">
        <f t="shared" si="415"/>
        <v>-54.476241605244752</v>
      </c>
      <c r="BN465">
        <f t="shared" si="403"/>
        <v>-95.412923955997783</v>
      </c>
      <c r="BQ465" s="56">
        <f t="shared" si="416"/>
        <v>16.776733549206963</v>
      </c>
    </row>
    <row r="466" spans="1:69" x14ac:dyDescent="0.25">
      <c r="A466">
        <f t="shared" si="372"/>
        <v>1260000</v>
      </c>
      <c r="B466">
        <f t="shared" si="404"/>
        <v>1260</v>
      </c>
      <c r="C466">
        <f t="shared" si="373"/>
        <v>10.497930761279529</v>
      </c>
      <c r="D466">
        <f t="shared" si="374"/>
        <v>1.4753948097463034</v>
      </c>
      <c r="F466">
        <f t="shared" si="375"/>
        <v>1.1946766287415263E-5</v>
      </c>
      <c r="G466">
        <f t="shared" si="376"/>
        <v>1.3007577723898238E-3</v>
      </c>
      <c r="H466">
        <f t="shared" si="377"/>
        <v>-3.1402918922276104</v>
      </c>
      <c r="J466">
        <f t="shared" si="378"/>
        <v>15</v>
      </c>
      <c r="M466">
        <f t="shared" si="379"/>
        <v>1.4468894277510171E-3</v>
      </c>
      <c r="N466">
        <f t="shared" si="380"/>
        <v>-1.5707963250000001</v>
      </c>
      <c r="O466">
        <f t="shared" si="381"/>
        <v>208.37293029870594</v>
      </c>
      <c r="P466">
        <f t="shared" si="382"/>
        <v>1.5659972205139274</v>
      </c>
      <c r="Q466">
        <f t="shared" si="383"/>
        <v>323.95755093552424</v>
      </c>
      <c r="R466">
        <f t="shared" si="384"/>
        <v>1.5677094977174462</v>
      </c>
      <c r="S466">
        <f t="shared" si="385"/>
        <v>9.5256867542734339E-2</v>
      </c>
      <c r="T466">
        <f t="shared" si="386"/>
        <v>-1.4753948097463032</v>
      </c>
      <c r="U466">
        <f t="shared" si="387"/>
        <v>0.15333721459163721</v>
      </c>
      <c r="V466">
        <f t="shared" si="388"/>
        <v>-1.4168517789556541</v>
      </c>
      <c r="X466">
        <f t="shared" si="405"/>
        <v>-51.424921073891817</v>
      </c>
      <c r="Y466">
        <f t="shared" si="389"/>
        <v>-171.5569299002976</v>
      </c>
      <c r="Z466">
        <f t="shared" si="406"/>
        <v>8.4430700997023962</v>
      </c>
      <c r="AC466">
        <v>1</v>
      </c>
      <c r="AD466">
        <f t="shared" si="390"/>
        <v>208.37053074095999</v>
      </c>
      <c r="AE466">
        <f t="shared" si="391"/>
        <v>-0.24744459392820681</v>
      </c>
      <c r="AF466">
        <f t="shared" si="392"/>
        <v>3.8396545368299999E-2</v>
      </c>
      <c r="AG466">
        <f t="shared" si="367"/>
        <v>123.65036580947614</v>
      </c>
      <c r="AH466">
        <f t="shared" si="368"/>
        <v>-822.90253598924187</v>
      </c>
      <c r="AJ466">
        <f t="shared" si="393"/>
        <v>18000</v>
      </c>
      <c r="AK466">
        <f t="shared" si="394"/>
        <v>188103.48823727999</v>
      </c>
      <c r="AL466">
        <v>1</v>
      </c>
      <c r="AM466">
        <f t="shared" si="395"/>
        <v>323.95600751975996</v>
      </c>
      <c r="AN466">
        <f t="shared" si="369"/>
        <v>580.81114132529649</v>
      </c>
      <c r="AO466">
        <f t="shared" si="370"/>
        <v>-53.770229458122351</v>
      </c>
      <c r="AQ466">
        <f t="shared" si="396"/>
        <v>1.5747037076871209E-3</v>
      </c>
      <c r="AR466">
        <f t="shared" si="397"/>
        <v>-3.9682533433715448</v>
      </c>
      <c r="AT466">
        <f t="shared" si="365"/>
        <v>-3265.2910270187349</v>
      </c>
      <c r="AU466">
        <f t="shared" si="366"/>
        <v>-491.97180520705564</v>
      </c>
      <c r="AV466">
        <f t="shared" si="407"/>
        <v>-2.9920503866555239</v>
      </c>
      <c r="AW466">
        <f t="shared" si="408"/>
        <v>500.23488388323329</v>
      </c>
      <c r="AX466">
        <f t="shared" si="409"/>
        <v>-3326.2700368627075</v>
      </c>
      <c r="AY466">
        <f t="shared" si="417"/>
        <v>-1.4215258257834538</v>
      </c>
      <c r="BA466">
        <f t="shared" si="398"/>
        <v>0.98170760985082361</v>
      </c>
      <c r="BB466">
        <f t="shared" si="410"/>
        <v>-0.16035684989723453</v>
      </c>
      <c r="BC466">
        <f t="shared" si="411"/>
        <v>-1.5705245608720702</v>
      </c>
      <c r="BD466">
        <f t="shared" si="399"/>
        <v>-269.98442906242877</v>
      </c>
      <c r="BF466">
        <f t="shared" si="400"/>
        <v>-54.671450232502288</v>
      </c>
      <c r="BG466">
        <f t="shared" si="401"/>
        <v>-185.37600532125253</v>
      </c>
      <c r="BH466">
        <f t="shared" si="412"/>
        <v>-5.3760053212525349</v>
      </c>
      <c r="BI466">
        <f t="shared" si="413"/>
        <v>-5.3760053212525349</v>
      </c>
      <c r="BJ466">
        <f t="shared" si="402"/>
        <v>0</v>
      </c>
      <c r="BK466">
        <f t="shared" si="414"/>
        <v>0</v>
      </c>
      <c r="BM466">
        <f t="shared" si="415"/>
        <v>-54.511093382605054</v>
      </c>
      <c r="BN466">
        <f t="shared" si="403"/>
        <v>-95.391576258823761</v>
      </c>
      <c r="BQ466" s="56">
        <f t="shared" si="416"/>
        <v>16.741603950387901</v>
      </c>
    </row>
    <row r="467" spans="1:69" x14ac:dyDescent="0.25">
      <c r="A467">
        <f t="shared" si="372"/>
        <v>1265000</v>
      </c>
      <c r="B467">
        <f t="shared" si="404"/>
        <v>1265</v>
      </c>
      <c r="C467">
        <f t="shared" si="373"/>
        <v>10.539211953529136</v>
      </c>
      <c r="D467">
        <f t="shared" si="374"/>
        <v>1.4757696204379414</v>
      </c>
      <c r="F467">
        <f t="shared" si="375"/>
        <v>1.1852511044564078E-5</v>
      </c>
      <c r="G467">
        <f t="shared" si="376"/>
        <v>1.2956163202504656E-3</v>
      </c>
      <c r="H467">
        <f t="shared" si="377"/>
        <v>-3.1402970336797495</v>
      </c>
      <c r="J467">
        <f t="shared" si="378"/>
        <v>15</v>
      </c>
      <c r="M467">
        <f t="shared" si="379"/>
        <v>1.4411704972065466E-3</v>
      </c>
      <c r="N467">
        <f t="shared" si="380"/>
        <v>-1.5707963250000001</v>
      </c>
      <c r="O467">
        <f t="shared" si="381"/>
        <v>209.19978799987652</v>
      </c>
      <c r="P467">
        <f t="shared" si="382"/>
        <v>1.5660161890239304</v>
      </c>
      <c r="Q467">
        <f t="shared" si="383"/>
        <v>325.24308454747558</v>
      </c>
      <c r="R467">
        <f t="shared" si="384"/>
        <v>1.5677216985458453</v>
      </c>
      <c r="S467">
        <f t="shared" si="385"/>
        <v>9.488375453585432E-2</v>
      </c>
      <c r="T467">
        <f t="shared" si="386"/>
        <v>-1.4757696204379414</v>
      </c>
      <c r="U467">
        <f t="shared" si="387"/>
        <v>0.15274530647982013</v>
      </c>
      <c r="V467">
        <f t="shared" si="388"/>
        <v>-1.4174507429932748</v>
      </c>
      <c r="X467">
        <f t="shared" si="405"/>
        <v>-51.492916476912697</v>
      </c>
      <c r="Y467">
        <f t="shared" si="389"/>
        <v>-171.58975672373842</v>
      </c>
      <c r="Z467">
        <f t="shared" si="406"/>
        <v>8.410243276261582</v>
      </c>
      <c r="AC467">
        <v>1</v>
      </c>
      <c r="AD467">
        <f t="shared" si="390"/>
        <v>209.19739792643998</v>
      </c>
      <c r="AE467">
        <f t="shared" si="391"/>
        <v>-0.24941233643157265</v>
      </c>
      <c r="AF467">
        <f t="shared" si="392"/>
        <v>3.8548912611824998E-2</v>
      </c>
      <c r="AG467">
        <f t="shared" si="367"/>
        <v>122.69758481110772</v>
      </c>
      <c r="AH467">
        <f t="shared" si="368"/>
        <v>-819.79721764072065</v>
      </c>
      <c r="AJ467">
        <f t="shared" si="393"/>
        <v>18000</v>
      </c>
      <c r="AK467">
        <f t="shared" si="394"/>
        <v>188849.93065092003</v>
      </c>
      <c r="AL467">
        <v>1</v>
      </c>
      <c r="AM467">
        <f t="shared" si="395"/>
        <v>325.24154723214002</v>
      </c>
      <c r="AN467">
        <f t="shared" si="369"/>
        <v>580.80983183561079</v>
      </c>
      <c r="AO467">
        <f t="shared" si="370"/>
        <v>-53.557702933111131</v>
      </c>
      <c r="AQ467">
        <f t="shared" si="396"/>
        <v>1.5622800602602665E-3</v>
      </c>
      <c r="AR467">
        <f t="shared" si="397"/>
        <v>-3.9525685524584744</v>
      </c>
      <c r="AT467">
        <f t="shared" si="365"/>
        <v>-3240.1130138494759</v>
      </c>
      <c r="AU467">
        <f t="shared" si="366"/>
        <v>-486.25136803356787</v>
      </c>
      <c r="AV467">
        <f t="shared" si="407"/>
        <v>-2.9926319506627248</v>
      </c>
      <c r="AW467">
        <f t="shared" si="408"/>
        <v>500.89356769781915</v>
      </c>
      <c r="AX467">
        <f t="shared" si="409"/>
        <v>-3313.2741332228184</v>
      </c>
      <c r="AY467">
        <f t="shared" si="417"/>
        <v>-1.4207546743744552</v>
      </c>
      <c r="BA467">
        <f t="shared" si="398"/>
        <v>0.97775957483874021</v>
      </c>
      <c r="BB467">
        <f t="shared" si="410"/>
        <v>-0.19535844938787766</v>
      </c>
      <c r="BC467">
        <f t="shared" si="411"/>
        <v>-1.5718772762882696</v>
      </c>
      <c r="BD467">
        <f t="shared" si="399"/>
        <v>-270.06193394674784</v>
      </c>
      <c r="BF467">
        <f t="shared" si="400"/>
        <v>-54.741163121196443</v>
      </c>
      <c r="BG467">
        <f t="shared" si="401"/>
        <v>-185.4323297183083</v>
      </c>
      <c r="BH467">
        <f t="shared" si="412"/>
        <v>-5.4323297183082957</v>
      </c>
      <c r="BI467">
        <f t="shared" si="413"/>
        <v>-5.4323297183082957</v>
      </c>
      <c r="BJ467">
        <f t="shared" si="402"/>
        <v>0</v>
      </c>
      <c r="BK467">
        <f t="shared" si="414"/>
        <v>0</v>
      </c>
      <c r="BM467">
        <f t="shared" si="415"/>
        <v>-54.545804671808554</v>
      </c>
      <c r="BN467">
        <f t="shared" si="403"/>
        <v>-95.370395771560467</v>
      </c>
      <c r="BQ467" s="56">
        <f t="shared" si="416"/>
        <v>16.70660235089726</v>
      </c>
    </row>
    <row r="468" spans="1:69" x14ac:dyDescent="0.25">
      <c r="A468">
        <f t="shared" si="372"/>
        <v>1270000</v>
      </c>
      <c r="B468">
        <f t="shared" si="404"/>
        <v>1270</v>
      </c>
      <c r="C468">
        <f t="shared" si="373"/>
        <v>10.58049461480595</v>
      </c>
      <c r="D468">
        <f t="shared" si="374"/>
        <v>1.4761415063309189</v>
      </c>
      <c r="F468">
        <f t="shared" si="375"/>
        <v>1.1759366876049021E-5</v>
      </c>
      <c r="G468">
        <f t="shared" si="376"/>
        <v>1.2905153533608075E-3</v>
      </c>
      <c r="H468">
        <f t="shared" si="377"/>
        <v>-3.1403021346466393</v>
      </c>
      <c r="J468">
        <f t="shared" si="378"/>
        <v>15</v>
      </c>
      <c r="M468">
        <f t="shared" si="379"/>
        <v>1.4354965976112453E-3</v>
      </c>
      <c r="N468">
        <f t="shared" si="380"/>
        <v>-1.5707963250000001</v>
      </c>
      <c r="O468">
        <f t="shared" si="381"/>
        <v>210.02664577572546</v>
      </c>
      <c r="P468">
        <f t="shared" si="382"/>
        <v>1.5660350081789864</v>
      </c>
      <c r="Q468">
        <f t="shared" si="383"/>
        <v>326.52861820746142</v>
      </c>
      <c r="R468">
        <f t="shared" si="384"/>
        <v>1.5677338033056343</v>
      </c>
      <c r="S468">
        <f t="shared" si="385"/>
        <v>9.4513539905841215E-2</v>
      </c>
      <c r="T468">
        <f t="shared" si="386"/>
        <v>-1.4761415063309189</v>
      </c>
      <c r="U468">
        <f t="shared" si="387"/>
        <v>0.1521578965710709</v>
      </c>
      <c r="V468">
        <f t="shared" si="388"/>
        <v>-1.4180451003920662</v>
      </c>
      <c r="X468">
        <f t="shared" si="405"/>
        <v>-51.56064981021273</v>
      </c>
      <c r="Y468">
        <f t="shared" si="389"/>
        <v>-171.62233134831635</v>
      </c>
      <c r="Z468">
        <f t="shared" si="406"/>
        <v>8.3776686516836492</v>
      </c>
      <c r="AC468">
        <v>1</v>
      </c>
      <c r="AD468">
        <f t="shared" si="390"/>
        <v>210.02426511192002</v>
      </c>
      <c r="AE468">
        <f t="shared" si="391"/>
        <v>-0.25138787197455575</v>
      </c>
      <c r="AF468">
        <f t="shared" si="392"/>
        <v>3.8701279855349997E-2</v>
      </c>
      <c r="AG468">
        <f t="shared" si="367"/>
        <v>121.75568757925107</v>
      </c>
      <c r="AH468">
        <f t="shared" si="368"/>
        <v>-816.71467505686007</v>
      </c>
      <c r="AJ468">
        <f t="shared" si="393"/>
        <v>18000</v>
      </c>
      <c r="AK468">
        <f t="shared" si="394"/>
        <v>189596.37306456003</v>
      </c>
      <c r="AL468">
        <v>1</v>
      </c>
      <c r="AM468">
        <f t="shared" si="395"/>
        <v>326.52708694451997</v>
      </c>
      <c r="AN468">
        <f t="shared" si="369"/>
        <v>580.80853778167977</v>
      </c>
      <c r="AO468">
        <f t="shared" si="370"/>
        <v>-53.346849798032245</v>
      </c>
      <c r="AQ468">
        <f t="shared" si="396"/>
        <v>1.5500028597552763E-3</v>
      </c>
      <c r="AR468">
        <f t="shared" si="397"/>
        <v>-3.9370072637784017</v>
      </c>
      <c r="AT468">
        <f t="shared" si="365"/>
        <v>-3215.2228864693357</v>
      </c>
      <c r="AU468">
        <f t="shared" si="366"/>
        <v>-480.61893648778744</v>
      </c>
      <c r="AV468">
        <f t="shared" si="407"/>
        <v>-2.9932090450358126</v>
      </c>
      <c r="AW468">
        <f t="shared" si="408"/>
        <v>501.54411644931884</v>
      </c>
      <c r="AX468">
        <f t="shared" si="409"/>
        <v>-3300.3788388955149</v>
      </c>
      <c r="AY468">
        <f t="shared" si="417"/>
        <v>-1.4199845689788513</v>
      </c>
      <c r="BA468">
        <f t="shared" si="398"/>
        <v>0.97384165626569985</v>
      </c>
      <c r="BB468">
        <f t="shared" si="410"/>
        <v>-0.23023304724221544</v>
      </c>
      <c r="BC468">
        <f t="shared" si="411"/>
        <v>-1.5732244760569614</v>
      </c>
      <c r="BD468">
        <f t="shared" si="399"/>
        <v>-270.13912280774309</v>
      </c>
      <c r="BF468">
        <f t="shared" si="400"/>
        <v>-54.810609657095441</v>
      </c>
      <c r="BG468">
        <f t="shared" si="401"/>
        <v>-185.48850335102568</v>
      </c>
      <c r="BH468">
        <f t="shared" si="412"/>
        <v>-5.4885033510256847</v>
      </c>
      <c r="BI468">
        <f t="shared" si="413"/>
        <v>-5.4885033510256847</v>
      </c>
      <c r="BJ468">
        <f t="shared" si="402"/>
        <v>0</v>
      </c>
      <c r="BK468">
        <f t="shared" si="414"/>
        <v>0</v>
      </c>
      <c r="BM468">
        <f t="shared" si="415"/>
        <v>-54.580376609853225</v>
      </c>
      <c r="BN468">
        <f t="shared" si="403"/>
        <v>-95.349380543282606</v>
      </c>
      <c r="BQ468" s="56">
        <f t="shared" si="416"/>
        <v>16.671727753042923</v>
      </c>
    </row>
    <row r="469" spans="1:69" x14ac:dyDescent="0.25">
      <c r="A469">
        <f t="shared" si="372"/>
        <v>1275000</v>
      </c>
      <c r="B469">
        <f t="shared" si="404"/>
        <v>1275</v>
      </c>
      <c r="C469">
        <f t="shared" si="373"/>
        <v>10.621778727981384</v>
      </c>
      <c r="D469">
        <f t="shared" si="374"/>
        <v>1.4765105014255817</v>
      </c>
      <c r="F469">
        <f t="shared" si="375"/>
        <v>1.1667316387154311E-5</v>
      </c>
      <c r="G469">
        <f t="shared" si="376"/>
        <v>1.2854543954023579E-3</v>
      </c>
      <c r="H469">
        <f t="shared" si="377"/>
        <v>-3.1403071956045978</v>
      </c>
      <c r="J469">
        <f t="shared" si="378"/>
        <v>15</v>
      </c>
      <c r="M469">
        <f t="shared" si="379"/>
        <v>1.4298671991892404E-3</v>
      </c>
      <c r="N469">
        <f t="shared" si="380"/>
        <v>-1.5707963250000001</v>
      </c>
      <c r="O469">
        <f t="shared" si="381"/>
        <v>210.8535036253742</v>
      </c>
      <c r="P469">
        <f t="shared" si="382"/>
        <v>1.5660536797361593</v>
      </c>
      <c r="Q469">
        <f t="shared" si="383"/>
        <v>327.81415191491669</v>
      </c>
      <c r="R469">
        <f t="shared" si="384"/>
        <v>1.5677458131270177</v>
      </c>
      <c r="S469">
        <f t="shared" si="385"/>
        <v>9.4146190163579613E-2</v>
      </c>
      <c r="T469">
        <f t="shared" si="386"/>
        <v>-1.4765105014255817</v>
      </c>
      <c r="U469">
        <f t="shared" si="387"/>
        <v>0.15157493440619238</v>
      </c>
      <c r="V469">
        <f t="shared" si="388"/>
        <v>-1.4186349036778816</v>
      </c>
      <c r="X469">
        <f t="shared" si="405"/>
        <v>-51.628123063359787</v>
      </c>
      <c r="Y469">
        <f t="shared" si="389"/>
        <v>-171.65465664540383</v>
      </c>
      <c r="Z469">
        <f t="shared" si="406"/>
        <v>8.3453433545961673</v>
      </c>
      <c r="AC469">
        <v>1</v>
      </c>
      <c r="AD469">
        <f t="shared" si="390"/>
        <v>210.8511322974</v>
      </c>
      <c r="AE469">
        <f t="shared" si="391"/>
        <v>-0.25337120055715617</v>
      </c>
      <c r="AF469">
        <f t="shared" si="392"/>
        <v>3.8853647098874997E-2</v>
      </c>
      <c r="AG469">
        <f t="shared" si="367"/>
        <v>120.82451029485978</v>
      </c>
      <c r="AH469">
        <f t="shared" si="368"/>
        <v>-813.65466540860382</v>
      </c>
      <c r="AJ469">
        <f t="shared" si="393"/>
        <v>18000</v>
      </c>
      <c r="AK469">
        <f t="shared" si="394"/>
        <v>190342.81547820001</v>
      </c>
      <c r="AL469">
        <v>1</v>
      </c>
      <c r="AM469">
        <f t="shared" si="395"/>
        <v>327.81262665689997</v>
      </c>
      <c r="AN469">
        <f t="shared" si="369"/>
        <v>580.80725892185262</v>
      </c>
      <c r="AO469">
        <f t="shared" si="370"/>
        <v>-53.137650366682422</v>
      </c>
      <c r="AQ469">
        <f t="shared" si="396"/>
        <v>1.537869813476384E-3</v>
      </c>
      <c r="AR469">
        <f t="shared" si="397"/>
        <v>-3.9215680243647792</v>
      </c>
      <c r="AT469">
        <f t="shared" si="365"/>
        <v>-3190.6163063744934</v>
      </c>
      <c r="AU469">
        <f t="shared" si="366"/>
        <v>-475.07283108038126</v>
      </c>
      <c r="AV469">
        <f t="shared" si="407"/>
        <v>-2.9937817206888733</v>
      </c>
      <c r="AW469">
        <f t="shared" si="408"/>
        <v>502.18666450761089</v>
      </c>
      <c r="AX469">
        <f t="shared" si="409"/>
        <v>-3287.5829959975472</v>
      </c>
      <c r="AY469">
        <f t="shared" si="417"/>
        <v>-1.4192154981961902</v>
      </c>
      <c r="BA469">
        <f t="shared" si="398"/>
        <v>0.96995350894657617</v>
      </c>
      <c r="BB469">
        <f t="shared" si="410"/>
        <v>-0.26498162997071367</v>
      </c>
      <c r="BC469">
        <f t="shared" si="411"/>
        <v>-1.5745662224926831</v>
      </c>
      <c r="BD469">
        <f t="shared" si="399"/>
        <v>-270.2159992157745</v>
      </c>
      <c r="BF469">
        <f t="shared" si="400"/>
        <v>-54.87979194986459</v>
      </c>
      <c r="BG469">
        <f t="shared" si="401"/>
        <v>-185.54452786897937</v>
      </c>
      <c r="BH469">
        <f t="shared" si="412"/>
        <v>-5.5445278689793724</v>
      </c>
      <c r="BI469">
        <f t="shared" si="413"/>
        <v>-5.5445278689793724</v>
      </c>
      <c r="BJ469">
        <f t="shared" si="402"/>
        <v>0</v>
      </c>
      <c r="BK469">
        <f t="shared" si="414"/>
        <v>0</v>
      </c>
      <c r="BM469">
        <f t="shared" si="415"/>
        <v>-54.61481031989387</v>
      </c>
      <c r="BN469">
        <f t="shared" si="403"/>
        <v>-95.328528653204884</v>
      </c>
      <c r="BQ469" s="56">
        <f t="shared" si="416"/>
        <v>16.636979170314422</v>
      </c>
    </row>
    <row r="470" spans="1:69" x14ac:dyDescent="0.25">
      <c r="A470">
        <f t="shared" si="372"/>
        <v>1280000</v>
      </c>
      <c r="B470">
        <f t="shared" si="404"/>
        <v>1280</v>
      </c>
      <c r="C470">
        <f t="shared" si="373"/>
        <v>10.663064276191522</v>
      </c>
      <c r="D470">
        <f t="shared" si="374"/>
        <v>1.4768766391988781</v>
      </c>
      <c r="F470">
        <f t="shared" si="375"/>
        <v>1.157634252224722E-5</v>
      </c>
      <c r="G470">
        <f t="shared" si="376"/>
        <v>1.2804329774995188E-3</v>
      </c>
      <c r="H470">
        <f t="shared" si="377"/>
        <v>-3.1403122170225006</v>
      </c>
      <c r="J470">
        <f t="shared" si="378"/>
        <v>15</v>
      </c>
      <c r="M470">
        <f t="shared" si="379"/>
        <v>1.4242817804424074E-3</v>
      </c>
      <c r="N470">
        <f t="shared" si="380"/>
        <v>-1.5707963250000001</v>
      </c>
      <c r="O470">
        <f t="shared" si="381"/>
        <v>211.68036154795786</v>
      </c>
      <c r="P470">
        <f t="shared" si="382"/>
        <v>1.56607220542506</v>
      </c>
      <c r="Q470">
        <f t="shared" si="383"/>
        <v>329.09968566928512</v>
      </c>
      <c r="R470">
        <f t="shared" si="384"/>
        <v>1.5677577291225411</v>
      </c>
      <c r="S470">
        <f t="shared" si="385"/>
        <v>9.3781672331545371E-2</v>
      </c>
      <c r="T470">
        <f t="shared" si="386"/>
        <v>-1.4768766391988781</v>
      </c>
      <c r="U470">
        <f t="shared" si="387"/>
        <v>0.1509963702682777</v>
      </c>
      <c r="V470">
        <f t="shared" si="388"/>
        <v>-1.4192202045873896</v>
      </c>
      <c r="X470">
        <f t="shared" si="405"/>
        <v>-51.695338203607115</v>
      </c>
      <c r="Y470">
        <f t="shared" si="389"/>
        <v>-171.68673544331472</v>
      </c>
      <c r="Z470">
        <f t="shared" si="406"/>
        <v>8.313264556685283</v>
      </c>
      <c r="AC470">
        <v>1</v>
      </c>
      <c r="AD470">
        <f t="shared" si="390"/>
        <v>211.67799948288001</v>
      </c>
      <c r="AE470">
        <f t="shared" si="391"/>
        <v>-0.25536232217937394</v>
      </c>
      <c r="AF470">
        <f t="shared" si="392"/>
        <v>3.9006014342399996E-2</v>
      </c>
      <c r="AG470">
        <f t="shared" si="367"/>
        <v>119.90389218430167</v>
      </c>
      <c r="AH470">
        <f t="shared" si="368"/>
        <v>-810.61694919591946</v>
      </c>
      <c r="AJ470">
        <f t="shared" si="393"/>
        <v>18000</v>
      </c>
      <c r="AK470">
        <f t="shared" si="394"/>
        <v>191089.25789184001</v>
      </c>
      <c r="AL470">
        <v>1</v>
      </c>
      <c r="AM470">
        <f t="shared" si="395"/>
        <v>329.09816636927997</v>
      </c>
      <c r="AN470">
        <f t="shared" si="369"/>
        <v>580.80599501918971</v>
      </c>
      <c r="AO470">
        <f t="shared" si="370"/>
        <v>-52.930085260441075</v>
      </c>
      <c r="AQ470">
        <f t="shared" si="396"/>
        <v>1.5258786734193919E-3</v>
      </c>
      <c r="AR470">
        <f t="shared" si="397"/>
        <v>-3.9062494039536433</v>
      </c>
      <c r="AT470">
        <f t="shared" ref="AT470:AT533" si="418">-AR470*AH470+AG470*AQ470</f>
        <v>-3166.289015839337</v>
      </c>
      <c r="AU470">
        <f t="shared" ref="AU470:AU533" si="419">AQ470*AH470+AG470*AR470</f>
        <v>-469.61141049174063</v>
      </c>
      <c r="AV470">
        <f t="shared" si="407"/>
        <v>-2.9943500277719912</v>
      </c>
      <c r="AW470">
        <f t="shared" si="408"/>
        <v>502.8213434654827</v>
      </c>
      <c r="AX470">
        <f t="shared" si="409"/>
        <v>-3274.885464261622</v>
      </c>
      <c r="AY470">
        <f t="shared" si="417"/>
        <v>-1.4184474508398373</v>
      </c>
      <c r="BA470">
        <f t="shared" si="398"/>
        <v>0.96609479292294109</v>
      </c>
      <c r="BB470">
        <f t="shared" si="410"/>
        <v>-0.29960517306502171</v>
      </c>
      <c r="BC470">
        <f t="shared" si="411"/>
        <v>-1.575902576932154</v>
      </c>
      <c r="BD470">
        <f t="shared" si="399"/>
        <v>-270.29256668517723</v>
      </c>
      <c r="BF470">
        <f t="shared" si="400"/>
        <v>-54.94871208453241</v>
      </c>
      <c r="BG470">
        <f t="shared" si="401"/>
        <v>-185.60040489528126</v>
      </c>
      <c r="BH470">
        <f t="shared" si="412"/>
        <v>-5.6004048952812582</v>
      </c>
      <c r="BI470">
        <f t="shared" si="413"/>
        <v>-5.6004048952812582</v>
      </c>
      <c r="BJ470">
        <f t="shared" si="402"/>
        <v>0</v>
      </c>
      <c r="BK470">
        <f t="shared" si="414"/>
        <v>0</v>
      </c>
      <c r="BM470">
        <f t="shared" si="415"/>
        <v>-54.649106911467385</v>
      </c>
      <c r="BN470">
        <f t="shared" si="403"/>
        <v>-95.307838210104038</v>
      </c>
      <c r="BQ470" s="56">
        <f t="shared" si="416"/>
        <v>16.602355627220113</v>
      </c>
    </row>
    <row r="471" spans="1:69" x14ac:dyDescent="0.25">
      <c r="A471">
        <f t="shared" si="372"/>
        <v>1285000</v>
      </c>
      <c r="B471">
        <f t="shared" si="404"/>
        <v>1285</v>
      </c>
      <c r="C471">
        <f t="shared" si="373"/>
        <v>10.704351242832029</v>
      </c>
      <c r="D471">
        <f t="shared" si="374"/>
        <v>1.4772399526143625</v>
      </c>
      <c r="F471">
        <f t="shared" si="375"/>
        <v>1.1486428556876997E-5</v>
      </c>
      <c r="G471">
        <f t="shared" si="376"/>
        <v>1.2754506380747712E-3</v>
      </c>
      <c r="H471">
        <f t="shared" si="377"/>
        <v>-3.1403171993619252</v>
      </c>
      <c r="J471">
        <f t="shared" si="378"/>
        <v>15</v>
      </c>
      <c r="M471">
        <f t="shared" si="379"/>
        <v>1.418739827989324E-3</v>
      </c>
      <c r="N471">
        <f t="shared" si="380"/>
        <v>-1.5707963250000001</v>
      </c>
      <c r="O471">
        <f t="shared" si="381"/>
        <v>212.50721954262514</v>
      </c>
      <c r="P471">
        <f t="shared" si="382"/>
        <v>1.5660905869483803</v>
      </c>
      <c r="Q471">
        <f t="shared" si="383"/>
        <v>330.38521947001908</v>
      </c>
      <c r="R471">
        <f t="shared" si="384"/>
        <v>1.5677695523874349</v>
      </c>
      <c r="S471">
        <f t="shared" si="385"/>
        <v>9.3419953934119254E-2</v>
      </c>
      <c r="T471">
        <f t="shared" si="386"/>
        <v>-1.4772399526143625</v>
      </c>
      <c r="U471">
        <f t="shared" si="387"/>
        <v>0.15042215516929641</v>
      </c>
      <c r="V471">
        <f t="shared" si="388"/>
        <v>-1.4198010540827202</v>
      </c>
      <c r="X471">
        <f t="shared" si="405"/>
        <v>-51.762297176222049</v>
      </c>
      <c r="Y471">
        <f t="shared" si="389"/>
        <v>-171.71857052810122</v>
      </c>
      <c r="Z471">
        <f t="shared" si="406"/>
        <v>8.2814294718987753</v>
      </c>
      <c r="AC471">
        <v>1</v>
      </c>
      <c r="AD471">
        <f t="shared" si="390"/>
        <v>212.50486666835999</v>
      </c>
      <c r="AE471">
        <f t="shared" si="391"/>
        <v>-0.25736123684120893</v>
      </c>
      <c r="AF471">
        <f t="shared" si="392"/>
        <v>3.9158381585924995E-2</v>
      </c>
      <c r="AG471">
        <f t="shared" si="367"/>
        <v>118.99367545224959</v>
      </c>
      <c r="AH471">
        <f t="shared" si="368"/>
        <v>-807.60129019324302</v>
      </c>
      <c r="AJ471">
        <f t="shared" si="393"/>
        <v>18000</v>
      </c>
      <c r="AK471">
        <f t="shared" si="394"/>
        <v>191835.70030548002</v>
      </c>
      <c r="AL471">
        <v>1</v>
      </c>
      <c r="AM471">
        <f t="shared" si="395"/>
        <v>330.38370608165997</v>
      </c>
      <c r="AN471">
        <f t="shared" si="369"/>
        <v>580.80474584135152</v>
      </c>
      <c r="AO471">
        <f t="shared" si="370"/>
        <v>-52.724135402286443</v>
      </c>
      <c r="AQ471">
        <f t="shared" si="396"/>
        <v>1.5140272352303238E-3</v>
      </c>
      <c r="AR471">
        <f t="shared" si="397"/>
        <v>-3.8910499945419317</v>
      </c>
      <c r="AT471">
        <f t="shared" si="418"/>
        <v>-3142.23683613302</v>
      </c>
      <c r="AU471">
        <f t="shared" si="419"/>
        <v>-464.23307056755988</v>
      </c>
      <c r="AV471">
        <f t="shared" si="407"/>
        <v>-2.9949140156854042</v>
      </c>
      <c r="AW471">
        <f t="shared" si="408"/>
        <v>503.4482822074458</v>
      </c>
      <c r="AX471">
        <f t="shared" si="409"/>
        <v>-3262.2851207041022</v>
      </c>
      <c r="AY471">
        <f t="shared" si="417"/>
        <v>-1.4176804159321763</v>
      </c>
      <c r="BA471">
        <f t="shared" si="398"/>
        <v>0.96226517336527306</v>
      </c>
      <c r="BB471">
        <f t="shared" si="410"/>
        <v>-0.334104641157838</v>
      </c>
      <c r="BC471">
        <f t="shared" si="411"/>
        <v>-1.5772335997532279</v>
      </c>
      <c r="BD471">
        <f t="shared" si="399"/>
        <v>-270.36882867534752</v>
      </c>
      <c r="BF471">
        <f t="shared" si="400"/>
        <v>-55.017372121871063</v>
      </c>
      <c r="BG471">
        <f t="shared" si="401"/>
        <v>-185.65613602710147</v>
      </c>
      <c r="BH471">
        <f t="shared" si="412"/>
        <v>-5.6561360271014678</v>
      </c>
      <c r="BI471">
        <f t="shared" si="413"/>
        <v>-5.6561360271014678</v>
      </c>
      <c r="BJ471">
        <f t="shared" si="402"/>
        <v>0</v>
      </c>
      <c r="BK471">
        <f t="shared" si="414"/>
        <v>0</v>
      </c>
      <c r="BM471">
        <f t="shared" si="415"/>
        <v>-54.683267480713226</v>
      </c>
      <c r="BN471">
        <f t="shared" si="403"/>
        <v>-95.287307351753981</v>
      </c>
      <c r="BQ471" s="56">
        <f t="shared" si="416"/>
        <v>16.567856159127299</v>
      </c>
    </row>
    <row r="472" spans="1:69" x14ac:dyDescent="0.25">
      <c r="A472">
        <f t="shared" si="372"/>
        <v>1290000</v>
      </c>
      <c r="B472">
        <f t="shared" si="404"/>
        <v>1290</v>
      </c>
      <c r="C472">
        <f t="shared" si="373"/>
        <v>10.7456396115532</v>
      </c>
      <c r="D472">
        <f t="shared" si="374"/>
        <v>1.4776004741319686</v>
      </c>
      <c r="F472">
        <f t="shared" si="375"/>
        <v>1.1397558090087721E-5</v>
      </c>
      <c r="G472">
        <f t="shared" si="376"/>
        <v>1.270506922707231E-3</v>
      </c>
      <c r="H472">
        <f t="shared" si="377"/>
        <v>-3.140322143077293</v>
      </c>
      <c r="J472">
        <f t="shared" si="378"/>
        <v>15</v>
      </c>
      <c r="M472">
        <f t="shared" si="379"/>
        <v>1.4132408364079703E-3</v>
      </c>
      <c r="N472">
        <f t="shared" si="380"/>
        <v>-1.5707963250000001</v>
      </c>
      <c r="O472">
        <f t="shared" si="381"/>
        <v>213.3340776085378</v>
      </c>
      <c r="P472">
        <f t="shared" si="382"/>
        <v>1.566108825982415</v>
      </c>
      <c r="Q472">
        <f t="shared" si="383"/>
        <v>331.67075331657946</v>
      </c>
      <c r="R472">
        <f t="shared" si="384"/>
        <v>1.5677812839999488</v>
      </c>
      <c r="S472">
        <f t="shared" si="385"/>
        <v>9.3061002988118813E-2</v>
      </c>
      <c r="T472">
        <f t="shared" si="386"/>
        <v>-1.4776004741319686</v>
      </c>
      <c r="U472">
        <f t="shared" si="387"/>
        <v>0.14985224083696652</v>
      </c>
      <c r="V472">
        <f t="shared" si="388"/>
        <v>-1.4203775023657865</v>
      </c>
      <c r="X472">
        <f t="shared" si="405"/>
        <v>-51.829001904808713</v>
      </c>
      <c r="Y472">
        <f t="shared" si="389"/>
        <v>-171.75016464433375</v>
      </c>
      <c r="Z472">
        <f t="shared" si="406"/>
        <v>8.2498353556662494</v>
      </c>
      <c r="AC472">
        <v>1</v>
      </c>
      <c r="AD472">
        <f t="shared" si="390"/>
        <v>213.33173385383998</v>
      </c>
      <c r="AE472">
        <f t="shared" si="391"/>
        <v>-0.25936794454266121</v>
      </c>
      <c r="AF472">
        <f t="shared" si="392"/>
        <v>3.9310748829449994E-2</v>
      </c>
      <c r="AG472">
        <f t="shared" si="367"/>
        <v>118.09370521627568</v>
      </c>
      <c r="AH472">
        <f t="shared" si="368"/>
        <v>-804.60745539593211</v>
      </c>
      <c r="AJ472">
        <f t="shared" si="393"/>
        <v>18000</v>
      </c>
      <c r="AK472">
        <f t="shared" si="394"/>
        <v>192582.14271912002</v>
      </c>
      <c r="AL472">
        <v>1</v>
      </c>
      <c r="AM472">
        <f t="shared" si="395"/>
        <v>331.66924579403997</v>
      </c>
      <c r="AN472">
        <f t="shared" si="369"/>
        <v>580.80351116049303</v>
      </c>
      <c r="AO472">
        <f t="shared" si="370"/>
        <v>-52.519782010951005</v>
      </c>
      <c r="AQ472">
        <f t="shared" si="396"/>
        <v>1.5023133371922755E-3</v>
      </c>
      <c r="AR472">
        <f t="shared" si="397"/>
        <v>-3.8759684099560707</v>
      </c>
      <c r="AT472">
        <f t="shared" si="418"/>
        <v>-3118.455665781386</v>
      </c>
      <c r="AU472">
        <f t="shared" si="419"/>
        <v>-458.93624334439465</v>
      </c>
      <c r="AV472">
        <f t="shared" si="407"/>
        <v>-2.9954737330933496</v>
      </c>
      <c r="AW472">
        <f t="shared" si="408"/>
        <v>504.06760697656989</v>
      </c>
      <c r="AX472">
        <f t="shared" si="409"/>
        <v>-3249.7808593001682</v>
      </c>
      <c r="AY472">
        <f t="shared" si="417"/>
        <v>-1.4169143826999373</v>
      </c>
      <c r="BA472">
        <f t="shared" si="398"/>
        <v>0.95846432047733066</v>
      </c>
      <c r="BB472">
        <f t="shared" si="410"/>
        <v>-0.36848098817998332</v>
      </c>
      <c r="BC472">
        <f t="shared" si="411"/>
        <v>-1.5785593503934123</v>
      </c>
      <c r="BD472">
        <f t="shared" si="399"/>
        <v>-270.44478859180367</v>
      </c>
      <c r="BF472">
        <f t="shared" si="400"/>
        <v>-55.085774098769505</v>
      </c>
      <c r="BG472">
        <f t="shared" si="401"/>
        <v>-185.71172283617756</v>
      </c>
      <c r="BH472">
        <f t="shared" si="412"/>
        <v>-5.7117228361775574</v>
      </c>
      <c r="BI472">
        <f t="shared" si="413"/>
        <v>-5.7117228361775574</v>
      </c>
      <c r="BJ472">
        <f t="shared" si="402"/>
        <v>0</v>
      </c>
      <c r="BK472">
        <f t="shared" si="414"/>
        <v>0</v>
      </c>
      <c r="BM472">
        <f t="shared" si="415"/>
        <v>-54.717293110589523</v>
      </c>
      <c r="BN472">
        <f t="shared" si="403"/>
        <v>-95.266934244373914</v>
      </c>
      <c r="BQ472" s="56">
        <f t="shared" si="416"/>
        <v>16.533479812105153</v>
      </c>
    </row>
    <row r="473" spans="1:69" x14ac:dyDescent="0.25">
      <c r="A473">
        <f>A472+5000</f>
        <v>1295000</v>
      </c>
      <c r="B473">
        <f t="shared" si="404"/>
        <v>1295</v>
      </c>
      <c r="C473">
        <f t="shared" si="373"/>
        <v>10.786929366255102</v>
      </c>
      <c r="D473">
        <f t="shared" si="374"/>
        <v>1.4779582357175645</v>
      </c>
      <c r="F473">
        <f t="shared" si="375"/>
        <v>1.1309715036938543E-5</v>
      </c>
      <c r="G473">
        <f t="shared" si="376"/>
        <v>1.2656013839944802E-3</v>
      </c>
      <c r="H473">
        <f t="shared" si="377"/>
        <v>-3.1403270486160055</v>
      </c>
      <c r="J473">
        <f t="shared" si="378"/>
        <v>15</v>
      </c>
      <c r="M473">
        <f t="shared" si="379"/>
        <v>1.4077843080820707E-3</v>
      </c>
      <c r="N473">
        <f t="shared" si="380"/>
        <v>-1.5707963250000001</v>
      </c>
      <c r="O473">
        <f t="shared" si="381"/>
        <v>214.1609357448707</v>
      </c>
      <c r="P473">
        <f t="shared" si="382"/>
        <v>1.5661269241775708</v>
      </c>
      <c r="Q473">
        <f t="shared" si="383"/>
        <v>332.95628720843541</v>
      </c>
      <c r="R473">
        <f t="shared" si="384"/>
        <v>1.5677929250216804</v>
      </c>
      <c r="S473">
        <f t="shared" si="385"/>
        <v>9.2704787993542814E-2</v>
      </c>
      <c r="T473">
        <f t="shared" si="386"/>
        <v>-1.4779582357175642</v>
      </c>
      <c r="U473">
        <f t="shared" si="387"/>
        <v>0.14928657970190484</v>
      </c>
      <c r="V473">
        <f t="shared" si="388"/>
        <v>-1.4209495988922953</v>
      </c>
      <c r="X473">
        <f t="shared" si="405"/>
        <v>-51.895454291624795</v>
      </c>
      <c r="Y473">
        <f t="shared" si="389"/>
        <v>-171.78152049586342</v>
      </c>
      <c r="Z473">
        <f t="shared" si="406"/>
        <v>8.2184795041365817</v>
      </c>
      <c r="AC473">
        <v>1</v>
      </c>
      <c r="AD473">
        <f t="shared" si="390"/>
        <v>214.15860103931999</v>
      </c>
      <c r="AE473">
        <f t="shared" si="391"/>
        <v>-0.26138244528373084</v>
      </c>
      <c r="AF473">
        <f t="shared" si="392"/>
        <v>3.9463116072975001E-2</v>
      </c>
      <c r="AG473">
        <f t="shared" si="367"/>
        <v>117.20382944310106</v>
      </c>
      <c r="AH473">
        <f t="shared" si="368"/>
        <v>-801.63521496771182</v>
      </c>
      <c r="AJ473">
        <f t="shared" si="393"/>
        <v>18000</v>
      </c>
      <c r="AK473">
        <f t="shared" si="394"/>
        <v>193328.58513276002</v>
      </c>
      <c r="AL473">
        <v>1</v>
      </c>
      <c r="AM473">
        <f t="shared" si="395"/>
        <v>332.95478550641997</v>
      </c>
      <c r="AN473">
        <f t="shared" si="369"/>
        <v>580.80229075315845</v>
      </c>
      <c r="AO473">
        <f t="shared" si="370"/>
        <v>-52.317006595212206</v>
      </c>
      <c r="AQ473">
        <f t="shared" si="396"/>
        <v>1.4907348592395971E-3</v>
      </c>
      <c r="AR473">
        <f t="shared" si="397"/>
        <v>-3.8610032854305563</v>
      </c>
      <c r="AT473">
        <f t="shared" si="418"/>
        <v>-3094.9414788729782</v>
      </c>
      <c r="AU473">
        <f t="shared" si="419"/>
        <v>-453.71939610420213</v>
      </c>
      <c r="AV473">
        <f t="shared" si="407"/>
        <v>-2.9960292279376031</v>
      </c>
      <c r="AW473">
        <f t="shared" si="408"/>
        <v>504.67944143939491</v>
      </c>
      <c r="AX473">
        <f t="shared" si="409"/>
        <v>-3237.3715906662519</v>
      </c>
      <c r="AY473">
        <f t="shared" si="417"/>
        <v>-1.4161493405696484</v>
      </c>
      <c r="BA473">
        <f t="shared" si="398"/>
        <v>0.95469190940264026</v>
      </c>
      <c r="BB473">
        <f t="shared" si="410"/>
        <v>-0.40273515751470434</v>
      </c>
      <c r="BC473">
        <f t="shared" si="411"/>
        <v>-1.5798798873679547</v>
      </c>
      <c r="BD473">
        <f t="shared" si="399"/>
        <v>-270.52044978722233</v>
      </c>
      <c r="BF473">
        <f t="shared" si="400"/>
        <v>-55.153920028599529</v>
      </c>
      <c r="BG473">
        <f t="shared" si="401"/>
        <v>-185.76716686931107</v>
      </c>
      <c r="BH473">
        <f t="shared" si="412"/>
        <v>-5.7671668693110689</v>
      </c>
      <c r="BI473">
        <f t="shared" si="413"/>
        <v>-5.7671668693110689</v>
      </c>
      <c r="BJ473">
        <f t="shared" si="402"/>
        <v>0</v>
      </c>
      <c r="BK473">
        <f t="shared" si="414"/>
        <v>0</v>
      </c>
      <c r="BM473">
        <f t="shared" si="415"/>
        <v>-54.751184871084817</v>
      </c>
      <c r="BN473">
        <f t="shared" si="403"/>
        <v>-95.246717082088722</v>
      </c>
      <c r="BQ473" s="56">
        <f t="shared" si="416"/>
        <v>16.499225642770433</v>
      </c>
    </row>
    <row r="474" spans="1:69" x14ac:dyDescent="0.25">
      <c r="A474">
        <f t="shared" ref="A474:A537" si="420">A473+5000</f>
        <v>1300000</v>
      </c>
      <c r="B474">
        <f t="shared" si="404"/>
        <v>1300</v>
      </c>
      <c r="C474">
        <f t="shared" si="373"/>
        <v>10.828220491082824</v>
      </c>
      <c r="D474">
        <f t="shared" si="374"/>
        <v>1.4783132688522875</v>
      </c>
      <c r="F474">
        <f t="shared" si="375"/>
        <v>1.1222883621224893E-5</v>
      </c>
      <c r="G474">
        <f t="shared" si="376"/>
        <v>1.2607335814175892E-3</v>
      </c>
      <c r="H474">
        <f t="shared" si="377"/>
        <v>-3.1403319164185826</v>
      </c>
      <c r="J474">
        <f t="shared" si="378"/>
        <v>15</v>
      </c>
      <c r="M474">
        <f t="shared" si="379"/>
        <v>1.4023697530509858E-3</v>
      </c>
      <c r="N474">
        <f t="shared" si="380"/>
        <v>-1.5707963250000001</v>
      </c>
      <c r="O474">
        <f t="shared" si="381"/>
        <v>214.98779395081132</v>
      </c>
      <c r="P474">
        <f t="shared" si="382"/>
        <v>1.5661448831588645</v>
      </c>
      <c r="Q474">
        <f t="shared" si="383"/>
        <v>334.24182114506431</v>
      </c>
      <c r="R474">
        <f t="shared" si="384"/>
        <v>1.5678044764978958</v>
      </c>
      <c r="S474">
        <f t="shared" si="385"/>
        <v>9.2351277924522565E-2</v>
      </c>
      <c r="T474">
        <f t="shared" si="386"/>
        <v>-1.4783132688522875</v>
      </c>
      <c r="U474">
        <f t="shared" si="387"/>
        <v>0.14872512488504913</v>
      </c>
      <c r="V474">
        <f t="shared" si="388"/>
        <v>-1.4215173923854492</v>
      </c>
      <c r="X474">
        <f t="shared" si="405"/>
        <v>-51.961656217892809</v>
      </c>
      <c r="Y474">
        <f t="shared" si="389"/>
        <v>-171.81264074656809</v>
      </c>
      <c r="Z474">
        <f t="shared" si="406"/>
        <v>8.1873592534319073</v>
      </c>
      <c r="AC474">
        <v>1</v>
      </c>
      <c r="AD474">
        <f t="shared" si="390"/>
        <v>214.98546822480003</v>
      </c>
      <c r="AE474">
        <f t="shared" si="391"/>
        <v>-0.26340473906441769</v>
      </c>
      <c r="AF474">
        <f t="shared" si="392"/>
        <v>3.96154833165E-2</v>
      </c>
      <c r="AG474">
        <f t="shared" si="367"/>
        <v>116.3238988864524</v>
      </c>
      <c r="AH474">
        <f t="shared" si="368"/>
        <v>-798.68434218909067</v>
      </c>
      <c r="AJ474">
        <f t="shared" si="393"/>
        <v>18000</v>
      </c>
      <c r="AK474">
        <f t="shared" si="394"/>
        <v>194075.0275464</v>
      </c>
      <c r="AL474">
        <v>1</v>
      </c>
      <c r="AM474">
        <f t="shared" si="395"/>
        <v>334.24032521879997</v>
      </c>
      <c r="AN474">
        <f t="shared" si="369"/>
        <v>580.80108440018137</v>
      </c>
      <c r="AO474">
        <f t="shared" si="370"/>
        <v>-52.115790948315066</v>
      </c>
      <c r="AQ474">
        <f t="shared" si="396"/>
        <v>1.4792897219985618E-3</v>
      </c>
      <c r="AR474">
        <f t="shared" si="397"/>
        <v>-3.8461532771962608</v>
      </c>
      <c r="AT474">
        <f t="shared" si="418"/>
        <v>-3071.6903234078654</v>
      </c>
      <c r="AU474">
        <f t="shared" si="419"/>
        <v>-448.58103045689683</v>
      </c>
      <c r="AV474">
        <f t="shared" si="407"/>
        <v>-2.9965805474507277</v>
      </c>
      <c r="AW474">
        <f t="shared" si="408"/>
        <v>505.28390674898816</v>
      </c>
      <c r="AX474">
        <f t="shared" si="409"/>
        <v>-3225.0562417495548</v>
      </c>
      <c r="AY474">
        <f t="shared" si="417"/>
        <v>-1.4153852791632069</v>
      </c>
      <c r="BA474">
        <f t="shared" si="398"/>
        <v>0.95094762013304512</v>
      </c>
      <c r="BB474">
        <f t="shared" si="410"/>
        <v>-0.43686808214925354</v>
      </c>
      <c r="BC474">
        <f t="shared" si="411"/>
        <v>-1.5811952682875208</v>
      </c>
      <c r="BD474">
        <f t="shared" si="399"/>
        <v>-270.59581556245166</v>
      </c>
      <c r="BF474">
        <f t="shared" si="400"/>
        <v>-55.221811901574789</v>
      </c>
      <c r="BG474">
        <f t="shared" si="401"/>
        <v>-185.82246964885368</v>
      </c>
      <c r="BH474">
        <f t="shared" si="412"/>
        <v>-5.8224696488536836</v>
      </c>
      <c r="BI474">
        <f t="shared" si="413"/>
        <v>-5.8224696488536836</v>
      </c>
      <c r="BJ474">
        <f t="shared" si="402"/>
        <v>0</v>
      </c>
      <c r="BK474">
        <f t="shared" si="414"/>
        <v>0</v>
      </c>
      <c r="BM474">
        <f t="shared" si="415"/>
        <v>-54.784943819425536</v>
      </c>
      <c r="BN474">
        <f t="shared" si="403"/>
        <v>-95.226654086402021</v>
      </c>
      <c r="BQ474" s="56">
        <f t="shared" si="416"/>
        <v>16.465092718135882</v>
      </c>
    </row>
    <row r="475" spans="1:69" x14ac:dyDescent="0.25">
      <c r="A475">
        <f t="shared" si="420"/>
        <v>1305000</v>
      </c>
      <c r="B475">
        <f t="shared" si="404"/>
        <v>1305</v>
      </c>
      <c r="C475">
        <f t="shared" si="373"/>
        <v>10.86951297042186</v>
      </c>
      <c r="D475">
        <f t="shared" si="374"/>
        <v>1.4786656045416733</v>
      </c>
      <c r="F475">
        <f t="shared" si="375"/>
        <v>1.1137048368394575E-5</v>
      </c>
      <c r="G475">
        <f t="shared" si="376"/>
        <v>1.2559030812092377E-3</v>
      </c>
      <c r="H475">
        <f t="shared" si="377"/>
        <v>-3.1403367469187908</v>
      </c>
      <c r="J475">
        <f t="shared" si="378"/>
        <v>15</v>
      </c>
      <c r="M475">
        <f t="shared" si="379"/>
        <v>1.396996688863051E-3</v>
      </c>
      <c r="N475">
        <f t="shared" si="380"/>
        <v>-1.5707963250000001</v>
      </c>
      <c r="O475">
        <f t="shared" si="381"/>
        <v>215.81465222555951</v>
      </c>
      <c r="P475">
        <f t="shared" si="382"/>
        <v>1.5661627045264093</v>
      </c>
      <c r="Q475">
        <f t="shared" si="383"/>
        <v>335.5273551259516</v>
      </c>
      <c r="R475">
        <f t="shared" si="384"/>
        <v>1.5678159394578415</v>
      </c>
      <c r="S475">
        <f t="shared" si="385"/>
        <v>9.2000442220475015E-2</v>
      </c>
      <c r="T475">
        <f t="shared" si="386"/>
        <v>-1.4786656045416733</v>
      </c>
      <c r="U475">
        <f t="shared" si="387"/>
        <v>0.14816783018534554</v>
      </c>
      <c r="V475">
        <f t="shared" si="388"/>
        <v>-1.4220809308493518</v>
      </c>
      <c r="X475">
        <f t="shared" si="405"/>
        <v>-52.027609544105587</v>
      </c>
      <c r="Y475">
        <f t="shared" si="389"/>
        <v>-171.84352802108208</v>
      </c>
      <c r="Z475">
        <f t="shared" si="406"/>
        <v>8.1564719789179208</v>
      </c>
      <c r="AC475">
        <v>1</v>
      </c>
      <c r="AD475">
        <f t="shared" si="390"/>
        <v>215.81233541028001</v>
      </c>
      <c r="AE475">
        <f t="shared" si="391"/>
        <v>-0.26543482588472184</v>
      </c>
      <c r="AF475">
        <f t="shared" si="392"/>
        <v>3.9767850560024999E-2</v>
      </c>
      <c r="AG475">
        <f t="shared" si="367"/>
        <v>115.45376702648099</v>
      </c>
      <c r="AH475">
        <f t="shared" si="368"/>
        <v>-795.75461340672791</v>
      </c>
      <c r="AJ475">
        <f t="shared" si="393"/>
        <v>18000</v>
      </c>
      <c r="AK475">
        <f t="shared" si="394"/>
        <v>194821.46996004001</v>
      </c>
      <c r="AL475">
        <v>1</v>
      </c>
      <c r="AM475">
        <f t="shared" si="395"/>
        <v>335.52586493117997</v>
      </c>
      <c r="AN475">
        <f t="shared" si="369"/>
        <v>580.79989188658578</v>
      </c>
      <c r="AO475">
        <f t="shared" si="370"/>
        <v>-51.916117142522779</v>
      </c>
      <c r="AQ475">
        <f t="shared" si="396"/>
        <v>1.4679758858537183E-3</v>
      </c>
      <c r="AR475">
        <f t="shared" si="397"/>
        <v>-3.8314170620782049</v>
      </c>
      <c r="AT475">
        <f t="shared" si="418"/>
        <v>-3048.6983196880574</v>
      </c>
      <c r="AU475">
        <f t="shared" si="419"/>
        <v>-443.51968144999921</v>
      </c>
      <c r="AV475">
        <f t="shared" si="407"/>
        <v>-2.9971277381690316</v>
      </c>
      <c r="AW475">
        <f t="shared" si="408"/>
        <v>505.88112160620403</v>
      </c>
      <c r="AX475">
        <f t="shared" si="409"/>
        <v>-3212.8337555244671</v>
      </c>
      <c r="AY475">
        <f t="shared" si="417"/>
        <v>-1.4146221882935677</v>
      </c>
      <c r="BA475">
        <f t="shared" si="398"/>
        <v>0.94723113741926035</v>
      </c>
      <c r="BB475">
        <f t="shared" si="410"/>
        <v>-0.47088068482382922</v>
      </c>
      <c r="BC475">
        <f t="shared" si="411"/>
        <v>-1.5825055498754639</v>
      </c>
      <c r="BD475">
        <f t="shared" si="399"/>
        <v>-270.67088916750026</v>
      </c>
      <c r="BF475">
        <f t="shared" si="400"/>
        <v>-55.289451685103117</v>
      </c>
      <c r="BG475">
        <f t="shared" si="401"/>
        <v>-185.87763267318078</v>
      </c>
      <c r="BH475">
        <f t="shared" si="412"/>
        <v>-5.8776326731807842</v>
      </c>
      <c r="BI475">
        <f t="shared" si="413"/>
        <v>-5.8776326731807842</v>
      </c>
      <c r="BJ475">
        <f t="shared" si="402"/>
        <v>0</v>
      </c>
      <c r="BK475">
        <f t="shared" si="414"/>
        <v>0</v>
      </c>
      <c r="BM475">
        <f t="shared" si="415"/>
        <v>-54.818571000279292</v>
      </c>
      <c r="BN475">
        <f t="shared" si="403"/>
        <v>-95.206743505680521</v>
      </c>
      <c r="BQ475" s="56">
        <f t="shared" si="416"/>
        <v>16.431080115461306</v>
      </c>
    </row>
    <row r="476" spans="1:69" x14ac:dyDescent="0.25">
      <c r="A476">
        <f t="shared" si="420"/>
        <v>1310000</v>
      </c>
      <c r="B476">
        <f t="shared" si="404"/>
        <v>1310</v>
      </c>
      <c r="C476">
        <f t="shared" si="373"/>
        <v>10.91080678889357</v>
      </c>
      <c r="D476">
        <f t="shared" si="374"/>
        <v>1.4790152733245758</v>
      </c>
      <c r="F476">
        <f t="shared" si="375"/>
        <v>1.1052194098652731E-5</v>
      </c>
      <c r="G476">
        <f t="shared" si="376"/>
        <v>1.2511094562248624E-3</v>
      </c>
      <c r="H476">
        <f t="shared" si="377"/>
        <v>-3.1403415405437753</v>
      </c>
      <c r="J476">
        <f t="shared" si="378"/>
        <v>15</v>
      </c>
      <c r="M476">
        <f t="shared" si="379"/>
        <v>1.3916646404322761E-3</v>
      </c>
      <c r="N476">
        <f t="shared" si="380"/>
        <v>-1.5707963250000001</v>
      </c>
      <c r="O476">
        <f t="shared" si="381"/>
        <v>216.6415105683275</v>
      </c>
      <c r="P476">
        <f t="shared" si="382"/>
        <v>1.5661803898558904</v>
      </c>
      <c r="Q476">
        <f t="shared" si="383"/>
        <v>336.81288915059037</v>
      </c>
      <c r="R476">
        <f t="shared" si="384"/>
        <v>1.5678273149150503</v>
      </c>
      <c r="S476">
        <f t="shared" si="385"/>
        <v>9.1652250777452093E-2</v>
      </c>
      <c r="T476">
        <f t="shared" si="386"/>
        <v>-1.4790152733245758</v>
      </c>
      <c r="U476">
        <f t="shared" si="387"/>
        <v>0.14761465006769484</v>
      </c>
      <c r="V476">
        <f t="shared" si="388"/>
        <v>-1.422640261582121</v>
      </c>
      <c r="X476">
        <f t="shared" si="405"/>
        <v>-52.09331611032642</v>
      </c>
      <c r="Y476">
        <f t="shared" si="389"/>
        <v>-171.87418490551022</v>
      </c>
      <c r="Z476">
        <f t="shared" si="406"/>
        <v>8.1258150944897807</v>
      </c>
      <c r="AC476">
        <v>1</v>
      </c>
      <c r="AD476">
        <f t="shared" si="390"/>
        <v>216.63920259576</v>
      </c>
      <c r="AE476">
        <f t="shared" si="391"/>
        <v>-0.26747270574464332</v>
      </c>
      <c r="AF476">
        <f t="shared" si="392"/>
        <v>3.9920217803549998E-2</v>
      </c>
      <c r="AG476">
        <f t="shared" si="367"/>
        <v>114.59329001069904</v>
      </c>
      <c r="AH476">
        <f t="shared" si="368"/>
        <v>-792.84580798373486</v>
      </c>
      <c r="AJ476">
        <f t="shared" si="393"/>
        <v>18000</v>
      </c>
      <c r="AK476">
        <f t="shared" si="394"/>
        <v>195567.91237368001</v>
      </c>
      <c r="AL476">
        <v>1</v>
      </c>
      <c r="AM476">
        <f t="shared" si="395"/>
        <v>336.81140464355997</v>
      </c>
      <c r="AN476">
        <f t="shared" si="369"/>
        <v>580.79871300149034</v>
      </c>
      <c r="AO476">
        <f t="shared" si="370"/>
        <v>-51.717967523792325</v>
      </c>
      <c r="AQ476">
        <f t="shared" si="396"/>
        <v>1.4567913500391366E-3</v>
      </c>
      <c r="AR476">
        <f t="shared" si="397"/>
        <v>-3.816793337102538</v>
      </c>
      <c r="AT476">
        <f t="shared" si="418"/>
        <v>-3025.9616587483374</v>
      </c>
      <c r="AU476">
        <f t="shared" si="419"/>
        <v>-438.53391670448042</v>
      </c>
      <c r="AV476">
        <f t="shared" si="407"/>
        <v>-2.9976708459452452</v>
      </c>
      <c r="AW476">
        <f t="shared" si="408"/>
        <v>506.47120231920604</v>
      </c>
      <c r="AX476">
        <f t="shared" si="409"/>
        <v>-3200.703090695702</v>
      </c>
      <c r="AY476">
        <f t="shared" si="417"/>
        <v>-1.4138600579605423</v>
      </c>
      <c r="BA476">
        <f t="shared" si="398"/>
        <v>0.94354215068338754</v>
      </c>
      <c r="BB476">
        <f t="shared" si="410"/>
        <v>-0.50477387817788988</v>
      </c>
      <c r="BC476">
        <f t="shared" si="411"/>
        <v>-1.583810787984703</v>
      </c>
      <c r="BD476">
        <f t="shared" si="399"/>
        <v>-270.74567380250477</v>
      </c>
      <c r="BF476">
        <f t="shared" si="400"/>
        <v>-55.356841324132056</v>
      </c>
      <c r="BG476">
        <f t="shared" si="401"/>
        <v>-185.93265741715507</v>
      </c>
      <c r="BH476">
        <f t="shared" si="412"/>
        <v>-5.9326574171550703</v>
      </c>
      <c r="BI476">
        <f t="shared" si="413"/>
        <v>-5.9326574171550703</v>
      </c>
      <c r="BJ476">
        <f t="shared" si="402"/>
        <v>0</v>
      </c>
      <c r="BK476">
        <f t="shared" si="414"/>
        <v>0</v>
      </c>
      <c r="BM476">
        <f t="shared" si="415"/>
        <v>-54.85206744595417</v>
      </c>
      <c r="BN476">
        <f t="shared" si="403"/>
        <v>-95.18698361465033</v>
      </c>
      <c r="BQ476" s="56">
        <f t="shared" si="416"/>
        <v>16.397186922107249</v>
      </c>
    </row>
    <row r="477" spans="1:69" x14ac:dyDescent="0.25">
      <c r="A477">
        <f t="shared" si="420"/>
        <v>1315000</v>
      </c>
      <c r="B477">
        <f t="shared" si="404"/>
        <v>1315</v>
      </c>
      <c r="C477">
        <f t="shared" si="373"/>
        <v>10.952101931350748</v>
      </c>
      <c r="D477">
        <f t="shared" si="374"/>
        <v>1.4793623052818905</v>
      </c>
      <c r="F477">
        <f t="shared" si="375"/>
        <v>1.0968305920249997E-5</v>
      </c>
      <c r="G477">
        <f t="shared" si="376"/>
        <v>1.2463522858167397E-3</v>
      </c>
      <c r="H477">
        <f t="shared" si="377"/>
        <v>-3.1403462977141836</v>
      </c>
      <c r="J477">
        <f t="shared" si="378"/>
        <v>15</v>
      </c>
      <c r="M477">
        <f t="shared" si="379"/>
        <v>1.386373139898313E-3</v>
      </c>
      <c r="N477">
        <f t="shared" si="380"/>
        <v>-1.5707963250000001</v>
      </c>
      <c r="O477">
        <f t="shared" si="381"/>
        <v>217.46836897833936</v>
      </c>
      <c r="P477">
        <f t="shared" si="382"/>
        <v>1.5661979406990283</v>
      </c>
      <c r="Q477">
        <f t="shared" si="383"/>
        <v>338.09842321848168</v>
      </c>
      <c r="R477">
        <f t="shared" si="384"/>
        <v>1.5678386038676408</v>
      </c>
      <c r="S477">
        <f t="shared" si="385"/>
        <v>9.1306673939681629E-2</v>
      </c>
      <c r="T477">
        <f t="shared" si="386"/>
        <v>-1.4793623052818905</v>
      </c>
      <c r="U477">
        <f t="shared" si="387"/>
        <v>0.14706553965115121</v>
      </c>
      <c r="V477">
        <f t="shared" si="388"/>
        <v>-1.4231954311887201</v>
      </c>
      <c r="X477">
        <f t="shared" si="405"/>
        <v>-52.158777736483785</v>
      </c>
      <c r="Y477">
        <f t="shared" si="389"/>
        <v>-171.90461394812667</v>
      </c>
      <c r="Z477">
        <f t="shared" si="406"/>
        <v>8.0953860518733336</v>
      </c>
      <c r="AC477">
        <v>1</v>
      </c>
      <c r="AD477">
        <f t="shared" si="390"/>
        <v>217.46606978124001</v>
      </c>
      <c r="AE477">
        <f t="shared" si="391"/>
        <v>-0.26951837864418204</v>
      </c>
      <c r="AF477">
        <f t="shared" si="392"/>
        <v>4.0072585047075004E-2</v>
      </c>
      <c r="AG477">
        <f t="shared" si="367"/>
        <v>113.7423265963909</v>
      </c>
      <c r="AH477">
        <f t="shared" si="368"/>
        <v>-789.95770825089107</v>
      </c>
      <c r="AJ477">
        <f t="shared" si="393"/>
        <v>18000</v>
      </c>
      <c r="AK477">
        <f t="shared" si="394"/>
        <v>196314.35478732002</v>
      </c>
      <c r="AL477">
        <v>1</v>
      </c>
      <c r="AM477">
        <f t="shared" si="395"/>
        <v>338.09694435593997</v>
      </c>
      <c r="AN477">
        <f t="shared" si="369"/>
        <v>580.79754753801478</v>
      </c>
      <c r="AO477">
        <f t="shared" si="370"/>
        <v>-51.521324706571392</v>
      </c>
      <c r="AQ477">
        <f t="shared" si="396"/>
        <v>1.4457341517537985E-3</v>
      </c>
      <c r="AR477">
        <f t="shared" si="397"/>
        <v>-3.8022808191124899</v>
      </c>
      <c r="AT477">
        <f t="shared" si="418"/>
        <v>-3003.4766008263632</v>
      </c>
      <c r="AU477">
        <f t="shared" si="419"/>
        <v>-433.62233557594504</v>
      </c>
      <c r="AV477">
        <f t="shared" si="407"/>
        <v>-2.9982099159609263</v>
      </c>
      <c r="AW477">
        <f t="shared" si="408"/>
        <v>507.05426286130631</v>
      </c>
      <c r="AX477">
        <f t="shared" si="409"/>
        <v>-3188.6632214079877</v>
      </c>
      <c r="AY477">
        <f t="shared" si="417"/>
        <v>-1.4130988783467102</v>
      </c>
      <c r="BA477">
        <f t="shared" si="398"/>
        <v>0.93988035393333669</v>
      </c>
      <c r="BB477">
        <f t="shared" si="410"/>
        <v>-0.53854856489392233</v>
      </c>
      <c r="BC477">
        <f t="shared" si="411"/>
        <v>-1.5851110376142161</v>
      </c>
      <c r="BD477">
        <f t="shared" si="399"/>
        <v>-270.82017261867446</v>
      </c>
      <c r="BF477">
        <f t="shared" si="400"/>
        <v>-55.423982741487976</v>
      </c>
      <c r="BG477">
        <f t="shared" si="401"/>
        <v>-185.98754533257886</v>
      </c>
      <c r="BH477">
        <f t="shared" si="412"/>
        <v>-5.9875453325788612</v>
      </c>
      <c r="BI477">
        <f t="shared" si="413"/>
        <v>-5.9875453325788612</v>
      </c>
      <c r="BJ477">
        <f t="shared" si="402"/>
        <v>0</v>
      </c>
      <c r="BK477">
        <f t="shared" si="414"/>
        <v>0</v>
      </c>
      <c r="BM477">
        <f t="shared" si="415"/>
        <v>-54.88543417659406</v>
      </c>
      <c r="BN477">
        <f t="shared" si="403"/>
        <v>-95.167372713904427</v>
      </c>
      <c r="BQ477" s="56">
        <f t="shared" si="416"/>
        <v>16.363412235391216</v>
      </c>
    </row>
    <row r="478" spans="1:69" x14ac:dyDescent="0.25">
      <c r="A478">
        <f t="shared" si="420"/>
        <v>1320000</v>
      </c>
      <c r="B478">
        <f t="shared" si="404"/>
        <v>1320</v>
      </c>
      <c r="C478">
        <f t="shared" si="373"/>
        <v>10.993398382873306</v>
      </c>
      <c r="D478">
        <f t="shared" si="374"/>
        <v>1.4797067300450824</v>
      </c>
      <c r="F478">
        <f t="shared" si="375"/>
        <v>1.0885369222948302E-5</v>
      </c>
      <c r="G478">
        <f t="shared" si="376"/>
        <v>1.2416311557109289E-3</v>
      </c>
      <c r="H478">
        <f t="shared" si="377"/>
        <v>-3.1403510188442891</v>
      </c>
      <c r="J478">
        <f t="shared" si="378"/>
        <v>15</v>
      </c>
      <c r="M478">
        <f t="shared" si="379"/>
        <v>1.3811217264896071E-3</v>
      </c>
      <c r="N478">
        <f t="shared" si="380"/>
        <v>-1.5707963250000001</v>
      </c>
      <c r="O478">
        <f t="shared" si="381"/>
        <v>218.29522745483098</v>
      </c>
      <c r="P478">
        <f t="shared" si="382"/>
        <v>1.5662153585840344</v>
      </c>
      <c r="Q478">
        <f t="shared" si="383"/>
        <v>339.38395732913398</v>
      </c>
      <c r="R478">
        <f t="shared" si="384"/>
        <v>1.5678498072986087</v>
      </c>
      <c r="S478">
        <f t="shared" si="385"/>
        <v>9.0963682491294731E-2</v>
      </c>
      <c r="T478">
        <f t="shared" si="386"/>
        <v>-1.4797067300450824</v>
      </c>
      <c r="U478">
        <f t="shared" si="387"/>
        <v>0.14652045469736769</v>
      </c>
      <c r="V478">
        <f t="shared" si="388"/>
        <v>-1.4237464855935098</v>
      </c>
      <c r="X478">
        <f t="shared" si="405"/>
        <v>-52.223996222660851</v>
      </c>
      <c r="Y478">
        <f t="shared" si="389"/>
        <v>-171.93481766005786</v>
      </c>
      <c r="Z478">
        <f t="shared" si="406"/>
        <v>8.0651823399421403</v>
      </c>
      <c r="AC478">
        <v>1</v>
      </c>
      <c r="AD478">
        <f t="shared" si="390"/>
        <v>218.29293696671999</v>
      </c>
      <c r="AE478">
        <f t="shared" si="391"/>
        <v>-0.27157184458333811</v>
      </c>
      <c r="AF478">
        <f t="shared" si="392"/>
        <v>4.0224952290600004E-2</v>
      </c>
      <c r="AG478">
        <f t="shared" si="367"/>
        <v>112.90073809445688</v>
      </c>
      <c r="AH478">
        <f t="shared" si="368"/>
        <v>-787.09009945875437</v>
      </c>
      <c r="AJ478">
        <f t="shared" si="393"/>
        <v>18000</v>
      </c>
      <c r="AK478">
        <f t="shared" si="394"/>
        <v>197060.79720096002</v>
      </c>
      <c r="AL478">
        <v>1</v>
      </c>
      <c r="AM478">
        <f t="shared" si="395"/>
        <v>339.38248406831997</v>
      </c>
      <c r="AN478">
        <f t="shared" si="369"/>
        <v>580.79639529319002</v>
      </c>
      <c r="AO478">
        <f t="shared" si="370"/>
        <v>-51.326171568713633</v>
      </c>
      <c r="AQ478">
        <f t="shared" si="396"/>
        <v>1.4348023653003952E-3</v>
      </c>
      <c r="AR478">
        <f t="shared" si="397"/>
        <v>-3.7878782443930437</v>
      </c>
      <c r="AT478">
        <f t="shared" si="418"/>
        <v>-2981.2394738709104</v>
      </c>
      <c r="AU478">
        <f t="shared" si="419"/>
        <v>-428.78356834031808</v>
      </c>
      <c r="AV478">
        <f t="shared" si="407"/>
        <v>-2.998744992738597</v>
      </c>
      <c r="AW478">
        <f t="shared" si="408"/>
        <v>507.63041492717889</v>
      </c>
      <c r="AX478">
        <f t="shared" si="409"/>
        <v>-3176.7131369621311</v>
      </c>
      <c r="AY478">
        <f t="shared" si="417"/>
        <v>-1.4123386398134332</v>
      </c>
      <c r="BA478">
        <f t="shared" si="398"/>
        <v>0.93624544567910517</v>
      </c>
      <c r="BB478">
        <f t="shared" si="410"/>
        <v>-0.5722056378387369</v>
      </c>
      <c r="BC478">
        <f t="shared" si="411"/>
        <v>-1.5864063529251637</v>
      </c>
      <c r="BD478">
        <f t="shared" si="399"/>
        <v>-270.89438871921521</v>
      </c>
      <c r="BF478">
        <f t="shared" si="400"/>
        <v>-55.490877838208803</v>
      </c>
      <c r="BG478">
        <f t="shared" si="401"/>
        <v>-186.04229784863628</v>
      </c>
      <c r="BH478">
        <f t="shared" si="412"/>
        <v>-6.0422978486362808</v>
      </c>
      <c r="BI478">
        <f t="shared" si="413"/>
        <v>-6.0422978486362808</v>
      </c>
      <c r="BJ478">
        <f t="shared" si="402"/>
        <v>0</v>
      </c>
      <c r="BK478">
        <f t="shared" si="414"/>
        <v>0</v>
      </c>
      <c r="BM478">
        <f t="shared" si="415"/>
        <v>-54.918672200370068</v>
      </c>
      <c r="BN478">
        <f t="shared" si="403"/>
        <v>-95.147909129421095</v>
      </c>
      <c r="BQ478" s="56">
        <f t="shared" si="416"/>
        <v>16.3297551624464</v>
      </c>
    </row>
    <row r="479" spans="1:69" x14ac:dyDescent="0.25">
      <c r="A479">
        <f t="shared" si="420"/>
        <v>1325000</v>
      </c>
      <c r="B479">
        <f t="shared" si="404"/>
        <v>1325</v>
      </c>
      <c r="C479">
        <f t="shared" si="373"/>
        <v>11.034696128764029</v>
      </c>
      <c r="D479">
        <f t="shared" si="374"/>
        <v>1.4800485768045244</v>
      </c>
      <c r="F479">
        <f t="shared" si="375"/>
        <v>1.0803369671658908E-5</v>
      </c>
      <c r="G479">
        <f t="shared" si="376"/>
        <v>1.2369456578870102E-3</v>
      </c>
      <c r="H479">
        <f t="shared" si="377"/>
        <v>-3.1403557043421131</v>
      </c>
      <c r="J479">
        <f t="shared" si="378"/>
        <v>15</v>
      </c>
      <c r="M479">
        <f t="shared" si="379"/>
        <v>1.3759099463896464E-3</v>
      </c>
      <c r="N479">
        <f t="shared" si="380"/>
        <v>-1.5707963250000001</v>
      </c>
      <c r="O479">
        <f t="shared" si="381"/>
        <v>219.12208599704982</v>
      </c>
      <c r="P479">
        <f t="shared" si="382"/>
        <v>1.5662326450160526</v>
      </c>
      <c r="Q479">
        <f t="shared" si="383"/>
        <v>340.66949148206322</v>
      </c>
      <c r="R479">
        <f t="shared" si="384"/>
        <v>1.5678609261761118</v>
      </c>
      <c r="S479">
        <f t="shared" si="385"/>
        <v>9.0623247648234789E-2</v>
      </c>
      <c r="T479">
        <f t="shared" si="386"/>
        <v>-1.4800485768045244</v>
      </c>
      <c r="U479">
        <f t="shared" si="387"/>
        <v>0.1459793515992821</v>
      </c>
      <c r="V479">
        <f t="shared" si="388"/>
        <v>-1.4242934700525343</v>
      </c>
      <c r="X479">
        <f t="shared" si="405"/>
        <v>-52.288973349379937</v>
      </c>
      <c r="Y479">
        <f t="shared" si="389"/>
        <v>-171.96479851595237</v>
      </c>
      <c r="Z479">
        <f t="shared" si="406"/>
        <v>8.0352014840476329</v>
      </c>
      <c r="AC479">
        <v>1</v>
      </c>
      <c r="AD479">
        <f t="shared" si="390"/>
        <v>219.11980415219998</v>
      </c>
      <c r="AE479">
        <f t="shared" si="391"/>
        <v>-0.27363310356211146</v>
      </c>
      <c r="AF479">
        <f t="shared" si="392"/>
        <v>4.0377319534125003E-2</v>
      </c>
      <c r="AG479">
        <f t="shared" si="367"/>
        <v>112.06838831465092</v>
      </c>
      <c r="AH479">
        <f t="shared" si="368"/>
        <v>-784.24276973065309</v>
      </c>
      <c r="AJ479">
        <f t="shared" si="393"/>
        <v>18000</v>
      </c>
      <c r="AK479">
        <f t="shared" si="394"/>
        <v>197807.23961460002</v>
      </c>
      <c r="AL479">
        <v>1</v>
      </c>
      <c r="AM479">
        <f t="shared" si="395"/>
        <v>340.66802378069997</v>
      </c>
      <c r="AN479">
        <f t="shared" si="369"/>
        <v>580.7952560678691</v>
      </c>
      <c r="AO479">
        <f t="shared" si="370"/>
        <v>-51.132491246508913</v>
      </c>
      <c r="AQ479">
        <f t="shared" si="396"/>
        <v>1.423994101246835E-3</v>
      </c>
      <c r="AR479">
        <f t="shared" si="397"/>
        <v>-3.7735843683041126</v>
      </c>
      <c r="AT479">
        <f t="shared" si="418"/>
        <v>-2959.2466720872176</v>
      </c>
      <c r="AU479">
        <f t="shared" si="419"/>
        <v>-424.01627540324392</v>
      </c>
      <c r="AV479">
        <f t="shared" si="407"/>
        <v>-2.9992761201536204</v>
      </c>
      <c r="AW479">
        <f t="shared" si="408"/>
        <v>508.19976798749639</v>
      </c>
      <c r="AX479">
        <f t="shared" si="409"/>
        <v>-3164.8518415373128</v>
      </c>
      <c r="AY479">
        <f t="shared" si="417"/>
        <v>-1.4115793328969741</v>
      </c>
      <c r="BA479">
        <f t="shared" si="398"/>
        <v>0.93263712885087202</v>
      </c>
      <c r="BB479">
        <f t="shared" si="410"/>
        <v>-0.60574598020229697</v>
      </c>
      <c r="BC479">
        <f t="shared" si="411"/>
        <v>-1.5876967872566463</v>
      </c>
      <c r="BD479">
        <f t="shared" si="399"/>
        <v>-270.96832516023244</v>
      </c>
      <c r="BF479">
        <f t="shared" si="400"/>
        <v>-55.557528493870535</v>
      </c>
      <c r="BG479">
        <f t="shared" si="401"/>
        <v>-186.09691637232541</v>
      </c>
      <c r="BH479">
        <f t="shared" si="412"/>
        <v>-6.0969163723254098</v>
      </c>
      <c r="BI479">
        <f t="shared" si="413"/>
        <v>-6.0969163723254098</v>
      </c>
      <c r="BJ479">
        <f t="shared" si="402"/>
        <v>0</v>
      </c>
      <c r="BK479">
        <f t="shared" si="414"/>
        <v>0</v>
      </c>
      <c r="BM479">
        <f t="shared" si="415"/>
        <v>-54.951782513668228</v>
      </c>
      <c r="BN479">
        <f t="shared" si="403"/>
        <v>-95.128591212092999</v>
      </c>
      <c r="BQ479" s="56">
        <f t="shared" si="416"/>
        <v>16.296214820082838</v>
      </c>
    </row>
    <row r="480" spans="1:69" x14ac:dyDescent="0.25">
      <c r="A480">
        <f t="shared" si="420"/>
        <v>1330000</v>
      </c>
      <c r="B480">
        <f t="shared" si="404"/>
        <v>1330</v>
      </c>
      <c r="C480">
        <f t="shared" si="373"/>
        <v>11.075995154544449</v>
      </c>
      <c r="D480">
        <f t="shared" si="374"/>
        <v>1.4803878743176524</v>
      </c>
      <c r="F480">
        <f t="shared" si="375"/>
        <v>1.0722293200247606E-5</v>
      </c>
      <c r="G480">
        <f t="shared" si="376"/>
        <v>1.2322953904605252E-3</v>
      </c>
      <c r="H480">
        <f t="shared" si="377"/>
        <v>-3.1403603546095398</v>
      </c>
      <c r="J480">
        <f t="shared" si="378"/>
        <v>15</v>
      </c>
      <c r="M480">
        <f t="shared" si="379"/>
        <v>1.3707373526062269E-3</v>
      </c>
      <c r="N480">
        <f t="shared" si="380"/>
        <v>-1.5707963250000001</v>
      </c>
      <c r="O480">
        <f t="shared" si="381"/>
        <v>219.94894460425454</v>
      </c>
      <c r="P480">
        <f t="shared" si="382"/>
        <v>1.5662498014775947</v>
      </c>
      <c r="Q480">
        <f t="shared" si="383"/>
        <v>341.95502567679256</v>
      </c>
      <c r="R480">
        <f t="shared" si="384"/>
        <v>1.5678719614537497</v>
      </c>
      <c r="S480">
        <f t="shared" si="385"/>
        <v>9.028534105034372E-2</v>
      </c>
      <c r="T480">
        <f t="shared" si="386"/>
        <v>-1.4803878743176524</v>
      </c>
      <c r="U480">
        <f t="shared" si="387"/>
        <v>0.145442187370038</v>
      </c>
      <c r="V480">
        <f t="shared" si="388"/>
        <v>-1.4248364291655407</v>
      </c>
      <c r="X480">
        <f t="shared" si="405"/>
        <v>-52.353710877881802</v>
      </c>
      <c r="Y480">
        <f t="shared" si="389"/>
        <v>-171.99455895463484</v>
      </c>
      <c r="Z480">
        <f t="shared" si="406"/>
        <v>8.0054410453651599</v>
      </c>
      <c r="AC480">
        <v>1</v>
      </c>
      <c r="AD480">
        <f t="shared" si="390"/>
        <v>219.94667133768002</v>
      </c>
      <c r="AE480">
        <f t="shared" si="391"/>
        <v>-0.27570215558050204</v>
      </c>
      <c r="AF480">
        <f t="shared" si="392"/>
        <v>4.0529686777650002E-2</v>
      </c>
      <c r="AG480">
        <f t="shared" si="367"/>
        <v>111.2451435121713</v>
      </c>
      <c r="AH480">
        <f t="shared" si="368"/>
        <v>-781.41551001653841</v>
      </c>
      <c r="AJ480">
        <f t="shared" si="393"/>
        <v>18000</v>
      </c>
      <c r="AK480">
        <f t="shared" si="394"/>
        <v>198553.68202824</v>
      </c>
      <c r="AL480">
        <v>1</v>
      </c>
      <c r="AM480">
        <f t="shared" si="395"/>
        <v>341.95356349307997</v>
      </c>
      <c r="AN480">
        <f t="shared" si="369"/>
        <v>580.79412966664097</v>
      </c>
      <c r="AO480">
        <f t="shared" si="370"/>
        <v>-50.940267129825855</v>
      </c>
      <c r="AQ480">
        <f t="shared" si="396"/>
        <v>1.4133075056097708E-3</v>
      </c>
      <c r="AR480">
        <f t="shared" si="397"/>
        <v>-3.7593979649219902</v>
      </c>
      <c r="AT480">
        <f t="shared" si="418"/>
        <v>-2937.4946545183648</v>
      </c>
      <c r="AU480">
        <f t="shared" si="419"/>
        <v>-419.31914653241773</v>
      </c>
      <c r="AV480">
        <f t="shared" si="407"/>
        <v>-2.9998033414458254</v>
      </c>
      <c r="AW480">
        <f t="shared" si="408"/>
        <v>508.7624293420406</v>
      </c>
      <c r="AX480">
        <f t="shared" si="409"/>
        <v>-3153.0783539194326</v>
      </c>
      <c r="AY480">
        <f t="shared" si="417"/>
        <v>-1.4108209483047154</v>
      </c>
      <c r="BA480">
        <f t="shared" si="398"/>
        <v>0.92905511071886437</v>
      </c>
      <c r="BB480">
        <f t="shared" si="410"/>
        <v>-0.63917046563410995</v>
      </c>
      <c r="BC480">
        <f t="shared" si="411"/>
        <v>-1.58898239314111</v>
      </c>
      <c r="BD480">
        <f t="shared" si="399"/>
        <v>-271.04198495161359</v>
      </c>
      <c r="BF480">
        <f t="shared" si="400"/>
        <v>-55.623936566907631</v>
      </c>
      <c r="BG480">
        <f t="shared" si="401"/>
        <v>-186.15140228888029</v>
      </c>
      <c r="BH480">
        <f t="shared" si="412"/>
        <v>-6.1514022888802913</v>
      </c>
      <c r="BI480">
        <f t="shared" si="413"/>
        <v>-6.1514022888802913</v>
      </c>
      <c r="BJ480">
        <f t="shared" si="402"/>
        <v>0</v>
      </c>
      <c r="BK480">
        <f t="shared" si="414"/>
        <v>0</v>
      </c>
      <c r="BM480">
        <f t="shared" si="415"/>
        <v>-54.984766101273522</v>
      </c>
      <c r="BN480">
        <f t="shared" si="403"/>
        <v>-95.10941733726672</v>
      </c>
      <c r="BQ480" s="56">
        <f t="shared" si="416"/>
        <v>16.262790334651026</v>
      </c>
    </row>
    <row r="481" spans="1:69" x14ac:dyDescent="0.25">
      <c r="A481">
        <f t="shared" si="420"/>
        <v>1335000</v>
      </c>
      <c r="B481">
        <f t="shared" si="404"/>
        <v>1335</v>
      </c>
      <c r="C481">
        <f t="shared" si="373"/>
        <v>11.117295445950791</v>
      </c>
      <c r="D481">
        <f t="shared" si="374"/>
        <v>1.4807246509169385</v>
      </c>
      <c r="F481">
        <f t="shared" si="375"/>
        <v>1.0642126005501988E-5</v>
      </c>
      <c r="G481">
        <f t="shared" si="376"/>
        <v>1.227679957568066E-3</v>
      </c>
      <c r="H481">
        <f t="shared" si="377"/>
        <v>-3.1403649700424321</v>
      </c>
      <c r="J481">
        <f t="shared" si="378"/>
        <v>15</v>
      </c>
      <c r="M481">
        <f t="shared" si="379"/>
        <v>1.3656035048436566E-3</v>
      </c>
      <c r="N481">
        <f t="shared" si="380"/>
        <v>-1.5707963250000001</v>
      </c>
      <c r="O481">
        <f t="shared" si="381"/>
        <v>220.77580327571502</v>
      </c>
      <c r="P481">
        <f t="shared" si="382"/>
        <v>1.566266829428963</v>
      </c>
      <c r="Q481">
        <f t="shared" si="383"/>
        <v>343.24055991285235</v>
      </c>
      <c r="R481">
        <f t="shared" si="384"/>
        <v>1.5678829140708364</v>
      </c>
      <c r="S481">
        <f t="shared" si="385"/>
        <v>8.9949934753620869E-2</v>
      </c>
      <c r="T481">
        <f t="shared" si="386"/>
        <v>-1.4807246509169385</v>
      </c>
      <c r="U481">
        <f t="shared" si="387"/>
        <v>0.14490891963213495</v>
      </c>
      <c r="V481">
        <f t="shared" si="388"/>
        <v>-1.4253754068877438</v>
      </c>
      <c r="X481">
        <f t="shared" si="405"/>
        <v>-52.418210550400119</v>
      </c>
      <c r="Y481">
        <f t="shared" si="389"/>
        <v>-172.0241013797469</v>
      </c>
      <c r="Z481">
        <f t="shared" si="406"/>
        <v>7.9758986202531048</v>
      </c>
      <c r="AC481">
        <v>1</v>
      </c>
      <c r="AD481">
        <f t="shared" si="390"/>
        <v>220.77353852316003</v>
      </c>
      <c r="AE481">
        <f t="shared" si="391"/>
        <v>-0.27777900063850997</v>
      </c>
      <c r="AF481">
        <f t="shared" si="392"/>
        <v>4.0682054021175001E-2</v>
      </c>
      <c r="AG481">
        <f t="shared" si="367"/>
        <v>110.43087233556751</v>
      </c>
      <c r="AH481">
        <f t="shared" si="368"/>
        <v>-778.60811404767799</v>
      </c>
      <c r="AJ481">
        <f t="shared" si="393"/>
        <v>18000</v>
      </c>
      <c r="AK481">
        <f t="shared" si="394"/>
        <v>199300.12444188001</v>
      </c>
      <c r="AL481">
        <v>1</v>
      </c>
      <c r="AM481">
        <f t="shared" si="395"/>
        <v>343.23910320545997</v>
      </c>
      <c r="AN481">
        <f t="shared" si="369"/>
        <v>580.79301589774764</v>
      </c>
      <c r="AO481">
        <f t="shared" si="370"/>
        <v>-50.749482857363326</v>
      </c>
      <c r="AQ481">
        <f t="shared" si="396"/>
        <v>1.402740759059496E-3</v>
      </c>
      <c r="AR481">
        <f t="shared" si="397"/>
        <v>-3.7453178266888543</v>
      </c>
      <c r="AT481">
        <f t="shared" si="418"/>
        <v>-2915.9799436616731</v>
      </c>
      <c r="AU481">
        <f t="shared" si="419"/>
        <v>-414.69090011211114</v>
      </c>
      <c r="AV481">
        <f t="shared" si="407"/>
        <v>-3.0003266992308806</v>
      </c>
      <c r="AW481">
        <f t="shared" si="408"/>
        <v>509.31850417133859</v>
      </c>
      <c r="AX481">
        <f t="shared" si="409"/>
        <v>-3141.3917072353725</v>
      </c>
      <c r="AY481">
        <f t="shared" si="417"/>
        <v>-1.4100634769114733</v>
      </c>
      <c r="BA481">
        <f t="shared" si="398"/>
        <v>0.92549910281493664</v>
      </c>
      <c r="BB481">
        <f t="shared" si="410"/>
        <v>-0.67247995837737351</v>
      </c>
      <c r="BC481">
        <f t="shared" si="411"/>
        <v>-1.5902632223194073</v>
      </c>
      <c r="BD481">
        <f t="shared" si="399"/>
        <v>-271.11537105789102</v>
      </c>
      <c r="BF481">
        <f t="shared" si="400"/>
        <v>-55.690103894927617</v>
      </c>
      <c r="BG481">
        <f t="shared" si="401"/>
        <v>-186.20575696218353</v>
      </c>
      <c r="BH481">
        <f t="shared" si="412"/>
        <v>-6.2057569621835285</v>
      </c>
      <c r="BI481">
        <f t="shared" si="413"/>
        <v>-6.2057569621835285</v>
      </c>
      <c r="BJ481">
        <f t="shared" si="402"/>
        <v>0</v>
      </c>
      <c r="BK481">
        <f t="shared" si="414"/>
        <v>0</v>
      </c>
      <c r="BM481">
        <f t="shared" si="415"/>
        <v>-55.017623936550244</v>
      </c>
      <c r="BN481">
        <f t="shared" si="403"/>
        <v>-95.090385904292461</v>
      </c>
      <c r="BQ481" s="56">
        <f t="shared" si="416"/>
        <v>16.229480841907765</v>
      </c>
    </row>
    <row r="482" spans="1:69" x14ac:dyDescent="0.25">
      <c r="A482">
        <f t="shared" si="420"/>
        <v>1340000</v>
      </c>
      <c r="B482">
        <f t="shared" si="404"/>
        <v>1340</v>
      </c>
      <c r="C482">
        <f t="shared" si="373"/>
        <v>11.158596988930022</v>
      </c>
      <c r="D482">
        <f t="shared" si="374"/>
        <v>1.4810589345176921</v>
      </c>
      <c r="F482">
        <f t="shared" si="375"/>
        <v>1.0562854541256013E-5</v>
      </c>
      <c r="G482">
        <f t="shared" si="376"/>
        <v>1.223098969254936E-3</v>
      </c>
      <c r="H482">
        <f t="shared" si="377"/>
        <v>-3.1403695510307452</v>
      </c>
      <c r="J482">
        <f t="shared" si="378"/>
        <v>15</v>
      </c>
      <c r="M482">
        <f t="shared" si="379"/>
        <v>1.3605079693778221E-3</v>
      </c>
      <c r="N482">
        <f t="shared" si="380"/>
        <v>-1.5707963250000001</v>
      </c>
      <c r="O482">
        <f t="shared" si="381"/>
        <v>221.60266201071198</v>
      </c>
      <c r="P482">
        <f t="shared" si="382"/>
        <v>1.5662837303086645</v>
      </c>
      <c r="Q482">
        <f t="shared" si="383"/>
        <v>344.52609418978</v>
      </c>
      <c r="R482">
        <f t="shared" si="384"/>
        <v>1.5678937849526657</v>
      </c>
      <c r="S482">
        <f t="shared" si="385"/>
        <v>8.9617001222649983E-2</v>
      </c>
      <c r="T482">
        <f t="shared" si="386"/>
        <v>-1.4810589345176921</v>
      </c>
      <c r="U482">
        <f t="shared" si="387"/>
        <v>0.14437950660680263</v>
      </c>
      <c r="V482">
        <f t="shared" si="388"/>
        <v>-1.4259104465413412</v>
      </c>
      <c r="X482">
        <f t="shared" si="405"/>
        <v>-52.482474090431111</v>
      </c>
      <c r="Y482">
        <f t="shared" si="389"/>
        <v>-172.05342816037466</v>
      </c>
      <c r="Z482">
        <f t="shared" si="406"/>
        <v>7.9465718396253351</v>
      </c>
      <c r="AC482">
        <v>1</v>
      </c>
      <c r="AD482">
        <f t="shared" si="390"/>
        <v>221.60040570864001</v>
      </c>
      <c r="AE482">
        <f t="shared" si="391"/>
        <v>-0.27986363873613518</v>
      </c>
      <c r="AF482">
        <f t="shared" si="392"/>
        <v>4.0834421264700001E-2</v>
      </c>
      <c r="AG482">
        <f t="shared" si="367"/>
        <v>109.6254457759274</v>
      </c>
      <c r="AH482">
        <f t="shared" si="368"/>
        <v>-775.82037829218314</v>
      </c>
      <c r="AJ482">
        <f t="shared" si="393"/>
        <v>18000</v>
      </c>
      <c r="AK482">
        <f t="shared" si="394"/>
        <v>200046.56685552001</v>
      </c>
      <c r="AL482">
        <v>1</v>
      </c>
      <c r="AM482">
        <f t="shared" si="395"/>
        <v>344.52464291783997</v>
      </c>
      <c r="AN482">
        <f t="shared" si="369"/>
        <v>580.79191457300158</v>
      </c>
      <c r="AO482">
        <f t="shared" si="370"/>
        <v>-50.560122312008367</v>
      </c>
      <c r="AQ482">
        <f t="shared" si="396"/>
        <v>1.3922920761455676E-3</v>
      </c>
      <c r="AR482">
        <f t="shared" si="397"/>
        <v>-3.7313427640701207</v>
      </c>
      <c r="AT482">
        <f t="shared" si="418"/>
        <v>-2894.6991241191836</v>
      </c>
      <c r="AU482">
        <f t="shared" si="419"/>
        <v>-410.13028241917652</v>
      </c>
      <c r="AV482">
        <f t="shared" si="407"/>
        <v>-3.0008462355114287</v>
      </c>
      <c r="AW482">
        <f t="shared" si="408"/>
        <v>509.86809558686627</v>
      </c>
      <c r="AX482">
        <f t="shared" si="409"/>
        <v>-3129.7909486930084</v>
      </c>
      <c r="AY482">
        <f t="shared" si="417"/>
        <v>-1.4093069097559074</v>
      </c>
      <c r="BA482">
        <f t="shared" si="398"/>
        <v>0.92196882085584497</v>
      </c>
      <c r="BB482">
        <f t="shared" si="410"/>
        <v>-0.70567531340068923</v>
      </c>
      <c r="BC482">
        <f t="shared" si="411"/>
        <v>-1.5915393257555213</v>
      </c>
      <c r="BD482">
        <f t="shared" si="399"/>
        <v>-271.18848639908606</v>
      </c>
      <c r="BF482">
        <f t="shared" si="400"/>
        <v>-55.756032295019637</v>
      </c>
      <c r="BG482">
        <f t="shared" si="401"/>
        <v>-186.25998173516967</v>
      </c>
      <c r="BH482">
        <f t="shared" si="412"/>
        <v>-6.2599817351696743</v>
      </c>
      <c r="BI482">
        <f t="shared" si="413"/>
        <v>-6.2599817351696743</v>
      </c>
      <c r="BJ482">
        <f t="shared" si="402"/>
        <v>0</v>
      </c>
      <c r="BK482">
        <f t="shared" si="414"/>
        <v>0</v>
      </c>
      <c r="BM482">
        <f t="shared" si="415"/>
        <v>-55.05035698161894</v>
      </c>
      <c r="BN482">
        <f t="shared" si="403"/>
        <v>-95.071495336083615</v>
      </c>
      <c r="BQ482" s="56">
        <f t="shared" si="416"/>
        <v>16.196285486884449</v>
      </c>
    </row>
    <row r="483" spans="1:69" x14ac:dyDescent="0.25">
      <c r="A483">
        <f t="shared" si="420"/>
        <v>1345000</v>
      </c>
      <c r="B483">
        <f t="shared" si="404"/>
        <v>1345</v>
      </c>
      <c r="C483">
        <f t="shared" si="373"/>
        <v>11.199899769635973</v>
      </c>
      <c r="D483">
        <f t="shared" si="374"/>
        <v>1.4813907526256875</v>
      </c>
      <c r="F483">
        <f t="shared" si="375"/>
        <v>1.048446551266719E-5</v>
      </c>
      <c r="G483">
        <f t="shared" si="376"/>
        <v>1.2185520413653143E-3</v>
      </c>
      <c r="H483">
        <f t="shared" si="377"/>
        <v>-3.140374097958635</v>
      </c>
      <c r="J483">
        <f t="shared" si="378"/>
        <v>15</v>
      </c>
      <c r="M483">
        <f t="shared" si="379"/>
        <v>1.3554503189340383E-3</v>
      </c>
      <c r="N483">
        <f t="shared" si="380"/>
        <v>-1.5707963250000001</v>
      </c>
      <c r="O483">
        <f t="shared" si="381"/>
        <v>222.42952080853689</v>
      </c>
      <c r="P483">
        <f t="shared" si="382"/>
        <v>1.5663005055338171</v>
      </c>
      <c r="Q483">
        <f t="shared" si="383"/>
        <v>345.81162850711956</v>
      </c>
      <c r="R483">
        <f t="shared" si="384"/>
        <v>1.5679045750107732</v>
      </c>
      <c r="S483">
        <f t="shared" si="385"/>
        <v>8.9286513323190486E-2</v>
      </c>
      <c r="T483">
        <f t="shared" si="386"/>
        <v>-1.4813907526256875</v>
      </c>
      <c r="U483">
        <f t="shared" si="387"/>
        <v>0.14385390710359355</v>
      </c>
      <c r="V483">
        <f t="shared" si="388"/>
        <v>-1.4264415908267822</v>
      </c>
      <c r="X483">
        <f t="shared" si="405"/>
        <v>-52.546503202998522</v>
      </c>
      <c r="Y483">
        <f t="shared" si="389"/>
        <v>-172.08254163166214</v>
      </c>
      <c r="Z483">
        <f t="shared" si="406"/>
        <v>7.9174583683378614</v>
      </c>
      <c r="AC483">
        <v>1</v>
      </c>
      <c r="AD483">
        <f t="shared" si="390"/>
        <v>222.42727289411999</v>
      </c>
      <c r="AE483">
        <f t="shared" si="391"/>
        <v>-0.28195606987337768</v>
      </c>
      <c r="AF483">
        <f t="shared" si="392"/>
        <v>4.0986788508225E-2</v>
      </c>
      <c r="AG483">
        <f t="shared" si="367"/>
        <v>108.82873711730734</v>
      </c>
      <c r="AH483">
        <f t="shared" si="368"/>
        <v>-773.05210191134165</v>
      </c>
      <c r="AJ483">
        <f t="shared" si="393"/>
        <v>18000</v>
      </c>
      <c r="AK483">
        <f t="shared" si="394"/>
        <v>200793.00926916001</v>
      </c>
      <c r="AL483">
        <v>1</v>
      </c>
      <c r="AM483">
        <f t="shared" si="395"/>
        <v>345.81018263021997</v>
      </c>
      <c r="AN483">
        <f t="shared" si="369"/>
        <v>580.79082550770681</v>
      </c>
      <c r="AO483">
        <f t="shared" si="370"/>
        <v>-50.372169616297604</v>
      </c>
      <c r="AQ483">
        <f t="shared" si="396"/>
        <v>1.3819597045425431E-3</v>
      </c>
      <c r="AR483">
        <f t="shared" si="397"/>
        <v>-3.7174716052194405</v>
      </c>
      <c r="AT483">
        <f t="shared" si="418"/>
        <v>-2873.6488412812255</v>
      </c>
      <c r="AU483">
        <f t="shared" si="419"/>
        <v>-405.63606691983443</v>
      </c>
      <c r="AV483">
        <f t="shared" si="407"/>
        <v>-3.001361991687987</v>
      </c>
      <c r="AW483">
        <f t="shared" si="408"/>
        <v>510.41130467986926</v>
      </c>
      <c r="AX483">
        <f t="shared" si="409"/>
        <v>-3118.27513932685</v>
      </c>
      <c r="AY483">
        <f t="shared" si="417"/>
        <v>-1.4085512380370209</v>
      </c>
      <c r="BA483">
        <f t="shared" si="398"/>
        <v>0.91846398466814927</v>
      </c>
      <c r="BB483">
        <f t="shared" si="410"/>
        <v>-0.73875737652763096</v>
      </c>
      <c r="BC483">
        <f t="shared" si="411"/>
        <v>-1.5928107536509661</v>
      </c>
      <c r="BD483">
        <f t="shared" si="399"/>
        <v>-271.26133385153349</v>
      </c>
      <c r="BF483">
        <f t="shared" si="400"/>
        <v>-55.821723564057486</v>
      </c>
      <c r="BG483">
        <f t="shared" si="401"/>
        <v>-186.31407793021938</v>
      </c>
      <c r="BH483">
        <f t="shared" si="412"/>
        <v>-6.3140779302193835</v>
      </c>
      <c r="BI483">
        <f t="shared" si="413"/>
        <v>-6.3140779302193835</v>
      </c>
      <c r="BJ483">
        <f t="shared" si="402"/>
        <v>0</v>
      </c>
      <c r="BK483">
        <f t="shared" si="414"/>
        <v>0</v>
      </c>
      <c r="BM483">
        <f t="shared" si="415"/>
        <v>-55.082966187529856</v>
      </c>
      <c r="BN483">
        <f t="shared" si="403"/>
        <v>-95.052744078685862</v>
      </c>
      <c r="BQ483" s="56">
        <f t="shared" si="416"/>
        <v>16.163203423757505</v>
      </c>
    </row>
    <row r="484" spans="1:69" x14ac:dyDescent="0.25">
      <c r="A484">
        <f t="shared" si="420"/>
        <v>1350000</v>
      </c>
      <c r="B484">
        <f t="shared" si="404"/>
        <v>1350</v>
      </c>
      <c r="C484">
        <f t="shared" si="373"/>
        <v>11.241203774425562</v>
      </c>
      <c r="D484">
        <f t="shared" si="374"/>
        <v>1.4817201323446263</v>
      </c>
      <c r="F484">
        <f t="shared" si="375"/>
        <v>1.0406945870641839E-5</v>
      </c>
      <c r="G484">
        <f t="shared" si="376"/>
        <v>1.2140387954348631E-3</v>
      </c>
      <c r="H484">
        <f t="shared" si="377"/>
        <v>-3.1403786112045653</v>
      </c>
      <c r="J484">
        <f t="shared" si="378"/>
        <v>15</v>
      </c>
      <c r="M484">
        <f t="shared" si="379"/>
        <v>1.3504301325676161E-3</v>
      </c>
      <c r="N484">
        <f t="shared" si="380"/>
        <v>-1.5707963250000001</v>
      </c>
      <c r="O484">
        <f t="shared" si="381"/>
        <v>223.25637966849158</v>
      </c>
      <c r="P484">
        <f t="shared" si="382"/>
        <v>1.5663171565005451</v>
      </c>
      <c r="Q484">
        <f t="shared" si="383"/>
        <v>347.09716286442222</v>
      </c>
      <c r="R484">
        <f t="shared" si="384"/>
        <v>1.5679152851431903</v>
      </c>
      <c r="S484">
        <f t="shared" si="385"/>
        <v>8.895844431492847E-2</v>
      </c>
      <c r="T484">
        <f t="shared" si="386"/>
        <v>-1.4817201323446263</v>
      </c>
      <c r="U484">
        <f t="shared" si="387"/>
        <v>0.14333208051018936</v>
      </c>
      <c r="V484">
        <f t="shared" si="388"/>
        <v>-1.4269688818338013</v>
      </c>
      <c r="X484">
        <f t="shared" si="405"/>
        <v>-52.610299574913853</v>
      </c>
      <c r="Y484">
        <f t="shared" si="389"/>
        <v>-172.11144409541242</v>
      </c>
      <c r="Z484">
        <f t="shared" si="406"/>
        <v>7.8885559045875766</v>
      </c>
      <c r="AC484">
        <v>1</v>
      </c>
      <c r="AD484">
        <f t="shared" si="390"/>
        <v>223.25414007960001</v>
      </c>
      <c r="AE484">
        <f t="shared" si="391"/>
        <v>-0.28405629405023747</v>
      </c>
      <c r="AF484">
        <f t="shared" si="392"/>
        <v>4.1139155751749999E-2</v>
      </c>
      <c r="AG484">
        <f t="shared" si="367"/>
        <v>108.04062188837266</v>
      </c>
      <c r="AH484">
        <f t="shared" si="368"/>
        <v>-770.30308671674857</v>
      </c>
      <c r="AJ484">
        <f t="shared" si="393"/>
        <v>18000</v>
      </c>
      <c r="AK484">
        <f t="shared" si="394"/>
        <v>201539.45168280002</v>
      </c>
      <c r="AL484">
        <v>1</v>
      </c>
      <c r="AM484">
        <f t="shared" si="395"/>
        <v>347.09572234259997</v>
      </c>
      <c r="AN484">
        <f t="shared" si="369"/>
        <v>580.78974852058093</v>
      </c>
      <c r="AO484">
        <f t="shared" si="370"/>
        <v>-50.18560912797949</v>
      </c>
      <c r="AQ484">
        <f t="shared" si="396"/>
        <v>1.3717419243152367E-3</v>
      </c>
      <c r="AR484">
        <f t="shared" si="397"/>
        <v>-3.7037031956511393</v>
      </c>
      <c r="AT484">
        <f t="shared" si="418"/>
        <v>-2852.8258000421852</v>
      </c>
      <c r="AU484">
        <f t="shared" si="419"/>
        <v>-401.20705358658103</v>
      </c>
      <c r="AV484">
        <f t="shared" si="407"/>
        <v>-3.0018740085696143</v>
      </c>
      <c r="AW484">
        <f t="shared" si="408"/>
        <v>510.94823056884036</v>
      </c>
      <c r="AX484">
        <f t="shared" si="409"/>
        <v>-3106.8433537491405</v>
      </c>
      <c r="AY484">
        <f t="shared" si="417"/>
        <v>-1.4077964531107481</v>
      </c>
      <c r="BA484">
        <f t="shared" si="398"/>
        <v>0.91498431811472269</v>
      </c>
      <c r="BB484">
        <f t="shared" si="410"/>
        <v>-0.77172698456402644</v>
      </c>
      <c r="BC484">
        <f t="shared" si="411"/>
        <v>-1.5940775554588662</v>
      </c>
      <c r="BD484">
        <f t="shared" si="399"/>
        <v>-271.33391624868864</v>
      </c>
      <c r="BF484">
        <f t="shared" si="400"/>
        <v>-55.887179478997098</v>
      </c>
      <c r="BG484">
        <f t="shared" si="401"/>
        <v>-186.36804684954456</v>
      </c>
      <c r="BH484">
        <f t="shared" si="412"/>
        <v>-6.3680468495445552</v>
      </c>
      <c r="BI484">
        <f t="shared" si="413"/>
        <v>-6.3680468495445552</v>
      </c>
      <c r="BJ484">
        <f t="shared" si="402"/>
        <v>0</v>
      </c>
      <c r="BK484">
        <f t="shared" si="414"/>
        <v>0</v>
      </c>
      <c r="BM484">
        <f t="shared" si="415"/>
        <v>-55.115452494433072</v>
      </c>
      <c r="BN484">
        <f t="shared" si="403"/>
        <v>-95.034130600855903</v>
      </c>
      <c r="BQ484" s="56">
        <f t="shared" si="416"/>
        <v>16.130233815721112</v>
      </c>
    </row>
    <row r="485" spans="1:69" x14ac:dyDescent="0.25">
      <c r="A485">
        <f t="shared" si="420"/>
        <v>1355000</v>
      </c>
      <c r="B485">
        <f t="shared" si="404"/>
        <v>1355</v>
      </c>
      <c r="C485">
        <f t="shared" si="373"/>
        <v>11.282508989855092</v>
      </c>
      <c r="D485">
        <f t="shared" si="374"/>
        <v>1.4820471003834383</v>
      </c>
      <c r="F485">
        <f t="shared" si="375"/>
        <v>1.0330282806404108E-5</v>
      </c>
      <c r="G485">
        <f t="shared" si="376"/>
        <v>1.2095588585857139E-3</v>
      </c>
      <c r="H485">
        <f t="shared" si="377"/>
        <v>-3.1403830911414143</v>
      </c>
      <c r="J485">
        <f t="shared" si="378"/>
        <v>15</v>
      </c>
      <c r="M485">
        <f t="shared" si="379"/>
        <v>1.3454469955470714E-3</v>
      </c>
      <c r="N485">
        <f t="shared" si="380"/>
        <v>-1.5707963250000001</v>
      </c>
      <c r="O485">
        <f t="shared" si="381"/>
        <v>224.0832385898884</v>
      </c>
      <c r="P485">
        <f t="shared" si="382"/>
        <v>1.5663336845843661</v>
      </c>
      <c r="Q485">
        <f t="shared" si="383"/>
        <v>348.38269726124548</v>
      </c>
      <c r="R485">
        <f t="shared" si="384"/>
        <v>1.5679259162346932</v>
      </c>
      <c r="S485">
        <f t="shared" si="385"/>
        <v>8.863276784438387E-2</v>
      </c>
      <c r="T485">
        <f t="shared" si="386"/>
        <v>-1.4820471003834383</v>
      </c>
      <c r="U485">
        <f t="shared" si="387"/>
        <v>0.1428139867824153</v>
      </c>
      <c r="V485">
        <f t="shared" si="388"/>
        <v>-1.4274923610522172</v>
      </c>
      <c r="X485">
        <f t="shared" si="405"/>
        <v>-52.673864875032194</v>
      </c>
      <c r="Y485">
        <f t="shared" si="389"/>
        <v>-172.14013782067605</v>
      </c>
      <c r="Z485">
        <f t="shared" si="406"/>
        <v>7.8598621793239545</v>
      </c>
      <c r="AC485">
        <v>1</v>
      </c>
      <c r="AD485">
        <f t="shared" si="390"/>
        <v>224.08100726507999</v>
      </c>
      <c r="AE485">
        <f t="shared" si="391"/>
        <v>-0.28616431126671454</v>
      </c>
      <c r="AF485">
        <f t="shared" si="392"/>
        <v>4.1291522995274998E-2</v>
      </c>
      <c r="AG485">
        <f t="shared" si="367"/>
        <v>107.26097781521415</v>
      </c>
      <c r="AH485">
        <f t="shared" si="368"/>
        <v>-767.57313712821599</v>
      </c>
      <c r="AJ485">
        <f t="shared" si="393"/>
        <v>18000</v>
      </c>
      <c r="AK485">
        <f t="shared" si="394"/>
        <v>202285.89409644</v>
      </c>
      <c r="AL485">
        <v>1</v>
      </c>
      <c r="AM485">
        <f t="shared" si="395"/>
        <v>348.38126205497997</v>
      </c>
      <c r="AN485">
        <f t="shared" si="369"/>
        <v>580.78868343367992</v>
      </c>
      <c r="AO485">
        <f t="shared" si="370"/>
        <v>-50.000425435674828</v>
      </c>
      <c r="AQ485">
        <f t="shared" si="396"/>
        <v>1.3616370472029184E-3</v>
      </c>
      <c r="AR485">
        <f t="shared" si="397"/>
        <v>-3.6900363979199087</v>
      </c>
      <c r="AT485">
        <f t="shared" si="418"/>
        <v>-2832.2267635475737</v>
      </c>
      <c r="AU485">
        <f t="shared" si="419"/>
        <v>-396.84206823457157</v>
      </c>
      <c r="AV485">
        <f t="shared" si="407"/>
        <v>-3.0023823263843554</v>
      </c>
      <c r="AW485">
        <f t="shared" si="408"/>
        <v>511.4789704456993</v>
      </c>
      <c r="AX485">
        <f t="shared" si="409"/>
        <v>-3095.4946799063023</v>
      </c>
      <c r="AY485">
        <f t="shared" si="417"/>
        <v>-1.4070425464866301</v>
      </c>
      <c r="BA485">
        <f t="shared" si="398"/>
        <v>0.91152954902281824</v>
      </c>
      <c r="BB485">
        <f t="shared" si="410"/>
        <v>-0.80458496542309854</v>
      </c>
      <c r="BC485">
        <f t="shared" si="411"/>
        <v>-1.5953397798977254</v>
      </c>
      <c r="BD485">
        <f t="shared" si="399"/>
        <v>-271.40623638191619</v>
      </c>
      <c r="BF485">
        <f t="shared" si="400"/>
        <v>-55.952401797168456</v>
      </c>
      <c r="BG485">
        <f t="shared" si="401"/>
        <v>-186.42188977556532</v>
      </c>
      <c r="BH485">
        <f t="shared" si="412"/>
        <v>-6.4218897755653188</v>
      </c>
      <c r="BI485">
        <f t="shared" si="413"/>
        <v>-6.4218897755653188</v>
      </c>
      <c r="BJ485">
        <f t="shared" si="402"/>
        <v>0</v>
      </c>
      <c r="BK485">
        <f t="shared" si="414"/>
        <v>0</v>
      </c>
      <c r="BM485">
        <f t="shared" si="415"/>
        <v>-55.147816831745359</v>
      </c>
      <c r="BN485">
        <f t="shared" si="403"/>
        <v>-95.015653393649117</v>
      </c>
      <c r="BQ485" s="56">
        <f t="shared" si="416"/>
        <v>16.097375834862039</v>
      </c>
    </row>
    <row r="486" spans="1:69" x14ac:dyDescent="0.25">
      <c r="A486">
        <f t="shared" si="420"/>
        <v>1360000</v>
      </c>
      <c r="B486">
        <f t="shared" si="404"/>
        <v>1360</v>
      </c>
      <c r="C486">
        <f t="shared" si="373"/>
        <v>11.323815402676617</v>
      </c>
      <c r="D486">
        <f t="shared" si="374"/>
        <v>1.4823716830634235</v>
      </c>
      <c r="F486">
        <f t="shared" si="375"/>
        <v>1.0254463746204488E-5</v>
      </c>
      <c r="G486">
        <f t="shared" si="376"/>
        <v>1.2051118634237663E-3</v>
      </c>
      <c r="H486">
        <f t="shared" si="377"/>
        <v>-3.1403875381365762</v>
      </c>
      <c r="J486">
        <f t="shared" si="378"/>
        <v>15</v>
      </c>
      <c r="M486">
        <f t="shared" si="379"/>
        <v>1.340500499239913E-3</v>
      </c>
      <c r="N486">
        <f t="shared" si="380"/>
        <v>-1.5707963250000001</v>
      </c>
      <c r="O486">
        <f t="shared" si="381"/>
        <v>224.91009757204961</v>
      </c>
      <c r="P486">
        <f t="shared" si="382"/>
        <v>1.5663500911405703</v>
      </c>
      <c r="Q486">
        <f t="shared" si="383"/>
        <v>349.66823169715349</v>
      </c>
      <c r="R486">
        <f t="shared" si="384"/>
        <v>1.5679364691570477</v>
      </c>
      <c r="S486">
        <f t="shared" si="385"/>
        <v>8.8309457937969349E-2</v>
      </c>
      <c r="T486">
        <f t="shared" si="386"/>
        <v>-1.4823716830634235</v>
      </c>
      <c r="U486">
        <f t="shared" si="387"/>
        <v>0.14229958643445853</v>
      </c>
      <c r="V486">
        <f t="shared" si="388"/>
        <v>-1.4280120693825058</v>
      </c>
      <c r="X486">
        <f t="shared" si="405"/>
        <v>-52.737200754503569</v>
      </c>
      <c r="Y486">
        <f t="shared" si="389"/>
        <v>-172.16862504432694</v>
      </c>
      <c r="Z486">
        <f t="shared" si="406"/>
        <v>7.8313749556730556</v>
      </c>
      <c r="AC486">
        <v>1</v>
      </c>
      <c r="AD486">
        <f t="shared" si="390"/>
        <v>224.90787445056003</v>
      </c>
      <c r="AE486">
        <f t="shared" si="391"/>
        <v>-0.28828012152280891</v>
      </c>
      <c r="AF486">
        <f t="shared" si="392"/>
        <v>4.1443890238799998E-2</v>
      </c>
      <c r="AG486">
        <f t="shared" si="367"/>
        <v>106.48968477530858</v>
      </c>
      <c r="AH486">
        <f t="shared" si="368"/>
        <v>-764.86206013244691</v>
      </c>
      <c r="AJ486">
        <f t="shared" si="393"/>
        <v>18000</v>
      </c>
      <c r="AK486">
        <f t="shared" si="394"/>
        <v>203032.33651008</v>
      </c>
      <c r="AL486">
        <v>1</v>
      </c>
      <c r="AM486">
        <f t="shared" si="395"/>
        <v>349.66680176735997</v>
      </c>
      <c r="AN486">
        <f t="shared" si="369"/>
        <v>580.78763007232556</v>
      </c>
      <c r="AO486">
        <f t="shared" si="370"/>
        <v>-49.816603354633052</v>
      </c>
      <c r="AQ486">
        <f t="shared" si="396"/>
        <v>1.3516434159218998E-3</v>
      </c>
      <c r="AR486">
        <f t="shared" si="397"/>
        <v>-3.6764700913075679</v>
      </c>
      <c r="AT486">
        <f t="shared" si="418"/>
        <v>-2811.8485519715414</v>
      </c>
      <c r="AU486">
        <f t="shared" si="419"/>
        <v>-392.53996187685931</v>
      </c>
      <c r="AV486">
        <f t="shared" si="407"/>
        <v>-3.0028869847894692</v>
      </c>
      <c r="AW486">
        <f t="shared" si="408"/>
        <v>512.00361962071372</v>
      </c>
      <c r="AX486">
        <f t="shared" si="409"/>
        <v>-3084.2282188405943</v>
      </c>
      <c r="AY486">
        <f t="shared" si="417"/>
        <v>-1.4062895098245716</v>
      </c>
      <c r="BA486">
        <f t="shared" si="398"/>
        <v>0.9080994091136545</v>
      </c>
      <c r="BB486">
        <f t="shared" si="410"/>
        <v>-0.83733213824850594</v>
      </c>
      <c r="BC486">
        <f t="shared" si="411"/>
        <v>-1.5965974749648977</v>
      </c>
      <c r="BD486">
        <f t="shared" si="399"/>
        <v>-271.47829700126192</v>
      </c>
      <c r="BF486">
        <f t="shared" si="400"/>
        <v>-56.017392256562346</v>
      </c>
      <c r="BG486">
        <f t="shared" si="401"/>
        <v>-186.47560797127818</v>
      </c>
      <c r="BH486">
        <f t="shared" si="412"/>
        <v>-6.4756079712781798</v>
      </c>
      <c r="BI486">
        <f t="shared" si="413"/>
        <v>-6.4756079712781798</v>
      </c>
      <c r="BJ486">
        <f t="shared" si="402"/>
        <v>0</v>
      </c>
      <c r="BK486">
        <f t="shared" si="414"/>
        <v>0</v>
      </c>
      <c r="BM486">
        <f t="shared" si="415"/>
        <v>-55.180060118313833</v>
      </c>
      <c r="BN486">
        <f t="shared" si="403"/>
        <v>-94.997310970016258</v>
      </c>
      <c r="BQ486" s="56">
        <f t="shared" si="416"/>
        <v>16.064628662036633</v>
      </c>
    </row>
    <row r="487" spans="1:69" x14ac:dyDescent="0.25">
      <c r="A487">
        <f t="shared" si="420"/>
        <v>1365000</v>
      </c>
      <c r="B487">
        <f t="shared" si="404"/>
        <v>1365</v>
      </c>
      <c r="C487">
        <f t="shared" si="373"/>
        <v>11.365122999834419</v>
      </c>
      <c r="D487">
        <f t="shared" si="374"/>
        <v>1.48269390632524</v>
      </c>
      <c r="F487">
        <f t="shared" si="375"/>
        <v>1.0179476346163765E-5</v>
      </c>
      <c r="G487">
        <f t="shared" si="376"/>
        <v>1.2006974479382498E-3</v>
      </c>
      <c r="H487">
        <f t="shared" si="377"/>
        <v>-3.1403919525520618</v>
      </c>
      <c r="J487">
        <f t="shared" si="378"/>
        <v>15</v>
      </c>
      <c r="M487">
        <f t="shared" si="379"/>
        <v>1.3355902410009388E-3</v>
      </c>
      <c r="N487">
        <f t="shared" si="380"/>
        <v>-1.5707963250000001</v>
      </c>
      <c r="O487">
        <f t="shared" si="381"/>
        <v>225.73695661430747</v>
      </c>
      <c r="P487">
        <f t="shared" si="382"/>
        <v>1.5663663775045911</v>
      </c>
      <c r="Q487">
        <f t="shared" si="383"/>
        <v>350.95376617171672</v>
      </c>
      <c r="R487">
        <f t="shared" si="384"/>
        <v>1.5679469447692456</v>
      </c>
      <c r="S487">
        <f t="shared" si="385"/>
        <v>8.7988488995197803E-2</v>
      </c>
      <c r="T487">
        <f t="shared" si="386"/>
        <v>-1.48269390632524</v>
      </c>
      <c r="U487">
        <f t="shared" si="387"/>
        <v>0.14178884052928498</v>
      </c>
      <c r="V487">
        <f t="shared" si="388"/>
        <v>-1.4285280471461534</v>
      </c>
      <c r="X487">
        <f t="shared" si="405"/>
        <v>-52.800308847019998</v>
      </c>
      <c r="Y487">
        <f t="shared" si="389"/>
        <v>-172.1969079716265</v>
      </c>
      <c r="Z487">
        <f t="shared" si="406"/>
        <v>7.8030920283734986</v>
      </c>
      <c r="AC487">
        <v>1</v>
      </c>
      <c r="AD487">
        <f t="shared" si="390"/>
        <v>225.73474163604001</v>
      </c>
      <c r="AE487">
        <f t="shared" si="391"/>
        <v>-0.29040372481852056</v>
      </c>
      <c r="AF487">
        <f t="shared" si="392"/>
        <v>4.1596257482324997E-2</v>
      </c>
      <c r="AG487">
        <f t="shared" si="367"/>
        <v>105.72662475259173</v>
      </c>
      <c r="AH487">
        <f t="shared" si="368"/>
        <v>-762.16966524245584</v>
      </c>
      <c r="AJ487">
        <f t="shared" si="393"/>
        <v>18000</v>
      </c>
      <c r="AK487">
        <f t="shared" si="394"/>
        <v>203778.77892372003</v>
      </c>
      <c r="AL487">
        <v>1</v>
      </c>
      <c r="AM487">
        <f t="shared" si="395"/>
        <v>350.95234147973997</v>
      </c>
      <c r="AN487">
        <f t="shared" si="369"/>
        <v>580.78658826503181</v>
      </c>
      <c r="AO487">
        <f t="shared" si="370"/>
        <v>-49.634127922581634</v>
      </c>
      <c r="AQ487">
        <f t="shared" si="396"/>
        <v>1.3417594034859715E-3</v>
      </c>
      <c r="AR487">
        <f t="shared" si="397"/>
        <v>-3.663003171516702</v>
      </c>
      <c r="AT487">
        <f t="shared" si="418"/>
        <v>-2791.6880413239783</v>
      </c>
      <c r="AU487">
        <f t="shared" si="419"/>
        <v>-388.29961009789059</v>
      </c>
      <c r="AV487">
        <f t="shared" si="407"/>
        <v>-3.0033880228814382</v>
      </c>
      <c r="AW487">
        <f t="shared" si="408"/>
        <v>512.52227156619801</v>
      </c>
      <c r="AX487">
        <f t="shared" si="409"/>
        <v>-3073.0430844568214</v>
      </c>
      <c r="AY487">
        <f t="shared" si="417"/>
        <v>-1.4055373349316809</v>
      </c>
      <c r="BA487">
        <f t="shared" si="398"/>
        <v>0.904693633933491</v>
      </c>
      <c r="BB487">
        <f t="shared" si="410"/>
        <v>-0.86996931353525719</v>
      </c>
      <c r="BC487">
        <f t="shared" si="411"/>
        <v>-1.5978506879497574</v>
      </c>
      <c r="BD487">
        <f t="shared" si="399"/>
        <v>-271.55010081620742</v>
      </c>
      <c r="BF487">
        <f t="shared" si="400"/>
        <v>-56.082152576111774</v>
      </c>
      <c r="BG487">
        <f t="shared" si="401"/>
        <v>-186.52920268061621</v>
      </c>
      <c r="BH487">
        <f t="shared" si="412"/>
        <v>-6.5292026806162085</v>
      </c>
      <c r="BI487">
        <f t="shared" si="413"/>
        <v>-6.5292026806162085</v>
      </c>
      <c r="BJ487">
        <f t="shared" si="402"/>
        <v>0</v>
      </c>
      <c r="BK487">
        <f t="shared" si="414"/>
        <v>0</v>
      </c>
      <c r="BM487">
        <f t="shared" si="415"/>
        <v>-55.212183262576517</v>
      </c>
      <c r="BN487">
        <f t="shared" si="403"/>
        <v>-94.97910186440879</v>
      </c>
      <c r="BQ487" s="56">
        <f t="shared" si="416"/>
        <v>16.031991486749881</v>
      </c>
    </row>
    <row r="488" spans="1:69" x14ac:dyDescent="0.25">
      <c r="A488">
        <f t="shared" si="420"/>
        <v>1370000</v>
      </c>
      <c r="B488">
        <f t="shared" si="404"/>
        <v>1370</v>
      </c>
      <c r="C488">
        <f t="shared" si="373"/>
        <v>11.406431768461523</v>
      </c>
      <c r="D488">
        <f t="shared" si="374"/>
        <v>1.4830137957357421</v>
      </c>
      <c r="F488">
        <f t="shared" si="375"/>
        <v>1.0105308487248478E-5</v>
      </c>
      <c r="G488">
        <f t="shared" si="376"/>
        <v>1.1963152554034793E-3</v>
      </c>
      <c r="H488">
        <f t="shared" si="377"/>
        <v>-3.1403963347445969</v>
      </c>
      <c r="J488">
        <f t="shared" si="378"/>
        <v>15</v>
      </c>
      <c r="M488">
        <f t="shared" si="379"/>
        <v>1.3307158240629792E-3</v>
      </c>
      <c r="N488">
        <f t="shared" si="380"/>
        <v>-1.5707963250000001</v>
      </c>
      <c r="O488">
        <f t="shared" si="381"/>
        <v>226.56381571600409</v>
      </c>
      <c r="P488">
        <f t="shared" si="382"/>
        <v>1.5663825449923667</v>
      </c>
      <c r="Q488">
        <f t="shared" si="383"/>
        <v>352.23930068451193</v>
      </c>
      <c r="R488">
        <f t="shared" si="384"/>
        <v>1.5679573439177392</v>
      </c>
      <c r="S488">
        <f t="shared" si="385"/>
        <v>8.7669835782034258E-2</v>
      </c>
      <c r="T488">
        <f t="shared" si="386"/>
        <v>-1.4830137957357421</v>
      </c>
      <c r="U488">
        <f t="shared" si="387"/>
        <v>0.14128171066925058</v>
      </c>
      <c r="V488">
        <f t="shared" si="388"/>
        <v>-1.429040334095792</v>
      </c>
      <c r="X488">
        <f t="shared" si="405"/>
        <v>-52.863190769058193</v>
      </c>
      <c r="Y488">
        <f t="shared" si="389"/>
        <v>-172.22498877677566</v>
      </c>
      <c r="Z488">
        <f t="shared" si="406"/>
        <v>7.7750112232243396</v>
      </c>
      <c r="AC488">
        <v>1</v>
      </c>
      <c r="AD488">
        <f t="shared" si="390"/>
        <v>226.56160882152</v>
      </c>
      <c r="AE488">
        <f t="shared" si="391"/>
        <v>-0.2925351211538495</v>
      </c>
      <c r="AF488">
        <f t="shared" si="392"/>
        <v>4.1748624725849996E-2</v>
      </c>
      <c r="AG488">
        <f t="shared" ref="AG488:AG551" si="421">AC488*AE488/(AE488^2+AF488^2)+AD488*AF488/(AE488^2+AF488^2)</f>
        <v>104.97168179361417</v>
      </c>
      <c r="AH488">
        <f t="shared" ref="AH488:AH551" si="422">AD488*AE488/(AE488^2+AF488^2)-AC488*AF488/(AE488^2+AF488^2)</f>
        <v>-759.49576445772811</v>
      </c>
      <c r="AJ488">
        <f t="shared" si="393"/>
        <v>18000</v>
      </c>
      <c r="AK488">
        <f t="shared" si="394"/>
        <v>204525.22133736001</v>
      </c>
      <c r="AL488">
        <v>1</v>
      </c>
      <c r="AM488">
        <f t="shared" si="395"/>
        <v>352.23788119211997</v>
      </c>
      <c r="AN488">
        <f t="shared" ref="AN488:AN551" si="423">AJ488*AL488/(AL488^2+AM488^2)+AK488*AM488/(AL488^2+AM488^2)</f>
        <v>580.78555784343689</v>
      </c>
      <c r="AO488">
        <f t="shared" ref="AO488:AO551" si="424">AK488*AL488/(AL488^2+AM488^2)-AJ488*AM488/(AL488^2+AM488^2)</f>
        <v>-49.452984395666569</v>
      </c>
      <c r="AQ488">
        <f t="shared" si="396"/>
        <v>1.3319834125441669E-3</v>
      </c>
      <c r="AR488">
        <f t="shared" si="397"/>
        <v>-3.6496345503710175</v>
      </c>
      <c r="AT488">
        <f t="shared" si="418"/>
        <v>-2771.7421622864367</v>
      </c>
      <c r="AU488">
        <f t="shared" si="419"/>
        <v>-384.1199124446818</v>
      </c>
      <c r="AV488">
        <f t="shared" si="407"/>
        <v>-3.0038854792057728</v>
      </c>
      <c r="AW488">
        <f t="shared" si="408"/>
        <v>513.0350179590331</v>
      </c>
      <c r="AX488">
        <f t="shared" si="409"/>
        <v>-3061.9384032940252</v>
      </c>
      <c r="AY488">
        <f t="shared" si="417"/>
        <v>-1.4047860137591865</v>
      </c>
      <c r="BA488">
        <f t="shared" si="398"/>
        <v>0.90131196278614889</v>
      </c>
      <c r="BB488">
        <f t="shared" si="410"/>
        <v>-0.90249729324861416</v>
      </c>
      <c r="BC488">
        <f t="shared" si="411"/>
        <v>-1.5990994654465862</v>
      </c>
      <c r="BD488">
        <f t="shared" si="399"/>
        <v>-271.62165049640839</v>
      </c>
      <c r="BF488">
        <f t="shared" si="400"/>
        <v>-56.146684455968369</v>
      </c>
      <c r="BG488">
        <f t="shared" si="401"/>
        <v>-186.5826751288011</v>
      </c>
      <c r="BH488">
        <f t="shared" si="412"/>
        <v>-6.5826751288010996</v>
      </c>
      <c r="BI488">
        <f t="shared" si="413"/>
        <v>-6.5826751288010996</v>
      </c>
      <c r="BJ488">
        <f t="shared" si="402"/>
        <v>0</v>
      </c>
      <c r="BK488">
        <f t="shared" si="414"/>
        <v>0</v>
      </c>
      <c r="BM488">
        <f t="shared" si="415"/>
        <v>-55.244187162719747</v>
      </c>
      <c r="BN488">
        <f t="shared" si="403"/>
        <v>-94.961024632392693</v>
      </c>
      <c r="BQ488" s="56">
        <f t="shared" si="416"/>
        <v>15.999463507036522</v>
      </c>
    </row>
    <row r="489" spans="1:69" x14ac:dyDescent="0.25">
      <c r="A489">
        <f t="shared" si="420"/>
        <v>1375000</v>
      </c>
      <c r="B489">
        <f t="shared" si="404"/>
        <v>1375</v>
      </c>
      <c r="C489">
        <f t="shared" si="373"/>
        <v>11.44774169587631</v>
      </c>
      <c r="D489">
        <f t="shared" si="374"/>
        <v>1.4833313764946721</v>
      </c>
      <c r="F489">
        <f t="shared" si="375"/>
        <v>1.0031948270373995E-5</v>
      </c>
      <c r="G489">
        <f t="shared" si="376"/>
        <v>1.1919649342827588E-3</v>
      </c>
      <c r="H489">
        <f t="shared" si="377"/>
        <v>-3.1404006850657176</v>
      </c>
      <c r="J489">
        <f t="shared" si="378"/>
        <v>15</v>
      </c>
      <c r="M489">
        <f t="shared" si="379"/>
        <v>1.325876857430023E-3</v>
      </c>
      <c r="N489">
        <f t="shared" si="380"/>
        <v>-1.5707963250000001</v>
      </c>
      <c r="O489">
        <f t="shared" si="381"/>
        <v>227.39067487649098</v>
      </c>
      <c r="P489">
        <f t="shared" si="382"/>
        <v>1.5663985949006956</v>
      </c>
      <c r="Q489">
        <f t="shared" si="383"/>
        <v>353.52483523512211</v>
      </c>
      <c r="R489">
        <f t="shared" si="384"/>
        <v>1.5679676674366694</v>
      </c>
      <c r="S489">
        <f t="shared" si="385"/>
        <v>8.7353473424388928E-2</v>
      </c>
      <c r="T489">
        <f t="shared" si="386"/>
        <v>-1.4833313764946721</v>
      </c>
      <c r="U489">
        <f t="shared" si="387"/>
        <v>0.14077815898690207</v>
      </c>
      <c r="V489">
        <f t="shared" si="388"/>
        <v>-1.4295489694251247</v>
      </c>
      <c r="X489">
        <f t="shared" si="405"/>
        <v>-52.925848120118239</v>
      </c>
      <c r="Y489">
        <f t="shared" si="389"/>
        <v>-172.25286960345605</v>
      </c>
      <c r="Z489">
        <f t="shared" si="406"/>
        <v>7.7471303965439517</v>
      </c>
      <c r="AC489">
        <v>1</v>
      </c>
      <c r="AD489">
        <f t="shared" si="390"/>
        <v>227.38847600700001</v>
      </c>
      <c r="AE489">
        <f t="shared" si="391"/>
        <v>-0.29467431052879578</v>
      </c>
      <c r="AF489">
        <f t="shared" si="392"/>
        <v>4.1900991969374995E-2</v>
      </c>
      <c r="AG489">
        <f t="shared" si="421"/>
        <v>104.2247419647491</v>
      </c>
      <c r="AH489">
        <f t="shared" si="422"/>
        <v>-756.84017222509488</v>
      </c>
      <c r="AJ489">
        <f t="shared" si="393"/>
        <v>18000</v>
      </c>
      <c r="AK489">
        <f t="shared" si="394"/>
        <v>205271.66375100001</v>
      </c>
      <c r="AL489">
        <v>1</v>
      </c>
      <c r="AM489">
        <f t="shared" si="395"/>
        <v>353.52342090449997</v>
      </c>
      <c r="AN489">
        <f t="shared" si="423"/>
        <v>580.78453864223445</v>
      </c>
      <c r="AO489">
        <f t="shared" si="424"/>
        <v>-49.273158244481216</v>
      </c>
      <c r="AQ489">
        <f t="shared" si="396"/>
        <v>1.3223138747353554E-3</v>
      </c>
      <c r="AR489">
        <f t="shared" si="397"/>
        <v>-3.6363631555222273</v>
      </c>
      <c r="AT489">
        <f t="shared" si="418"/>
        <v>-2752.0078990760412</v>
      </c>
      <c r="AU489">
        <f t="shared" si="419"/>
        <v>-379.99979183511533</v>
      </c>
      <c r="AV489">
        <f t="shared" si="407"/>
        <v>-3.0043793917666139</v>
      </c>
      <c r="AW489">
        <f t="shared" si="408"/>
        <v>513.54194872203948</v>
      </c>
      <c r="AX489">
        <f t="shared" si="409"/>
        <v>-3050.9133143019826</v>
      </c>
      <c r="AY489">
        <f t="shared" si="417"/>
        <v>-1.4040355383994312</v>
      </c>
      <c r="BA489">
        <f t="shared" si="398"/>
        <v>0.89795413866694651</v>
      </c>
      <c r="BB489">
        <f t="shared" si="410"/>
        <v>-0.93491687094097919</v>
      </c>
      <c r="BC489">
        <f t="shared" si="411"/>
        <v>-1.6003438533671828</v>
      </c>
      <c r="BD489">
        <f t="shared" si="399"/>
        <v>-271.69294867241712</v>
      </c>
      <c r="BF489">
        <f t="shared" si="400"/>
        <v>-56.210989577773788</v>
      </c>
      <c r="BG489">
        <f t="shared" si="401"/>
        <v>-186.63602652268779</v>
      </c>
      <c r="BH489">
        <f t="shared" si="412"/>
        <v>-6.6360265226877857</v>
      </c>
      <c r="BI489">
        <f t="shared" si="413"/>
        <v>-6.6360265226877857</v>
      </c>
      <c r="BJ489">
        <f t="shared" si="402"/>
        <v>0</v>
      </c>
      <c r="BK489">
        <f t="shared" si="414"/>
        <v>0</v>
      </c>
      <c r="BM489">
        <f t="shared" si="415"/>
        <v>-55.276072706832807</v>
      </c>
      <c r="BN489">
        <f t="shared" si="403"/>
        <v>-94.943077850270683</v>
      </c>
      <c r="BQ489" s="56">
        <f t="shared" si="416"/>
        <v>15.967043929344158</v>
      </c>
    </row>
    <row r="490" spans="1:69" x14ac:dyDescent="0.25">
      <c r="A490">
        <f t="shared" si="420"/>
        <v>1380000</v>
      </c>
      <c r="B490">
        <f t="shared" si="404"/>
        <v>1380</v>
      </c>
      <c r="C490">
        <f t="shared" si="373"/>
        <v>11.489052769579203</v>
      </c>
      <c r="D490">
        <f t="shared" si="374"/>
        <v>1.4836466734412082</v>
      </c>
      <c r="F490">
        <f t="shared" si="375"/>
        <v>9.9593840116316321E-6</v>
      </c>
      <c r="G490">
        <f t="shared" si="376"/>
        <v>1.1876461381343721E-3</v>
      </c>
      <c r="H490">
        <f t="shared" si="377"/>
        <v>-3.1404050038618658</v>
      </c>
      <c r="J490">
        <f t="shared" si="378"/>
        <v>15</v>
      </c>
      <c r="M490">
        <f t="shared" si="379"/>
        <v>1.3210729557726678E-3</v>
      </c>
      <c r="N490">
        <f t="shared" si="380"/>
        <v>-1.5707963250000001</v>
      </c>
      <c r="O490">
        <f t="shared" si="381"/>
        <v>228.21753409512914</v>
      </c>
      <c r="P490">
        <f t="shared" si="382"/>
        <v>1.5664145285075819</v>
      </c>
      <c r="Q490">
        <f t="shared" si="383"/>
        <v>354.81036982313623</v>
      </c>
      <c r="R490">
        <f t="shared" si="384"/>
        <v>1.567977916148088</v>
      </c>
      <c r="S490">
        <f t="shared" si="385"/>
        <v>8.7039377401747803E-2</v>
      </c>
      <c r="T490">
        <f t="shared" si="386"/>
        <v>-1.4836466734412079</v>
      </c>
      <c r="U490">
        <f t="shared" si="387"/>
        <v>0.1402781481359629</v>
      </c>
      <c r="V490">
        <f t="shared" si="388"/>
        <v>-1.4300539917786463</v>
      </c>
      <c r="X490">
        <f t="shared" si="405"/>
        <v>-52.98828248295812</v>
      </c>
      <c r="Y490">
        <f t="shared" si="389"/>
        <v>-172.28055256535933</v>
      </c>
      <c r="Z490">
        <f t="shared" si="406"/>
        <v>7.7194474346406707</v>
      </c>
      <c r="AC490">
        <v>1</v>
      </c>
      <c r="AD490">
        <f t="shared" si="390"/>
        <v>228.21534319247999</v>
      </c>
      <c r="AE490">
        <f t="shared" si="391"/>
        <v>-0.29682129294335913</v>
      </c>
      <c r="AF490">
        <f t="shared" si="392"/>
        <v>4.2053359212900002E-2</v>
      </c>
      <c r="AG490">
        <f t="shared" si="421"/>
        <v>103.48569331042543</v>
      </c>
      <c r="AH490">
        <f t="shared" si="422"/>
        <v>-754.20270540031436</v>
      </c>
      <c r="AJ490">
        <f t="shared" si="393"/>
        <v>18000</v>
      </c>
      <c r="AK490">
        <f t="shared" si="394"/>
        <v>206018.10616464002</v>
      </c>
      <c r="AL490">
        <v>1</v>
      </c>
      <c r="AM490">
        <f t="shared" si="395"/>
        <v>354.80896061687997</v>
      </c>
      <c r="AN490">
        <f t="shared" si="423"/>
        <v>580.7835304991072</v>
      </c>
      <c r="AO490">
        <f t="shared" si="424"/>
        <v>-49.094635150181652</v>
      </c>
      <c r="AQ490">
        <f t="shared" si="396"/>
        <v>1.3127492500591721E-3</v>
      </c>
      <c r="AR490">
        <f t="shared" si="397"/>
        <v>-3.6231879301633154</v>
      </c>
      <c r="AT490">
        <f t="shared" si="418"/>
        <v>-2732.4822883366523</v>
      </c>
      <c r="AU490">
        <f t="shared" si="419"/>
        <v>-375.9381939828229</v>
      </c>
      <c r="AV490">
        <f t="shared" si="407"/>
        <v>-3.0048697980361321</v>
      </c>
      <c r="AW490">
        <f t="shared" si="408"/>
        <v>514.04315206423883</v>
      </c>
      <c r="AX490">
        <f t="shared" si="409"/>
        <v>-3039.9669686224224</v>
      </c>
      <c r="AY490">
        <f t="shared" si="417"/>
        <v>-1.4032859010829404</v>
      </c>
      <c r="BA490">
        <f t="shared" si="398"/>
        <v>0.89461990819801374</v>
      </c>
      <c r="BB490">
        <f t="shared" si="410"/>
        <v>-0.96722883186682773</v>
      </c>
      <c r="BC490">
        <f t="shared" si="411"/>
        <v>-1.6015838969531917</v>
      </c>
      <c r="BD490">
        <f t="shared" si="399"/>
        <v>-271.76399793638888</v>
      </c>
      <c r="BF490">
        <f t="shared" si="400"/>
        <v>-56.27506960492623</v>
      </c>
      <c r="BG490">
        <f t="shared" si="401"/>
        <v>-186.68925805110118</v>
      </c>
      <c r="BH490">
        <f t="shared" si="412"/>
        <v>-6.6892580511011772</v>
      </c>
      <c r="BI490">
        <f t="shared" si="413"/>
        <v>-6.6892580511011772</v>
      </c>
      <c r="BJ490">
        <f t="shared" si="402"/>
        <v>0</v>
      </c>
      <c r="BK490">
        <f t="shared" si="414"/>
        <v>0</v>
      </c>
      <c r="BM490">
        <f t="shared" si="415"/>
        <v>-55.30784077305939</v>
      </c>
      <c r="BN490">
        <f t="shared" si="403"/>
        <v>-94.925260114712302</v>
      </c>
      <c r="BQ490" s="56">
        <f t="shared" si="416"/>
        <v>15.93473196841831</v>
      </c>
    </row>
    <row r="491" spans="1:69" x14ac:dyDescent="0.25">
      <c r="A491">
        <f t="shared" si="420"/>
        <v>1385000</v>
      </c>
      <c r="B491">
        <f t="shared" si="404"/>
        <v>1385</v>
      </c>
      <c r="C491">
        <f t="shared" si="373"/>
        <v>11.53036497724942</v>
      </c>
      <c r="D491">
        <f t="shared" si="374"/>
        <v>1.4839597110603735</v>
      </c>
      <c r="F491">
        <f t="shared" si="375"/>
        <v>9.8876042376361074E-6</v>
      </c>
      <c r="G491">
        <f t="shared" si="376"/>
        <v>1.1833585255196107E-3</v>
      </c>
      <c r="H491">
        <f t="shared" si="377"/>
        <v>-3.1404092914744806</v>
      </c>
      <c r="J491">
        <f t="shared" si="378"/>
        <v>15</v>
      </c>
      <c r="M491">
        <f t="shared" si="379"/>
        <v>1.3163037393258349E-3</v>
      </c>
      <c r="N491">
        <f t="shared" si="380"/>
        <v>-1.5707963250000001</v>
      </c>
      <c r="O491">
        <f t="shared" si="381"/>
        <v>229.04439337128883</v>
      </c>
      <c r="P491">
        <f t="shared" si="382"/>
        <v>1.5664303470725762</v>
      </c>
      <c r="Q491">
        <f t="shared" si="383"/>
        <v>356.0959044481491</v>
      </c>
      <c r="R491">
        <f t="shared" si="384"/>
        <v>1.5679880908621757</v>
      </c>
      <c r="S491">
        <f t="shared" si="385"/>
        <v>8.6727523540937504E-2</v>
      </c>
      <c r="T491">
        <f t="shared" si="386"/>
        <v>-1.4839597110603735</v>
      </c>
      <c r="U491">
        <f t="shared" si="387"/>
        <v>0.13978164128250051</v>
      </c>
      <c r="V491">
        <f t="shared" si="388"/>
        <v>-1.4305554392611628</v>
      </c>
      <c r="X491">
        <f t="shared" si="405"/>
        <v>-53.050495423824202</v>
      </c>
      <c r="Y491">
        <f t="shared" si="389"/>
        <v>-172.30803974670633</v>
      </c>
      <c r="Z491">
        <f t="shared" si="406"/>
        <v>7.6919602532936722</v>
      </c>
      <c r="AC491">
        <v>1</v>
      </c>
      <c r="AD491">
        <f t="shared" si="390"/>
        <v>229.04221037795998</v>
      </c>
      <c r="AE491">
        <f t="shared" si="391"/>
        <v>-0.29897606839753998</v>
      </c>
      <c r="AF491">
        <f t="shared" si="392"/>
        <v>4.2205726456425001E-2</v>
      </c>
      <c r="AG491">
        <f t="shared" si="421"/>
        <v>102.75442581235613</v>
      </c>
      <c r="AH491">
        <f t="shared" si="422"/>
        <v>-751.58318321034415</v>
      </c>
      <c r="AJ491">
        <f t="shared" si="393"/>
        <v>18000</v>
      </c>
      <c r="AK491">
        <f t="shared" si="394"/>
        <v>206764.54857828</v>
      </c>
      <c r="AL491">
        <v>1</v>
      </c>
      <c r="AM491">
        <f t="shared" si="395"/>
        <v>356.09450032925997</v>
      </c>
      <c r="AN491">
        <f t="shared" si="423"/>
        <v>580.78253325466198</v>
      </c>
      <c r="AO491">
        <f t="shared" si="424"/>
        <v>-48.917401000686041</v>
      </c>
      <c r="AQ491">
        <f t="shared" si="396"/>
        <v>1.3032880262628178E-3</v>
      </c>
      <c r="AR491">
        <f t="shared" si="397"/>
        <v>-3.610107832748005</v>
      </c>
      <c r="AT491">
        <f t="shared" si="418"/>
        <v>-2713.1624180565354</v>
      </c>
      <c r="AU491">
        <f t="shared" si="419"/>
        <v>-371.93408683812919</v>
      </c>
      <c r="AV491">
        <f t="shared" si="407"/>
        <v>-3.0053567349637382</v>
      </c>
      <c r="AW491">
        <f t="shared" si="408"/>
        <v>514.53871452004</v>
      </c>
      <c r="AX491">
        <f t="shared" si="409"/>
        <v>-3029.0985293748327</v>
      </c>
      <c r="AY491">
        <f t="shared" si="417"/>
        <v>-1.4025370941755622</v>
      </c>
      <c r="BA491">
        <f t="shared" si="398"/>
        <v>0.89130902156495151</v>
      </c>
      <c r="BB491">
        <f t="shared" si="410"/>
        <v>-0.99943395309572747</v>
      </c>
      <c r="BC491">
        <f t="shared" si="411"/>
        <v>-1.6028196407881761</v>
      </c>
      <c r="BD491">
        <f t="shared" si="399"/>
        <v>-271.83480084277369</v>
      </c>
      <c r="BF491">
        <f t="shared" si="400"/>
        <v>-56.338926182842172</v>
      </c>
      <c r="BG491">
        <f t="shared" si="401"/>
        <v>-186.7423708851658</v>
      </c>
      <c r="BH491">
        <f t="shared" si="412"/>
        <v>-6.7423708851657977</v>
      </c>
      <c r="BI491">
        <f t="shared" si="413"/>
        <v>-6.7423708851657977</v>
      </c>
      <c r="BJ491">
        <f t="shared" si="402"/>
        <v>0</v>
      </c>
      <c r="BK491">
        <f t="shared" si="414"/>
        <v>0</v>
      </c>
      <c r="BM491">
        <f t="shared" si="415"/>
        <v>-55.339492229746448</v>
      </c>
      <c r="BN491">
        <f t="shared" si="403"/>
        <v>-94.907570042392123</v>
      </c>
      <c r="BQ491" s="56">
        <f t="shared" si="416"/>
        <v>15.902526847189408</v>
      </c>
    </row>
    <row r="492" spans="1:69" x14ac:dyDescent="0.25">
      <c r="A492">
        <f t="shared" si="420"/>
        <v>1390000</v>
      </c>
      <c r="B492">
        <f t="shared" si="404"/>
        <v>1390</v>
      </c>
      <c r="C492">
        <f t="shared" si="373"/>
        <v>11.571678306741779</v>
      </c>
      <c r="D492">
        <f t="shared" si="374"/>
        <v>1.4842705134893113</v>
      </c>
      <c r="F492">
        <f t="shared" si="375"/>
        <v>9.8165976809899768E-6</v>
      </c>
      <c r="G492">
        <f t="shared" si="376"/>
        <v>1.1791017599127843E-3</v>
      </c>
      <c r="H492">
        <f t="shared" si="377"/>
        <v>-3.1404135482400872</v>
      </c>
      <c r="J492">
        <f t="shared" si="378"/>
        <v>15</v>
      </c>
      <c r="M492">
        <f t="shared" si="379"/>
        <v>1.3115688337886919E-3</v>
      </c>
      <c r="N492">
        <f t="shared" si="380"/>
        <v>-1.5707963250000001</v>
      </c>
      <c r="O492">
        <f t="shared" si="381"/>
        <v>229.87125270434927</v>
      </c>
      <c r="P492">
        <f t="shared" si="382"/>
        <v>1.5664460518371062</v>
      </c>
      <c r="Q492">
        <f t="shared" si="383"/>
        <v>357.38143910976152</v>
      </c>
      <c r="R492">
        <f t="shared" si="384"/>
        <v>1.5679981923774566</v>
      </c>
      <c r="S492">
        <f t="shared" si="385"/>
        <v>8.6417888010020982E-2</v>
      </c>
      <c r="T492">
        <f t="shared" si="386"/>
        <v>-1.4842705134893113</v>
      </c>
      <c r="U492">
        <f t="shared" si="387"/>
        <v>0.13928860209626995</v>
      </c>
      <c r="V492">
        <f t="shared" si="388"/>
        <v>-1.431053349447114</v>
      </c>
      <c r="X492">
        <f t="shared" si="405"/>
        <v>-53.112488492677954</v>
      </c>
      <c r="Y492">
        <f t="shared" si="389"/>
        <v>-172.33533320275461</v>
      </c>
      <c r="Z492">
        <f t="shared" si="406"/>
        <v>7.6646667972453884</v>
      </c>
      <c r="AC492">
        <v>1</v>
      </c>
      <c r="AD492">
        <f t="shared" si="390"/>
        <v>229.86907756344002</v>
      </c>
      <c r="AE492">
        <f t="shared" si="391"/>
        <v>-0.30113863689133807</v>
      </c>
      <c r="AF492">
        <f t="shared" si="392"/>
        <v>4.235809369995E-2</v>
      </c>
      <c r="AG492">
        <f t="shared" si="421"/>
        <v>102.03083134973799</v>
      </c>
      <c r="AH492">
        <f t="shared" si="422"/>
        <v>-748.98142721629506</v>
      </c>
      <c r="AJ492">
        <f t="shared" si="393"/>
        <v>18000</v>
      </c>
      <c r="AK492">
        <f t="shared" si="394"/>
        <v>207510.99099192003</v>
      </c>
      <c r="AL492">
        <v>1</v>
      </c>
      <c r="AM492">
        <f t="shared" si="395"/>
        <v>357.38004004163997</v>
      </c>
      <c r="AN492">
        <f t="shared" si="423"/>
        <v>580.7815467523684</v>
      </c>
      <c r="AO492">
        <f t="shared" si="424"/>
        <v>-48.741441886956082</v>
      </c>
      <c r="AQ492">
        <f t="shared" si="396"/>
        <v>1.2939287182432693E-3</v>
      </c>
      <c r="AR492">
        <f t="shared" si="397"/>
        <v>-3.5971218367162883</v>
      </c>
      <c r="AT492">
        <f t="shared" si="418"/>
        <v>-2694.0454265118365</v>
      </c>
      <c r="AU492">
        <f t="shared" si="419"/>
        <v>-367.98646004456538</v>
      </c>
      <c r="AV492">
        <f t="shared" si="407"/>
        <v>-3.0058402389850998</v>
      </c>
      <c r="AW492">
        <f t="shared" si="408"/>
        <v>515.02872098738339</v>
      </c>
      <c r="AX492">
        <f t="shared" si="409"/>
        <v>-3018.307171446766</v>
      </c>
      <c r="AY492">
        <f t="shared" si="417"/>
        <v>-1.4017891101756776</v>
      </c>
      <c r="BA492">
        <f t="shared" si="398"/>
        <v>0.88802123245480669</v>
      </c>
      <c r="BB492">
        <f t="shared" si="410"/>
        <v>-1.0315330036234547</v>
      </c>
      <c r="BC492">
        <f t="shared" si="411"/>
        <v>-1.6040511288094221</v>
      </c>
      <c r="BD492">
        <f t="shared" si="399"/>
        <v>-271.90535990899264</v>
      </c>
      <c r="BF492">
        <f t="shared" si="400"/>
        <v>-56.402560939213522</v>
      </c>
      <c r="BG492">
        <f t="shared" si="401"/>
        <v>-186.79536617862777</v>
      </c>
      <c r="BH492">
        <f t="shared" si="412"/>
        <v>-6.7953661786277735</v>
      </c>
      <c r="BI492">
        <f t="shared" si="413"/>
        <v>-6.7953661786277735</v>
      </c>
      <c r="BJ492">
        <f t="shared" si="402"/>
        <v>0</v>
      </c>
      <c r="BK492">
        <f t="shared" si="414"/>
        <v>0</v>
      </c>
      <c r="BM492">
        <f t="shared" si="415"/>
        <v>-55.371027935590071</v>
      </c>
      <c r="BN492">
        <f t="shared" si="403"/>
        <v>-94.890006269635123</v>
      </c>
      <c r="BQ492" s="56">
        <f t="shared" si="416"/>
        <v>15.870427796661682</v>
      </c>
    </row>
    <row r="493" spans="1:69" x14ac:dyDescent="0.25">
      <c r="A493">
        <f t="shared" si="420"/>
        <v>1395000</v>
      </c>
      <c r="B493">
        <f t="shared" si="404"/>
        <v>1395</v>
      </c>
      <c r="C493">
        <f t="shared" si="373"/>
        <v>11.6129927460836</v>
      </c>
      <c r="D493">
        <f t="shared" si="374"/>
        <v>1.4845791045234231</v>
      </c>
      <c r="F493">
        <f t="shared" si="375"/>
        <v>9.7463532758616481E-6</v>
      </c>
      <c r="G493">
        <f t="shared" si="376"/>
        <v>1.1748755096131725E-3</v>
      </c>
      <c r="H493">
        <f t="shared" si="377"/>
        <v>-3.1404177744903872</v>
      </c>
      <c r="J493">
        <f t="shared" si="378"/>
        <v>15</v>
      </c>
      <c r="M493">
        <f t="shared" si="379"/>
        <v>1.3068678702267251E-3</v>
      </c>
      <c r="N493">
        <f t="shared" si="380"/>
        <v>-1.5707963250000001</v>
      </c>
      <c r="O493">
        <f t="shared" si="381"/>
        <v>230.69811209369868</v>
      </c>
      <c r="P493">
        <f t="shared" si="382"/>
        <v>1.5664616440248016</v>
      </c>
      <c r="Q493">
        <f t="shared" si="383"/>
        <v>358.66697380758001</v>
      </c>
      <c r="R493">
        <f t="shared" si="384"/>
        <v>1.5680082214810067</v>
      </c>
      <c r="S493">
        <f t="shared" si="385"/>
        <v>8.6110447312321203E-2</v>
      </c>
      <c r="T493">
        <f t="shared" si="386"/>
        <v>-1.4845791045234231</v>
      </c>
      <c r="U493">
        <f t="shared" si="387"/>
        <v>0.13879899474223076</v>
      </c>
      <c r="V493">
        <f t="shared" si="388"/>
        <v>-1.4315477593897064</v>
      </c>
      <c r="X493">
        <f t="shared" si="405"/>
        <v>-53.174263223418649</v>
      </c>
      <c r="Y493">
        <f t="shared" si="389"/>
        <v>-172.36243496029675</v>
      </c>
      <c r="Z493">
        <f t="shared" si="406"/>
        <v>7.6375650397032473</v>
      </c>
      <c r="AC493">
        <v>1</v>
      </c>
      <c r="AD493">
        <f t="shared" si="390"/>
        <v>230.69594474892003</v>
      </c>
      <c r="AE493">
        <f t="shared" si="391"/>
        <v>-0.30330899842475351</v>
      </c>
      <c r="AF493">
        <f t="shared" si="392"/>
        <v>4.2510460943474999E-2</v>
      </c>
      <c r="AG493">
        <f t="shared" si="421"/>
        <v>101.31480366039335</v>
      </c>
      <c r="AH493">
        <f t="shared" si="422"/>
        <v>-746.39726127704319</v>
      </c>
      <c r="AJ493">
        <f t="shared" si="393"/>
        <v>18000</v>
      </c>
      <c r="AK493">
        <f t="shared" si="394"/>
        <v>208257.43340556</v>
      </c>
      <c r="AL493">
        <v>1</v>
      </c>
      <c r="AM493">
        <f t="shared" si="395"/>
        <v>358.66557975401997</v>
      </c>
      <c r="AN493">
        <f t="shared" si="423"/>
        <v>580.78057083849467</v>
      </c>
      <c r="AO493">
        <f t="shared" si="424"/>
        <v>-48.566744099358388</v>
      </c>
      <c r="AQ493">
        <f t="shared" si="396"/>
        <v>1.2846698674644638E-3</v>
      </c>
      <c r="AR493">
        <f t="shared" si="397"/>
        <v>-3.5842289302258541</v>
      </c>
      <c r="AT493">
        <f t="shared" si="418"/>
        <v>-2675.1285012351332</v>
      </c>
      <c r="AU493">
        <f t="shared" si="419"/>
        <v>-364.09432441045476</v>
      </c>
      <c r="AV493">
        <f t="shared" si="407"/>
        <v>-3.0063203460309782</v>
      </c>
      <c r="AW493">
        <f t="shared" si="408"/>
        <v>515.51325476486852</v>
      </c>
      <c r="AX493">
        <f t="shared" si="409"/>
        <v>-3007.5920812884956</v>
      </c>
      <c r="AY493">
        <f t="shared" si="417"/>
        <v>-1.4010419417114792</v>
      </c>
      <c r="BA493">
        <f t="shared" si="398"/>
        <v>0.88475629799532962</v>
      </c>
      <c r="BB493">
        <f t="shared" si="410"/>
        <v>-1.0635267444812599</v>
      </c>
      <c r="BC493">
        <f t="shared" si="411"/>
        <v>-1.605278404319499</v>
      </c>
      <c r="BD493">
        <f t="shared" si="399"/>
        <v>-271.97567761610014</v>
      </c>
      <c r="BF493">
        <f t="shared" si="400"/>
        <v>-56.465975484260056</v>
      </c>
      <c r="BG493">
        <f t="shared" si="401"/>
        <v>-186.84824506817051</v>
      </c>
      <c r="BH493">
        <f t="shared" si="412"/>
        <v>-6.8482450681705132</v>
      </c>
      <c r="BI493">
        <f t="shared" si="413"/>
        <v>-6.8482450681705132</v>
      </c>
      <c r="BJ493">
        <f t="shared" si="402"/>
        <v>0</v>
      </c>
      <c r="BK493">
        <f t="shared" si="414"/>
        <v>0</v>
      </c>
      <c r="BM493">
        <f t="shared" si="415"/>
        <v>-55.402448739778805</v>
      </c>
      <c r="BN493">
        <f t="shared" si="403"/>
        <v>-94.872567452070385</v>
      </c>
      <c r="BQ493" s="56">
        <f t="shared" si="416"/>
        <v>15.838434055803878</v>
      </c>
    </row>
    <row r="494" spans="1:69" x14ac:dyDescent="0.25">
      <c r="A494">
        <f t="shared" si="420"/>
        <v>1400000</v>
      </c>
      <c r="B494">
        <f t="shared" si="404"/>
        <v>1400</v>
      </c>
      <c r="C494">
        <f t="shared" si="373"/>
        <v>11.654308283471664</v>
      </c>
      <c r="D494">
        <f t="shared" si="374"/>
        <v>1.4848855076223828</v>
      </c>
      <c r="F494">
        <f t="shared" si="375"/>
        <v>9.6768601536737514E-6</v>
      </c>
      <c r="G494">
        <f t="shared" si="376"/>
        <v>1.1706794476588579E-3</v>
      </c>
      <c r="H494">
        <f t="shared" si="377"/>
        <v>-3.1404219705523415</v>
      </c>
      <c r="J494">
        <f t="shared" si="378"/>
        <v>15</v>
      </c>
      <c r="M494">
        <f t="shared" si="379"/>
        <v>1.3022004849759154E-3</v>
      </c>
      <c r="N494">
        <f t="shared" si="380"/>
        <v>-1.5707963250000001</v>
      </c>
      <c r="O494">
        <f t="shared" si="381"/>
        <v>231.52497153873392</v>
      </c>
      <c r="P494">
        <f t="shared" si="382"/>
        <v>1.5664771248418132</v>
      </c>
      <c r="Q494">
        <f t="shared" si="383"/>
        <v>359.9525085412165</v>
      </c>
      <c r="R494">
        <f t="shared" si="384"/>
        <v>1.5680181789486578</v>
      </c>
      <c r="S494">
        <f t="shared" si="385"/>
        <v>8.5805178280569175E-2</v>
      </c>
      <c r="T494">
        <f t="shared" si="386"/>
        <v>-1.4848855076223828</v>
      </c>
      <c r="U494">
        <f t="shared" si="387"/>
        <v>0.13831278387223214</v>
      </c>
      <c r="V494">
        <f t="shared" si="388"/>
        <v>-1.432038705629858</v>
      </c>
      <c r="X494">
        <f t="shared" si="405"/>
        <v>-53.23582113410243</v>
      </c>
      <c r="Y494">
        <f t="shared" si="389"/>
        <v>-172.38934701814733</v>
      </c>
      <c r="Z494">
        <f t="shared" si="406"/>
        <v>7.6106529818526667</v>
      </c>
      <c r="AC494">
        <v>1</v>
      </c>
      <c r="AD494">
        <f t="shared" si="390"/>
        <v>231.52281193440001</v>
      </c>
      <c r="AE494">
        <f t="shared" si="391"/>
        <v>-0.30548715299778617</v>
      </c>
      <c r="AF494">
        <f t="shared" si="392"/>
        <v>4.2662828186999999E-2</v>
      </c>
      <c r="AG494">
        <f t="shared" si="421"/>
        <v>100.60623830283127</v>
      </c>
      <c r="AH494">
        <f t="shared" si="422"/>
        <v>-743.83051151349946</v>
      </c>
      <c r="AJ494">
        <f t="shared" si="393"/>
        <v>18000</v>
      </c>
      <c r="AK494">
        <f t="shared" si="394"/>
        <v>209003.87581920001</v>
      </c>
      <c r="AL494">
        <v>1</v>
      </c>
      <c r="AM494">
        <f t="shared" si="395"/>
        <v>359.95111946639997</v>
      </c>
      <c r="AN494">
        <f t="shared" si="423"/>
        <v>580.77960536205057</v>
      </c>
      <c r="AO494">
        <f t="shared" si="424"/>
        <v>-48.393294124103889</v>
      </c>
      <c r="AQ494">
        <f t="shared" si="396"/>
        <v>1.2755100413890253E-3</v>
      </c>
      <c r="AR494">
        <f t="shared" si="397"/>
        <v>-3.5714281158892711</v>
      </c>
      <c r="AT494">
        <f t="shared" si="418"/>
        <v>-2656.4088780084285</v>
      </c>
      <c r="AU494">
        <f t="shared" si="419"/>
        <v>-360.25671139511473</v>
      </c>
      <c r="AV494">
        <f t="shared" si="407"/>
        <v>-3.0067970915358795</v>
      </c>
      <c r="AW494">
        <f t="shared" si="408"/>
        <v>515.99239758790577</v>
      </c>
      <c r="AX494">
        <f t="shared" si="409"/>
        <v>-2996.9524567119693</v>
      </c>
      <c r="AY494">
        <f t="shared" si="417"/>
        <v>-1.4002955815383145</v>
      </c>
      <c r="BA494">
        <f t="shared" si="398"/>
        <v>0.88151397869548032</v>
      </c>
      <c r="BB494">
        <f t="shared" si="410"/>
        <v>-1.0954159288433516</v>
      </c>
      <c r="BC494">
        <f t="shared" si="411"/>
        <v>-1.606501509997565</v>
      </c>
      <c r="BD494">
        <f t="shared" si="399"/>
        <v>-272.04575640943193</v>
      </c>
      <c r="BF494">
        <f t="shared" si="400"/>
        <v>-56.529171410977533</v>
      </c>
      <c r="BG494">
        <f t="shared" si="401"/>
        <v>-186.90100867372294</v>
      </c>
      <c r="BH494">
        <f t="shared" si="412"/>
        <v>-6.9010086737229415</v>
      </c>
      <c r="BI494">
        <f t="shared" si="413"/>
        <v>-6.9010086737229415</v>
      </c>
      <c r="BJ494">
        <f t="shared" si="402"/>
        <v>0</v>
      </c>
      <c r="BK494">
        <f t="shared" si="414"/>
        <v>0</v>
      </c>
      <c r="BM494">
        <f t="shared" si="415"/>
        <v>-55.433755482134188</v>
      </c>
      <c r="BN494">
        <f t="shared" si="403"/>
        <v>-94.855252264291025</v>
      </c>
      <c r="BQ494" s="56">
        <f t="shared" si="416"/>
        <v>15.806544871441785</v>
      </c>
    </row>
    <row r="495" spans="1:69" x14ac:dyDescent="0.25">
      <c r="A495">
        <f t="shared" si="420"/>
        <v>1405000</v>
      </c>
      <c r="B495">
        <f t="shared" si="404"/>
        <v>1405</v>
      </c>
      <c r="C495">
        <f t="shared" si="373"/>
        <v>11.695624907269213</v>
      </c>
      <c r="D495">
        <f t="shared" si="374"/>
        <v>1.4851897459160204</v>
      </c>
      <c r="F495">
        <f t="shared" si="375"/>
        <v>9.6081076388987387E-6</v>
      </c>
      <c r="G495">
        <f t="shared" si="376"/>
        <v>1.1665132517424002E-3</v>
      </c>
      <c r="H495">
        <f t="shared" si="377"/>
        <v>-3.1404261367482578</v>
      </c>
      <c r="J495">
        <f t="shared" si="378"/>
        <v>15</v>
      </c>
      <c r="M495">
        <f t="shared" si="379"/>
        <v>1.2975663195489548E-3</v>
      </c>
      <c r="N495">
        <f t="shared" si="380"/>
        <v>-1.5707963250000001</v>
      </c>
      <c r="O495">
        <f t="shared" si="381"/>
        <v>232.35183103886058</v>
      </c>
      <c r="P495">
        <f t="shared" si="382"/>
        <v>1.566492495477122</v>
      </c>
      <c r="Q495">
        <f t="shared" si="383"/>
        <v>361.23804331028873</v>
      </c>
      <c r="R495">
        <f t="shared" si="384"/>
        <v>1.5680280655451979</v>
      </c>
      <c r="S495">
        <f t="shared" si="385"/>
        <v>8.550205807117392E-2</v>
      </c>
      <c r="T495">
        <f t="shared" si="386"/>
        <v>-1.4851897459160204</v>
      </c>
      <c r="U495">
        <f t="shared" si="387"/>
        <v>0.13782993461686355</v>
      </c>
      <c r="V495">
        <f t="shared" si="388"/>
        <v>-1.4325262242049626</v>
      </c>
      <c r="X495">
        <f t="shared" si="405"/>
        <v>-53.297163727157638</v>
      </c>
      <c r="Y495">
        <f t="shared" si="389"/>
        <v>-172.41607134762108</v>
      </c>
      <c r="Z495">
        <f t="shared" si="406"/>
        <v>7.5839286523789156</v>
      </c>
      <c r="AC495">
        <v>1</v>
      </c>
      <c r="AD495">
        <f t="shared" si="390"/>
        <v>232.34967911987999</v>
      </c>
      <c r="AE495">
        <f t="shared" si="391"/>
        <v>-0.30767310061043612</v>
      </c>
      <c r="AF495">
        <f t="shared" si="392"/>
        <v>4.2815195430524998E-2</v>
      </c>
      <c r="AG495">
        <f t="shared" si="421"/>
        <v>99.905032619202146</v>
      </c>
      <c r="AH495">
        <f t="shared" si="422"/>
        <v>-741.28100627351296</v>
      </c>
      <c r="AJ495">
        <f t="shared" si="393"/>
        <v>18000</v>
      </c>
      <c r="AK495">
        <f t="shared" si="394"/>
        <v>209750.31823284004</v>
      </c>
      <c r="AL495">
        <v>1</v>
      </c>
      <c r="AM495">
        <f t="shared" si="395"/>
        <v>361.23665917877997</v>
      </c>
      <c r="AN495">
        <f t="shared" si="423"/>
        <v>580.7786501747272</v>
      </c>
      <c r="AO495">
        <f t="shared" si="424"/>
        <v>-48.221078639763164</v>
      </c>
      <c r="AQ495">
        <f t="shared" si="396"/>
        <v>1.2664478329241229E-3</v>
      </c>
      <c r="AR495">
        <f t="shared" si="397"/>
        <v>-3.5587184105167853</v>
      </c>
      <c r="AT495">
        <f t="shared" si="418"/>
        <v>-2637.8838398799003</v>
      </c>
      <c r="AU495">
        <f t="shared" si="419"/>
        <v>-356.47267260921751</v>
      </c>
      <c r="AV495">
        <f t="shared" si="407"/>
        <v>-3.0072705104465358</v>
      </c>
      <c r="AW495">
        <f t="shared" si="408"/>
        <v>516.4662296639118</v>
      </c>
      <c r="AX495">
        <f t="shared" si="409"/>
        <v>-2986.3875066939027</v>
      </c>
      <c r="AY495">
        <f t="shared" si="417"/>
        <v>-1.3995500225360955</v>
      </c>
      <c r="BA495">
        <f t="shared" si="398"/>
        <v>0.87829403838716003</v>
      </c>
      <c r="BB495">
        <f t="shared" si="410"/>
        <v>-1.1272013021325682</v>
      </c>
      <c r="BC495">
        <f t="shared" si="411"/>
        <v>-1.6077204879104403</v>
      </c>
      <c r="BD495">
        <f t="shared" si="399"/>
        <v>-272.11559869923911</v>
      </c>
      <c r="BF495">
        <f t="shared" si="400"/>
        <v>-56.592150295381302</v>
      </c>
      <c r="BG495">
        <f t="shared" si="401"/>
        <v>-186.95365809876145</v>
      </c>
      <c r="BH495">
        <f t="shared" si="412"/>
        <v>-6.9536580987614514</v>
      </c>
      <c r="BI495">
        <f t="shared" si="413"/>
        <v>-6.9536580987614514</v>
      </c>
      <c r="BJ495">
        <f t="shared" si="402"/>
        <v>0</v>
      </c>
      <c r="BK495">
        <f t="shared" si="414"/>
        <v>0</v>
      </c>
      <c r="BM495">
        <f t="shared" si="415"/>
        <v>-55.464948993248733</v>
      </c>
      <c r="BN495">
        <f t="shared" si="403"/>
        <v>-94.838059399522308</v>
      </c>
      <c r="BQ495" s="56">
        <f t="shared" si="416"/>
        <v>15.774759498152569</v>
      </c>
    </row>
    <row r="496" spans="1:69" x14ac:dyDescent="0.25">
      <c r="A496">
        <f t="shared" si="420"/>
        <v>1410000</v>
      </c>
      <c r="B496">
        <f t="shared" si="404"/>
        <v>1410</v>
      </c>
      <c r="C496">
        <f t="shared" si="373"/>
        <v>11.736942606003046</v>
      </c>
      <c r="D496">
        <f t="shared" si="374"/>
        <v>1.4854918422100849</v>
      </c>
      <c r="F496">
        <f t="shared" si="375"/>
        <v>9.5400852449586344E-6</v>
      </c>
      <c r="G496">
        <f t="shared" si="376"/>
        <v>1.1623766041283074E-3</v>
      </c>
      <c r="H496">
        <f t="shared" si="377"/>
        <v>-3.140430273395872</v>
      </c>
      <c r="J496">
        <f t="shared" si="378"/>
        <v>15</v>
      </c>
      <c r="M496">
        <f t="shared" si="379"/>
        <v>1.2929650205434622E-3</v>
      </c>
      <c r="N496">
        <f t="shared" si="380"/>
        <v>-1.5707963250000001</v>
      </c>
      <c r="O496">
        <f t="shared" si="381"/>
        <v>233.17869059349249</v>
      </c>
      <c r="P496">
        <f t="shared" si="382"/>
        <v>1.5665077571028447</v>
      </c>
      <c r="Q496">
        <f t="shared" si="383"/>
        <v>362.52357811441965</v>
      </c>
      <c r="R496">
        <f t="shared" si="384"/>
        <v>1.5680378820245675</v>
      </c>
      <c r="S496">
        <f t="shared" si="385"/>
        <v>8.5201064158610965E-2</v>
      </c>
      <c r="T496">
        <f t="shared" si="386"/>
        <v>-1.4854918422100849</v>
      </c>
      <c r="U496">
        <f t="shared" si="387"/>
        <v>0.13735041257746619</v>
      </c>
      <c r="V496">
        <f t="shared" si="388"/>
        <v>-1.4330103506574736</v>
      </c>
      <c r="X496">
        <f t="shared" si="405"/>
        <v>-53.358292489596586</v>
      </c>
      <c r="Y496">
        <f t="shared" si="389"/>
        <v>-172.44260989300057</v>
      </c>
      <c r="Z496">
        <f t="shared" si="406"/>
        <v>7.5573901069994349</v>
      </c>
      <c r="AC496">
        <v>1</v>
      </c>
      <c r="AD496">
        <f t="shared" si="390"/>
        <v>233.17654630536001</v>
      </c>
      <c r="AE496">
        <f t="shared" si="391"/>
        <v>-0.30986684126270342</v>
      </c>
      <c r="AF496">
        <f t="shared" si="392"/>
        <v>4.2967562674049997E-2</v>
      </c>
      <c r="AG496">
        <f t="shared" si="421"/>
        <v>99.211085699122307</v>
      </c>
      <c r="AH496">
        <f t="shared" si="422"/>
        <v>-738.74857609740377</v>
      </c>
      <c r="AJ496">
        <f t="shared" si="393"/>
        <v>18000</v>
      </c>
      <c r="AK496">
        <f t="shared" si="394"/>
        <v>210496.76064648002</v>
      </c>
      <c r="AL496">
        <v>1</v>
      </c>
      <c r="AM496">
        <f t="shared" si="395"/>
        <v>362.52219889115997</v>
      </c>
      <c r="AN496">
        <f t="shared" si="423"/>
        <v>580.77770513084022</v>
      </c>
      <c r="AO496">
        <f t="shared" si="424"/>
        <v>-48.050084513856028</v>
      </c>
      <c r="AQ496">
        <f t="shared" si="396"/>
        <v>1.2574818598810598E-3</v>
      </c>
      <c r="AR496">
        <f t="shared" si="397"/>
        <v>-3.5460988448645887</v>
      </c>
      <c r="AT496">
        <f t="shared" si="418"/>
        <v>-2619.5507162037975</v>
      </c>
      <c r="AU496">
        <f t="shared" si="419"/>
        <v>-352.74127932887478</v>
      </c>
      <c r="AV496">
        <f t="shared" si="407"/>
        <v>-3.0077406372302078</v>
      </c>
      <c r="AW496">
        <f t="shared" si="408"/>
        <v>516.9348297065842</v>
      </c>
      <c r="AX496">
        <f t="shared" si="409"/>
        <v>-2975.8964511829563</v>
      </c>
      <c r="AY496">
        <f t="shared" si="417"/>
        <v>-1.39880525770677</v>
      </c>
      <c r="BA496">
        <f t="shared" si="398"/>
        <v>0.87509624416813436</v>
      </c>
      <c r="BB496">
        <f t="shared" si="410"/>
        <v>-1.1588836021243212</v>
      </c>
      <c r="BC496">
        <f t="shared" si="411"/>
        <v>-1.6089353795234378</v>
      </c>
      <c r="BD496">
        <f t="shared" si="399"/>
        <v>-272.18520686130927</v>
      </c>
      <c r="BF496">
        <f t="shared" si="400"/>
        <v>-56.654913696745723</v>
      </c>
      <c r="BG496">
        <f t="shared" si="401"/>
        <v>-187.00619443060526</v>
      </c>
      <c r="BH496">
        <f t="shared" si="412"/>
        <v>-7.0061944306052624</v>
      </c>
      <c r="BI496">
        <f t="shared" si="413"/>
        <v>-7.0061944306052624</v>
      </c>
      <c r="BJ496">
        <f t="shared" si="402"/>
        <v>0</v>
      </c>
      <c r="BK496">
        <f t="shared" si="414"/>
        <v>0</v>
      </c>
      <c r="BM496">
        <f t="shared" si="415"/>
        <v>-55.496030094621403</v>
      </c>
      <c r="BN496">
        <f t="shared" si="403"/>
        <v>-94.820987569295994</v>
      </c>
      <c r="BQ496" s="56">
        <f t="shared" si="416"/>
        <v>15.743077198160815</v>
      </c>
    </row>
    <row r="497" spans="1:69" x14ac:dyDescent="0.25">
      <c r="A497">
        <f t="shared" si="420"/>
        <v>1415000</v>
      </c>
      <c r="B497">
        <f t="shared" si="404"/>
        <v>1415</v>
      </c>
      <c r="C497">
        <f t="shared" si="373"/>
        <v>11.778261368360653</v>
      </c>
      <c r="D497">
        <f t="shared" si="374"/>
        <v>1.4857918189918871</v>
      </c>
      <c r="F497">
        <f t="shared" si="375"/>
        <v>9.4727826702260758E-6</v>
      </c>
      <c r="G497">
        <f t="shared" si="376"/>
        <v>1.1582691915722528E-3</v>
      </c>
      <c r="H497">
        <f t="shared" si="377"/>
        <v>-3.1404343808084278</v>
      </c>
      <c r="J497">
        <f t="shared" si="378"/>
        <v>15</v>
      </c>
      <c r="M497">
        <f t="shared" si="379"/>
        <v>1.2883962395521425E-3</v>
      </c>
      <c r="N497">
        <f t="shared" si="380"/>
        <v>-1.5707963250000001</v>
      </c>
      <c r="O497">
        <f t="shared" si="381"/>
        <v>234.00555020205192</v>
      </c>
      <c r="P497">
        <f t="shared" si="382"/>
        <v>1.5665229108745322</v>
      </c>
      <c r="Q497">
        <f t="shared" si="383"/>
        <v>363.80911295323773</v>
      </c>
      <c r="R497">
        <f t="shared" si="384"/>
        <v>1.5680476291300507</v>
      </c>
      <c r="S497">
        <f t="shared" si="385"/>
        <v>8.4902174329926958E-2</v>
      </c>
      <c r="T497">
        <f t="shared" si="386"/>
        <v>-1.4857918189918871</v>
      </c>
      <c r="U497">
        <f t="shared" si="387"/>
        <v>0.13687418381830205</v>
      </c>
      <c r="V497">
        <f t="shared" si="388"/>
        <v>-1.4334911200433167</v>
      </c>
      <c r="X497">
        <f t="shared" si="405"/>
        <v>-53.419208893223704</v>
      </c>
      <c r="Y497">
        <f t="shared" si="389"/>
        <v>-172.46896457199472</v>
      </c>
      <c r="Z497">
        <f t="shared" si="406"/>
        <v>7.531035428005282</v>
      </c>
      <c r="AC497">
        <v>1</v>
      </c>
      <c r="AD497">
        <f t="shared" si="390"/>
        <v>234.00341349083999</v>
      </c>
      <c r="AE497">
        <f t="shared" si="391"/>
        <v>-0.312068374954588</v>
      </c>
      <c r="AF497">
        <f t="shared" si="392"/>
        <v>4.3119929917574996E-2</v>
      </c>
      <c r="AG497">
        <f t="shared" si="421"/>
        <v>98.524298344345695</v>
      </c>
      <c r="AH497">
        <f t="shared" si="422"/>
        <v>-736.23305368410797</v>
      </c>
      <c r="AJ497">
        <f t="shared" si="393"/>
        <v>18000</v>
      </c>
      <c r="AK497">
        <f t="shared" si="394"/>
        <v>211243.20306012002</v>
      </c>
      <c r="AL497">
        <v>1</v>
      </c>
      <c r="AM497">
        <f t="shared" si="395"/>
        <v>363.80773860353997</v>
      </c>
      <c r="AN497">
        <f t="shared" si="423"/>
        <v>580.77677008727483</v>
      </c>
      <c r="AO497">
        <f t="shared" si="424"/>
        <v>-47.880298799513305</v>
      </c>
      <c r="AQ497">
        <f t="shared" si="396"/>
        <v>1.2486107644482057E-3</v>
      </c>
      <c r="AR497">
        <f t="shared" si="397"/>
        <v>-3.5335684633884226</v>
      </c>
      <c r="AT497">
        <f t="shared" si="418"/>
        <v>-2601.4068817028469</v>
      </c>
      <c r="AU497">
        <f t="shared" si="419"/>
        <v>-349.06162202302465</v>
      </c>
      <c r="AV497">
        <f t="shared" si="407"/>
        <v>-3.008207505882825</v>
      </c>
      <c r="AW497">
        <f t="shared" si="408"/>
        <v>517.39827496927967</v>
      </c>
      <c r="AX497">
        <f t="shared" si="409"/>
        <v>-2965.4785209108759</v>
      </c>
      <c r="AY497">
        <f t="shared" si="417"/>
        <v>-1.3980612801718526</v>
      </c>
      <c r="BA497">
        <f t="shared" si="398"/>
        <v>0.87192036634612091</v>
      </c>
      <c r="BB497">
        <f t="shared" si="410"/>
        <v>-1.1904635590488333</v>
      </c>
      <c r="BC497">
        <f t="shared" si="411"/>
        <v>-1.6101462257109724</v>
      </c>
      <c r="BD497">
        <f t="shared" si="399"/>
        <v>-272.2545832375738</v>
      </c>
      <c r="BF497">
        <f t="shared" si="400"/>
        <v>-56.717463157839354</v>
      </c>
      <c r="BG497">
        <f t="shared" si="401"/>
        <v>-187.05861874070538</v>
      </c>
      <c r="BH497">
        <f t="shared" si="412"/>
        <v>-7.0586187407053842</v>
      </c>
      <c r="BI497">
        <f t="shared" si="413"/>
        <v>-7.0586187407053842</v>
      </c>
      <c r="BJ497">
        <f t="shared" si="402"/>
        <v>0</v>
      </c>
      <c r="BK497">
        <f t="shared" si="414"/>
        <v>0</v>
      </c>
      <c r="BM497">
        <f t="shared" si="415"/>
        <v>-55.526999598790525</v>
      </c>
      <c r="BN497">
        <f t="shared" si="403"/>
        <v>-94.804035503131615</v>
      </c>
      <c r="BQ497" s="56">
        <f t="shared" si="416"/>
        <v>15.711497241236303</v>
      </c>
    </row>
    <row r="498" spans="1:69" x14ac:dyDescent="0.25">
      <c r="A498">
        <f t="shared" si="420"/>
        <v>1420000</v>
      </c>
      <c r="B498">
        <f t="shared" si="404"/>
        <v>1420</v>
      </c>
      <c r="C498">
        <f t="shared" si="373"/>
        <v>11.819581183187426</v>
      </c>
      <c r="D498">
        <f t="shared" si="374"/>
        <v>1.4860896984358234</v>
      </c>
      <c r="F498">
        <f t="shared" si="375"/>
        <v>9.4061897941236912E-6</v>
      </c>
      <c r="G498">
        <f t="shared" si="376"/>
        <v>1.1541907052420029E-3</v>
      </c>
      <c r="H498">
        <f t="shared" si="377"/>
        <v>-3.1404384592947583</v>
      </c>
      <c r="J498">
        <f t="shared" si="378"/>
        <v>15</v>
      </c>
      <c r="M498">
        <f t="shared" si="379"/>
        <v>1.2838596330748461E-3</v>
      </c>
      <c r="N498">
        <f t="shared" si="380"/>
        <v>-1.5707963250000001</v>
      </c>
      <c r="O498">
        <f t="shared" si="381"/>
        <v>234.83240986396927</v>
      </c>
      <c r="P498">
        <f t="shared" si="382"/>
        <v>1.5665379579314596</v>
      </c>
      <c r="Q498">
        <f t="shared" si="383"/>
        <v>365.09464782637639</v>
      </c>
      <c r="R498">
        <f t="shared" si="384"/>
        <v>1.5680573075944626</v>
      </c>
      <c r="S498">
        <f t="shared" si="385"/>
        <v>8.4605366679356989E-2</v>
      </c>
      <c r="T498">
        <f t="shared" si="386"/>
        <v>-1.4860896984358232</v>
      </c>
      <c r="U498">
        <f t="shared" si="387"/>
        <v>0.1364012148588771</v>
      </c>
      <c r="V498">
        <f t="shared" si="388"/>
        <v>-1.4339685669401303</v>
      </c>
      <c r="X498">
        <f t="shared" si="405"/>
        <v>-53.4799143948403</v>
      </c>
      <c r="Y498">
        <f t="shared" si="389"/>
        <v>-172.49513727618822</v>
      </c>
      <c r="Z498">
        <f t="shared" si="406"/>
        <v>7.5048627238117831</v>
      </c>
      <c r="AC498">
        <v>1</v>
      </c>
      <c r="AD498">
        <f t="shared" si="390"/>
        <v>234.83028067632003</v>
      </c>
      <c r="AE498">
        <f t="shared" si="391"/>
        <v>-0.31427770168608982</v>
      </c>
      <c r="AF498">
        <f t="shared" si="392"/>
        <v>4.3272297161099996E-2</v>
      </c>
      <c r="AG498">
        <f t="shared" si="421"/>
        <v>97.844573034260151</v>
      </c>
      <c r="AH498">
        <f t="shared" si="422"/>
        <v>-733.73427385792468</v>
      </c>
      <c r="AJ498">
        <f t="shared" si="393"/>
        <v>18000</v>
      </c>
      <c r="AK498">
        <f t="shared" si="394"/>
        <v>211989.64547376</v>
      </c>
      <c r="AL498">
        <v>1</v>
      </c>
      <c r="AM498">
        <f t="shared" si="395"/>
        <v>365.09327831591997</v>
      </c>
      <c r="AN498">
        <f t="shared" si="423"/>
        <v>580.77584490343179</v>
      </c>
      <c r="AO498">
        <f t="shared" si="424"/>
        <v>-47.711708732209217</v>
      </c>
      <c r="AQ498">
        <f t="shared" si="396"/>
        <v>1.2398332126768979E-3</v>
      </c>
      <c r="AR498">
        <f t="shared" si="397"/>
        <v>-3.52112632400239</v>
      </c>
      <c r="AT498">
        <f t="shared" si="418"/>
        <v>-2583.4497555525891</v>
      </c>
      <c r="AU498">
        <f t="shared" si="419"/>
        <v>-345.43280989371624</v>
      </c>
      <c r="AV498">
        <f t="shared" si="407"/>
        <v>-3.0086711499369594</v>
      </c>
      <c r="AW498">
        <f t="shared" si="408"/>
        <v>517.85664127752455</v>
      </c>
      <c r="AX498">
        <f t="shared" si="409"/>
        <v>-2955.1329572075083</v>
      </c>
      <c r="AY498">
        <f t="shared" si="417"/>
        <v>-1.3973180831700165</v>
      </c>
      <c r="BA498">
        <f t="shared" si="398"/>
        <v>0.86876617838401438</v>
      </c>
      <c r="BB498">
        <f t="shared" si="410"/>
        <v>-1.221941895691697</v>
      </c>
      <c r="BC498">
        <f t="shared" si="411"/>
        <v>-1.6113530667669429</v>
      </c>
      <c r="BD498">
        <f t="shared" si="399"/>
        <v>-272.32373013670303</v>
      </c>
      <c r="BF498">
        <f t="shared" si="400"/>
        <v>-56.779800205156015</v>
      </c>
      <c r="BG498">
        <f t="shared" si="401"/>
        <v>-187.11093208492767</v>
      </c>
      <c r="BH498">
        <f t="shared" si="412"/>
        <v>-7.1109320849276685</v>
      </c>
      <c r="BI498">
        <f t="shared" si="413"/>
        <v>-7.1109320849276685</v>
      </c>
      <c r="BJ498">
        <f t="shared" si="402"/>
        <v>0</v>
      </c>
      <c r="BK498">
        <f t="shared" si="414"/>
        <v>0</v>
      </c>
      <c r="BM498">
        <f t="shared" si="415"/>
        <v>-55.557858309464322</v>
      </c>
      <c r="BN498">
        <f t="shared" si="403"/>
        <v>-94.787201948224649</v>
      </c>
      <c r="BQ498" s="56">
        <f t="shared" si="416"/>
        <v>15.680018904593441</v>
      </c>
    </row>
    <row r="499" spans="1:69" x14ac:dyDescent="0.25">
      <c r="A499">
        <f t="shared" si="420"/>
        <v>1425000</v>
      </c>
      <c r="B499">
        <f t="shared" si="404"/>
        <v>1425</v>
      </c>
      <c r="C499">
        <f t="shared" si="373"/>
        <v>11.860902039483898</v>
      </c>
      <c r="D499">
        <f t="shared" si="374"/>
        <v>1.486385502408788</v>
      </c>
      <c r="F499">
        <f t="shared" si="375"/>
        <v>9.3402966733191699E-6</v>
      </c>
      <c r="G499">
        <f t="shared" si="376"/>
        <v>1.1501408406400068E-3</v>
      </c>
      <c r="H499">
        <f t="shared" si="377"/>
        <v>-3.1404425091593602</v>
      </c>
      <c r="J499">
        <f t="shared" si="378"/>
        <v>15</v>
      </c>
      <c r="M499">
        <f t="shared" si="379"/>
        <v>1.2793548624324782E-3</v>
      </c>
      <c r="N499">
        <f t="shared" si="380"/>
        <v>-1.5707963250000001</v>
      </c>
      <c r="O499">
        <f t="shared" si="381"/>
        <v>235.65926957868277</v>
      </c>
      <c r="P499">
        <f t="shared" si="382"/>
        <v>1.5665528993969131</v>
      </c>
      <c r="Q499">
        <f t="shared" si="383"/>
        <v>366.3801827334745</v>
      </c>
      <c r="R499">
        <f t="shared" si="384"/>
        <v>1.5680669181403339</v>
      </c>
      <c r="S499">
        <f t="shared" si="385"/>
        <v>8.4310619603052819E-2</v>
      </c>
      <c r="T499">
        <f t="shared" si="386"/>
        <v>-1.4863855024087878</v>
      </c>
      <c r="U499">
        <f t="shared" si="387"/>
        <v>0.13593147266641481</v>
      </c>
      <c r="V499">
        <f t="shared" si="388"/>
        <v>-1.4344427254553413</v>
      </c>
      <c r="X499">
        <f t="shared" si="405"/>
        <v>-53.540410436445882</v>
      </c>
      <c r="Y499">
        <f t="shared" si="389"/>
        <v>-172.52112987148149</v>
      </c>
      <c r="Z499">
        <f t="shared" si="406"/>
        <v>7.4788701285185084</v>
      </c>
      <c r="AC499">
        <v>1</v>
      </c>
      <c r="AD499">
        <f t="shared" si="390"/>
        <v>235.65714786180001</v>
      </c>
      <c r="AE499">
        <f t="shared" si="391"/>
        <v>-0.31649482145720897</v>
      </c>
      <c r="AF499">
        <f t="shared" si="392"/>
        <v>4.3424664404624995E-2</v>
      </c>
      <c r="AG499">
        <f t="shared" si="421"/>
        <v>97.171813892185895</v>
      </c>
      <c r="AH499">
        <f t="shared" si="422"/>
        <v>-731.25207353585154</v>
      </c>
      <c r="AJ499">
        <f t="shared" si="393"/>
        <v>18000</v>
      </c>
      <c r="AK499">
        <f t="shared" si="394"/>
        <v>212736.0878874</v>
      </c>
      <c r="AL499">
        <v>1</v>
      </c>
      <c r="AM499">
        <f t="shared" si="395"/>
        <v>366.37881802829997</v>
      </c>
      <c r="AN499">
        <f t="shared" si="423"/>
        <v>580.77492944117375</v>
      </c>
      <c r="AO499">
        <f t="shared" si="424"/>
        <v>-47.544301726562487</v>
      </c>
      <c r="AQ499">
        <f t="shared" si="396"/>
        <v>1.2311478939799453E-3</v>
      </c>
      <c r="AR499">
        <f t="shared" si="397"/>
        <v>-3.5087714978428441</v>
      </c>
      <c r="AT499">
        <f t="shared" si="418"/>
        <v>-2565.6768004870478</v>
      </c>
      <c r="AU499">
        <f t="shared" si="419"/>
        <v>-341.85397042889332</v>
      </c>
      <c r="AV499">
        <f t="shared" si="407"/>
        <v>-3.0091316024696382</v>
      </c>
      <c r="AW499">
        <f t="shared" si="408"/>
        <v>518.31000306067949</v>
      </c>
      <c r="AX499">
        <f t="shared" si="409"/>
        <v>-2944.8590118195934</v>
      </c>
      <c r="AY499">
        <f t="shared" si="417"/>
        <v>-1.3965756600547412</v>
      </c>
      <c r="BA499">
        <f t="shared" si="398"/>
        <v>0.86563345684622195</v>
      </c>
      <c r="BB499">
        <f t="shared" si="410"/>
        <v>-1.2533193274927943</v>
      </c>
      <c r="BC499">
        <f t="shared" si="411"/>
        <v>-1.612555942414897</v>
      </c>
      <c r="BD499">
        <f t="shared" si="399"/>
        <v>-272.3926498346886</v>
      </c>
      <c r="BF499">
        <f t="shared" si="400"/>
        <v>-56.841926349141865</v>
      </c>
      <c r="BG499">
        <f t="shared" si="401"/>
        <v>-187.16313550382935</v>
      </c>
      <c r="BH499">
        <f t="shared" si="412"/>
        <v>-7.163135503829352</v>
      </c>
      <c r="BI499">
        <f t="shared" si="413"/>
        <v>-7.163135503829352</v>
      </c>
      <c r="BJ499">
        <f t="shared" si="402"/>
        <v>0</v>
      </c>
      <c r="BK499">
        <f t="shared" si="414"/>
        <v>0</v>
      </c>
      <c r="BM499">
        <f t="shared" si="415"/>
        <v>-55.588607021649075</v>
      </c>
      <c r="BN499">
        <f t="shared" si="403"/>
        <v>-94.770485669140768</v>
      </c>
      <c r="BQ499" s="56">
        <f t="shared" si="416"/>
        <v>15.648641472792342</v>
      </c>
    </row>
    <row r="500" spans="1:69" x14ac:dyDescent="0.25">
      <c r="A500">
        <f t="shared" si="420"/>
        <v>1430000</v>
      </c>
      <c r="B500">
        <f t="shared" si="404"/>
        <v>1430</v>
      </c>
      <c r="C500">
        <f t="shared" si="373"/>
        <v>11.902223926403089</v>
      </c>
      <c r="D500">
        <f t="shared" si="374"/>
        <v>1.4866792524754711</v>
      </c>
      <c r="F500">
        <f t="shared" si="375"/>
        <v>9.2750935380132709E-6</v>
      </c>
      <c r="G500">
        <f t="shared" si="376"/>
        <v>1.1461192975276112E-3</v>
      </c>
      <c r="H500">
        <f t="shared" si="377"/>
        <v>-3.1404465307024725</v>
      </c>
      <c r="J500">
        <f t="shared" si="378"/>
        <v>15</v>
      </c>
      <c r="M500">
        <f t="shared" si="379"/>
        <v>1.2748815936827144E-3</v>
      </c>
      <c r="N500">
        <f t="shared" si="380"/>
        <v>-1.5707963250000001</v>
      </c>
      <c r="O500">
        <f t="shared" si="381"/>
        <v>236.48612934563872</v>
      </c>
      <c r="P500">
        <f t="shared" si="382"/>
        <v>1.5665677363784689</v>
      </c>
      <c r="Q500">
        <f t="shared" si="383"/>
        <v>367.66571767417577</v>
      </c>
      <c r="R500">
        <f t="shared" si="384"/>
        <v>1.5680764614800895</v>
      </c>
      <c r="S500">
        <f t="shared" si="385"/>
        <v>8.4017911793918418E-2</v>
      </c>
      <c r="T500">
        <f t="shared" si="386"/>
        <v>-1.4866792524754711</v>
      </c>
      <c r="U500">
        <f t="shared" si="387"/>
        <v>0.13546492464847693</v>
      </c>
      <c r="V500">
        <f t="shared" si="388"/>
        <v>-1.4349136292340798</v>
      </c>
      <c r="X500">
        <f t="shared" si="405"/>
        <v>-53.600698445436095</v>
      </c>
      <c r="Y500">
        <f t="shared" si="389"/>
        <v>-172.54694419852262</v>
      </c>
      <c r="Z500">
        <f t="shared" si="406"/>
        <v>7.453055801477376</v>
      </c>
      <c r="AC500">
        <v>1</v>
      </c>
      <c r="AD500">
        <f t="shared" si="390"/>
        <v>236.48401504728</v>
      </c>
      <c r="AE500">
        <f t="shared" si="391"/>
        <v>-0.31871973426794536</v>
      </c>
      <c r="AF500">
        <f t="shared" si="392"/>
        <v>4.3577031648150001E-2</v>
      </c>
      <c r="AG500">
        <f t="shared" si="421"/>
        <v>96.505926652456594</v>
      </c>
      <c r="AH500">
        <f t="shared" si="422"/>
        <v>-728.78629169550243</v>
      </c>
      <c r="AJ500">
        <f t="shared" si="393"/>
        <v>18000</v>
      </c>
      <c r="AK500">
        <f t="shared" si="394"/>
        <v>213482.53030104004</v>
      </c>
      <c r="AL500">
        <v>1</v>
      </c>
      <c r="AM500">
        <f t="shared" si="395"/>
        <v>367.66435774067997</v>
      </c>
      <c r="AN500">
        <f t="shared" si="423"/>
        <v>580.7740235647741</v>
      </c>
      <c r="AO500">
        <f t="shared" si="424"/>
        <v>-47.37806537320462</v>
      </c>
      <c r="AQ500">
        <f t="shared" si="396"/>
        <v>1.2225535206423883E-3</v>
      </c>
      <c r="AR500">
        <f t="shared" si="397"/>
        <v>-3.4965030690372307</v>
      </c>
      <c r="AT500">
        <f t="shared" si="418"/>
        <v>-2548.0855219251948</v>
      </c>
      <c r="AU500">
        <f t="shared" si="419"/>
        <v>-338.32424896730458</v>
      </c>
      <c r="AV500">
        <f t="shared" si="407"/>
        <v>-3.0095888961100026</v>
      </c>
      <c r="AW500">
        <f t="shared" si="408"/>
        <v>518.75843338278798</v>
      </c>
      <c r="AX500">
        <f t="shared" si="409"/>
        <v>-2934.655946733259</v>
      </c>
      <c r="AY500">
        <f t="shared" si="417"/>
        <v>-1.395834004292017</v>
      </c>
      <c r="BA500">
        <f t="shared" si="398"/>
        <v>0.86252198134608571</v>
      </c>
      <c r="BB500">
        <f t="shared" si="410"/>
        <v>-1.2845965626435805</v>
      </c>
      <c r="BC500">
        <f t="shared" si="411"/>
        <v>-1.6137548918179856</v>
      </c>
      <c r="BD500">
        <f t="shared" si="399"/>
        <v>-272.46134457541382</v>
      </c>
      <c r="BF500">
        <f t="shared" si="400"/>
        <v>-56.903843084418497</v>
      </c>
      <c r="BG500">
        <f t="shared" si="401"/>
        <v>-187.21523002293043</v>
      </c>
      <c r="BH500">
        <f t="shared" si="412"/>
        <v>-7.2152300229304274</v>
      </c>
      <c r="BI500">
        <f t="shared" si="413"/>
        <v>-7.2152300229304274</v>
      </c>
      <c r="BJ500">
        <f t="shared" si="402"/>
        <v>0</v>
      </c>
      <c r="BK500">
        <f t="shared" si="414"/>
        <v>0</v>
      </c>
      <c r="BM500">
        <f t="shared" si="415"/>
        <v>-55.619246521774919</v>
      </c>
      <c r="BN500">
        <f t="shared" si="403"/>
        <v>-94.753885447516652</v>
      </c>
      <c r="BQ500" s="56">
        <f t="shared" si="416"/>
        <v>15.617364237641558</v>
      </c>
    </row>
    <row r="501" spans="1:69" x14ac:dyDescent="0.25">
      <c r="A501">
        <f t="shared" si="420"/>
        <v>1435000</v>
      </c>
      <c r="B501">
        <f t="shared" si="404"/>
        <v>1435</v>
      </c>
      <c r="C501">
        <f t="shared" si="373"/>
        <v>11.943546833247858</v>
      </c>
      <c r="D501">
        <f t="shared" si="374"/>
        <v>1.4869709699035496</v>
      </c>
      <c r="F501">
        <f t="shared" si="375"/>
        <v>9.2105707883181929E-6</v>
      </c>
      <c r="G501">
        <f t="shared" si="376"/>
        <v>1.1421257798508596E-3</v>
      </c>
      <c r="H501">
        <f t="shared" si="377"/>
        <v>-3.1404505242201495</v>
      </c>
      <c r="J501">
        <f t="shared" si="378"/>
        <v>15</v>
      </c>
      <c r="M501">
        <f t="shared" si="379"/>
        <v>1.2704394975374784E-3</v>
      </c>
      <c r="N501">
        <f t="shared" si="380"/>
        <v>-1.5707963250000001</v>
      </c>
      <c r="O501">
        <f t="shared" si="381"/>
        <v>237.312989164291</v>
      </c>
      <c r="P501">
        <f t="shared" si="382"/>
        <v>1.5665824699682676</v>
      </c>
      <c r="Q501">
        <f t="shared" si="383"/>
        <v>368.95125264812896</v>
      </c>
      <c r="R501">
        <f t="shared" si="384"/>
        <v>1.5680859383162258</v>
      </c>
      <c r="S501">
        <f t="shared" si="385"/>
        <v>8.3727222236551171E-2</v>
      </c>
      <c r="T501">
        <f t="shared" si="386"/>
        <v>-1.4869709699035494</v>
      </c>
      <c r="U501">
        <f t="shared" si="387"/>
        <v>0.13500153864572778</v>
      </c>
      <c r="V501">
        <f t="shared" si="388"/>
        <v>-1.4353813114669336</v>
      </c>
      <c r="X501">
        <f t="shared" si="405"/>
        <v>-53.660779834797552</v>
      </c>
      <c r="Y501">
        <f t="shared" si="389"/>
        <v>-172.57258207312972</v>
      </c>
      <c r="Z501">
        <f t="shared" si="406"/>
        <v>7.4274179268702767</v>
      </c>
      <c r="AC501">
        <v>1</v>
      </c>
      <c r="AD501">
        <f t="shared" si="390"/>
        <v>237.31088223276001</v>
      </c>
      <c r="AE501">
        <f t="shared" si="391"/>
        <v>-0.3209524401182991</v>
      </c>
      <c r="AF501">
        <f t="shared" si="392"/>
        <v>4.3729398891675E-2</v>
      </c>
      <c r="AG501">
        <f t="shared" si="421"/>
        <v>95.84681862826065</v>
      </c>
      <c r="AH501">
        <f t="shared" si="422"/>
        <v>-726.336769343588</v>
      </c>
      <c r="AJ501">
        <f t="shared" si="393"/>
        <v>18000</v>
      </c>
      <c r="AK501">
        <f t="shared" si="394"/>
        <v>214228.97271468001</v>
      </c>
      <c r="AL501">
        <v>1</v>
      </c>
      <c r="AM501">
        <f t="shared" si="395"/>
        <v>368.94989745305998</v>
      </c>
      <c r="AN501">
        <f t="shared" si="423"/>
        <v>580.77312714086668</v>
      </c>
      <c r="AO501">
        <f t="shared" si="424"/>
        <v>-47.212987435713572</v>
      </c>
      <c r="AQ501">
        <f t="shared" si="396"/>
        <v>1.2140488273441675E-3</v>
      </c>
      <c r="AR501">
        <f t="shared" si="397"/>
        <v>-3.4843201344777603</v>
      </c>
      <c r="AT501">
        <f t="shared" si="418"/>
        <v>-2530.6734671176323</v>
      </c>
      <c r="AU501">
        <f t="shared" si="419"/>
        <v>-334.84280827516517</v>
      </c>
      <c r="AV501">
        <f t="shared" si="407"/>
        <v>-3.0100430630468105</v>
      </c>
      <c r="AW501">
        <f t="shared" si="408"/>
        <v>519.20200397263113</v>
      </c>
      <c r="AX501">
        <f t="shared" si="409"/>
        <v>-2924.5230340001099</v>
      </c>
      <c r="AY501">
        <f t="shared" si="417"/>
        <v>-1.3950931094581029</v>
      </c>
      <c r="BA501">
        <f t="shared" si="398"/>
        <v>0.85943153449436116</v>
      </c>
      <c r="BB501">
        <f t="shared" si="410"/>
        <v>-1.3157743021828161</v>
      </c>
      <c r="BC501">
        <f t="shared" si="411"/>
        <v>-1.6149499535887075</v>
      </c>
      <c r="BD501">
        <f t="shared" si="399"/>
        <v>-272.52981657121188</v>
      </c>
      <c r="BF501">
        <f t="shared" si="400"/>
        <v>-56.965551890002224</v>
      </c>
      <c r="BG501">
        <f t="shared" si="401"/>
        <v>-187.26721665297862</v>
      </c>
      <c r="BH501">
        <f t="shared" si="412"/>
        <v>-7.2672166529786182</v>
      </c>
      <c r="BI501">
        <f t="shared" si="413"/>
        <v>-7.2672166529786182</v>
      </c>
      <c r="BJ501">
        <f t="shared" si="402"/>
        <v>0</v>
      </c>
      <c r="BK501">
        <f t="shared" si="414"/>
        <v>0</v>
      </c>
      <c r="BM501">
        <f t="shared" si="415"/>
        <v>-55.649777587819401</v>
      </c>
      <c r="BN501">
        <f t="shared" si="403"/>
        <v>-94.737400081766793</v>
      </c>
      <c r="BQ501" s="56">
        <f t="shared" si="416"/>
        <v>15.586186498102318</v>
      </c>
    </row>
    <row r="502" spans="1:69" x14ac:dyDescent="0.25">
      <c r="A502">
        <f t="shared" si="420"/>
        <v>1440000</v>
      </c>
      <c r="B502">
        <f t="shared" si="404"/>
        <v>1440</v>
      </c>
      <c r="C502">
        <f t="shared" si="373"/>
        <v>11.984870749468328</v>
      </c>
      <c r="D502">
        <f t="shared" si="374"/>
        <v>1.4872606756687703</v>
      </c>
      <c r="F502">
        <f t="shared" si="375"/>
        <v>9.1467189907238766E-6</v>
      </c>
      <c r="G502">
        <f t="shared" si="376"/>
        <v>1.1381599956678378E-3</v>
      </c>
      <c r="H502">
        <f t="shared" si="377"/>
        <v>-3.1404544900043323</v>
      </c>
      <c r="J502">
        <f t="shared" si="378"/>
        <v>15</v>
      </c>
      <c r="M502">
        <f t="shared" si="379"/>
        <v>1.2660282492821401E-3</v>
      </c>
      <c r="N502">
        <f t="shared" si="380"/>
        <v>-1.5707963250000001</v>
      </c>
      <c r="O502">
        <f t="shared" si="381"/>
        <v>238.13984903410113</v>
      </c>
      <c r="P502">
        <f t="shared" si="382"/>
        <v>1.5665971012432809</v>
      </c>
      <c r="Q502">
        <f t="shared" si="383"/>
        <v>370.23678765498772</v>
      </c>
      <c r="R502">
        <f t="shared" si="384"/>
        <v>1.5680953493414818</v>
      </c>
      <c r="S502">
        <f t="shared" si="385"/>
        <v>8.3438530202285421E-2</v>
      </c>
      <c r="T502">
        <f t="shared" si="386"/>
        <v>-1.4872606756687703</v>
      </c>
      <c r="U502">
        <f t="shared" si="387"/>
        <v>0.13454128292483955</v>
      </c>
      <c r="V502">
        <f t="shared" si="388"/>
        <v>-1.43584580489755</v>
      </c>
      <c r="X502">
        <f t="shared" si="405"/>
        <v>-53.720656003299247</v>
      </c>
      <c r="Y502">
        <f t="shared" si="389"/>
        <v>-172.59804528670563</v>
      </c>
      <c r="Z502">
        <f t="shared" si="406"/>
        <v>7.4019547132943728</v>
      </c>
      <c r="AC502">
        <v>1</v>
      </c>
      <c r="AD502">
        <f t="shared" si="390"/>
        <v>238.13774941823999</v>
      </c>
      <c r="AE502">
        <f t="shared" si="391"/>
        <v>-0.32319293900827012</v>
      </c>
      <c r="AF502">
        <f t="shared" si="392"/>
        <v>4.38817661352E-2</v>
      </c>
      <c r="AG502">
        <f t="shared" si="421"/>
        <v>95.194398680224452</v>
      </c>
      <c r="AH502">
        <f t="shared" si="422"/>
        <v>-723.90334948495456</v>
      </c>
      <c r="AJ502">
        <f t="shared" si="393"/>
        <v>18000</v>
      </c>
      <c r="AK502">
        <f t="shared" si="394"/>
        <v>214975.41512832002</v>
      </c>
      <c r="AL502">
        <v>1</v>
      </c>
      <c r="AM502">
        <f t="shared" si="395"/>
        <v>370.23543716543998</v>
      </c>
      <c r="AN502">
        <f t="shared" si="423"/>
        <v>580.7722400383966</v>
      </c>
      <c r="AO502">
        <f t="shared" si="424"/>
        <v>-47.049055847611392</v>
      </c>
      <c r="AQ502">
        <f t="shared" si="396"/>
        <v>1.2056325706943755E-3</v>
      </c>
      <c r="AR502">
        <f t="shared" si="397"/>
        <v>-3.472221803599802</v>
      </c>
      <c r="AT502">
        <f t="shared" si="418"/>
        <v>-2513.4382243129903</v>
      </c>
      <c r="AU502">
        <f t="shared" si="419"/>
        <v>-331.40882813422138</v>
      </c>
      <c r="AV502">
        <f t="shared" si="407"/>
        <v>-3.0104941350357941</v>
      </c>
      <c r="AW502">
        <f t="shared" si="408"/>
        <v>519.64078525300931</v>
      </c>
      <c r="AX502">
        <f t="shared" si="409"/>
        <v>-2914.4595555668484</v>
      </c>
      <c r="AY502">
        <f t="shared" si="417"/>
        <v>-1.3943529692373393</v>
      </c>
      <c r="BA502">
        <f t="shared" si="398"/>
        <v>0.85636190184873118</v>
      </c>
      <c r="BB502">
        <f t="shared" si="410"/>
        <v>-1.3468532400907427</v>
      </c>
      <c r="BC502">
        <f t="shared" si="411"/>
        <v>-1.6161411657984548</v>
      </c>
      <c r="BD502">
        <f t="shared" si="399"/>
        <v>-272.59806800341278</v>
      </c>
      <c r="BF502">
        <f t="shared" si="400"/>
        <v>-57.027054229519521</v>
      </c>
      <c r="BG502">
        <f t="shared" si="401"/>
        <v>-187.31909639020927</v>
      </c>
      <c r="BH502">
        <f t="shared" si="412"/>
        <v>-7.3190963902092676</v>
      </c>
      <c r="BI502">
        <f t="shared" si="413"/>
        <v>-7.3190963902092676</v>
      </c>
      <c r="BJ502">
        <f t="shared" si="402"/>
        <v>0</v>
      </c>
      <c r="BK502">
        <f t="shared" si="414"/>
        <v>0</v>
      </c>
      <c r="BM502">
        <f t="shared" si="415"/>
        <v>-55.680200989428783</v>
      </c>
      <c r="BN502">
        <f t="shared" si="403"/>
        <v>-94.721028386796462</v>
      </c>
      <c r="BQ502" s="56">
        <f t="shared" si="416"/>
        <v>15.555107560194394</v>
      </c>
    </row>
    <row r="503" spans="1:69" x14ac:dyDescent="0.25">
      <c r="A503">
        <f t="shared" si="420"/>
        <v>1445000</v>
      </c>
      <c r="B503">
        <f t="shared" si="404"/>
        <v>1445</v>
      </c>
      <c r="C503">
        <f t="shared" si="373"/>
        <v>12.026195664659372</v>
      </c>
      <c r="D503">
        <f t="shared" si="374"/>
        <v>1.4875483904599309</v>
      </c>
      <c r="F503">
        <f t="shared" si="375"/>
        <v>9.0835288746496911E-6</v>
      </c>
      <c r="G503">
        <f t="shared" si="376"/>
        <v>1.1342216570775273E-3</v>
      </c>
      <c r="H503">
        <f t="shared" si="377"/>
        <v>-3.1404584283429227</v>
      </c>
      <c r="J503">
        <f t="shared" si="378"/>
        <v>15</v>
      </c>
      <c r="M503">
        <f t="shared" si="379"/>
        <v>1.2616475286963886E-3</v>
      </c>
      <c r="N503">
        <f t="shared" si="380"/>
        <v>-1.5707963250000001</v>
      </c>
      <c r="O503">
        <f t="shared" si="381"/>
        <v>238.96670895453809</v>
      </c>
      <c r="P503">
        <f t="shared" si="382"/>
        <v>1.5666116312655751</v>
      </c>
      <c r="Q503">
        <f t="shared" si="383"/>
        <v>371.52232269441043</v>
      </c>
      <c r="R503">
        <f t="shared" si="384"/>
        <v>1.5681046952390085</v>
      </c>
      <c r="S503">
        <f t="shared" si="385"/>
        <v>8.3151815244336791E-2</v>
      </c>
      <c r="T503">
        <f t="shared" si="386"/>
        <v>-1.4875483904599309</v>
      </c>
      <c r="U503">
        <f t="shared" si="387"/>
        <v>0.1340841261715347</v>
      </c>
      <c r="V503">
        <f t="shared" si="388"/>
        <v>-1.4363071418300846</v>
      </c>
      <c r="X503">
        <f t="shared" si="405"/>
        <v>-53.780328335680998</v>
      </c>
      <c r="Y503">
        <f t="shared" si="389"/>
        <v>-172.62333560664405</v>
      </c>
      <c r="Z503">
        <f t="shared" si="406"/>
        <v>7.3766643933559521</v>
      </c>
      <c r="AC503">
        <v>1</v>
      </c>
      <c r="AD503">
        <f t="shared" si="390"/>
        <v>238.96461660371997</v>
      </c>
      <c r="AE503">
        <f t="shared" si="391"/>
        <v>-0.32544123093785843</v>
      </c>
      <c r="AF503">
        <f t="shared" si="392"/>
        <v>4.4034133378724999E-2</v>
      </c>
      <c r="AG503">
        <f t="shared" si="421"/>
        <v>94.548577185717107</v>
      </c>
      <c r="AH503">
        <f t="shared" si="422"/>
        <v>-721.48587709216747</v>
      </c>
      <c r="AJ503">
        <f t="shared" si="393"/>
        <v>18000</v>
      </c>
      <c r="AK503">
        <f t="shared" si="394"/>
        <v>215721.85754195999</v>
      </c>
      <c r="AL503">
        <v>1</v>
      </c>
      <c r="AM503">
        <f t="shared" si="395"/>
        <v>371.52097687781998</v>
      </c>
      <c r="AN503">
        <f t="shared" si="423"/>
        <v>580.7713621285726</v>
      </c>
      <c r="AO503">
        <f t="shared" si="424"/>
        <v>-46.886258709424077</v>
      </c>
      <c r="AQ503">
        <f t="shared" si="396"/>
        <v>1.1973035287767713E-3</v>
      </c>
      <c r="AR503">
        <f t="shared" si="397"/>
        <v>-3.460207198164869</v>
      </c>
      <c r="AT503">
        <f t="shared" si="418"/>
        <v>-2496.3774219435063</v>
      </c>
      <c r="AU503">
        <f t="shared" si="419"/>
        <v>-328.0215049408701</v>
      </c>
      <c r="AV503">
        <f t="shared" si="407"/>
        <v>-3.0109421434068668</v>
      </c>
      <c r="AW503">
        <f t="shared" si="408"/>
        <v>520.07484636927813</v>
      </c>
      <c r="AX503">
        <f t="shared" si="409"/>
        <v>-2904.4648031083216</v>
      </c>
      <c r="AY503">
        <f t="shared" si="417"/>
        <v>-1.3936135774200085</v>
      </c>
      <c r="BA503">
        <f t="shared" si="398"/>
        <v>0.85331287186433269</v>
      </c>
      <c r="BB503">
        <f t="shared" si="410"/>
        <v>-1.3778340633817137</v>
      </c>
      <c r="BC503">
        <f t="shared" si="411"/>
        <v>-1.6173285659868584</v>
      </c>
      <c r="BD503">
        <f t="shared" si="399"/>
        <v>-272.6661010228791</v>
      </c>
      <c r="BF503">
        <f t="shared" si="400"/>
        <v>-57.088351551418896</v>
      </c>
      <c r="BG503">
        <f t="shared" si="401"/>
        <v>-187.37087021659951</v>
      </c>
      <c r="BH503">
        <f t="shared" si="412"/>
        <v>-7.3708702165995135</v>
      </c>
      <c r="BI503">
        <f t="shared" si="413"/>
        <v>-7.3708702165995135</v>
      </c>
      <c r="BJ503">
        <f t="shared" si="402"/>
        <v>0</v>
      </c>
      <c r="BK503">
        <f t="shared" si="414"/>
        <v>0</v>
      </c>
      <c r="BM503">
        <f t="shared" si="415"/>
        <v>-55.710517488037183</v>
      </c>
      <c r="BN503">
        <f t="shared" si="403"/>
        <v>-94.704769193720423</v>
      </c>
      <c r="BQ503" s="56">
        <f t="shared" si="416"/>
        <v>15.524126736903423</v>
      </c>
    </row>
    <row r="504" spans="1:69" x14ac:dyDescent="0.25">
      <c r="A504">
        <f t="shared" si="420"/>
        <v>1450000</v>
      </c>
      <c r="B504">
        <f t="shared" si="404"/>
        <v>1450</v>
      </c>
      <c r="C504">
        <f t="shared" si="373"/>
        <v>12.067521568558149</v>
      </c>
      <c r="D504">
        <f t="shared" si="374"/>
        <v>1.4878341346837578</v>
      </c>
      <c r="F504">
        <f t="shared" si="375"/>
        <v>9.0209913290792449E-6</v>
      </c>
      <c r="G504">
        <f t="shared" si="376"/>
        <v>1.1303104801501302E-3</v>
      </c>
      <c r="H504">
        <f t="shared" si="377"/>
        <v>-3.1404623395198499</v>
      </c>
      <c r="J504">
        <f t="shared" si="378"/>
        <v>15</v>
      </c>
      <c r="M504">
        <f t="shared" si="379"/>
        <v>1.2572970199767461E-3</v>
      </c>
      <c r="N504">
        <f t="shared" si="380"/>
        <v>-1.5707963250000001</v>
      </c>
      <c r="O504">
        <f t="shared" si="381"/>
        <v>239.79356892507809</v>
      </c>
      <c r="P504">
        <f t="shared" si="382"/>
        <v>1.5666260610825677</v>
      </c>
      <c r="Q504">
        <f t="shared" si="383"/>
        <v>372.80785776606029</v>
      </c>
      <c r="R504">
        <f t="shared" si="384"/>
        <v>1.5681139766825352</v>
      </c>
      <c r="S504">
        <f t="shared" si="385"/>
        <v>8.2867057193044005E-2</v>
      </c>
      <c r="T504">
        <f t="shared" si="386"/>
        <v>-1.4878341346837578</v>
      </c>
      <c r="U504">
        <f t="shared" si="387"/>
        <v>0.13363003748376301</v>
      </c>
      <c r="V504">
        <f t="shared" si="388"/>
        <v>-1.4367653541365046</v>
      </c>
      <c r="X504">
        <f t="shared" si="405"/>
        <v>-53.839798202838708</v>
      </c>
      <c r="Y504">
        <f t="shared" si="389"/>
        <v>-172.6484547767277</v>
      </c>
      <c r="Z504">
        <f t="shared" si="406"/>
        <v>7.3515452232722964</v>
      </c>
      <c r="AC504">
        <v>1</v>
      </c>
      <c r="AD504">
        <f t="shared" si="390"/>
        <v>239.79148378920002</v>
      </c>
      <c r="AE504">
        <f t="shared" si="391"/>
        <v>-0.32769731590706402</v>
      </c>
      <c r="AF504">
        <f t="shared" si="392"/>
        <v>4.4186500622249998E-2</v>
      </c>
      <c r="AG504">
        <f t="shared" si="421"/>
        <v>93.909266008858538</v>
      </c>
      <c r="AH504">
        <f t="shared" si="422"/>
        <v>-719.08419907562916</v>
      </c>
      <c r="AJ504">
        <f t="shared" si="393"/>
        <v>18000</v>
      </c>
      <c r="AK504">
        <f t="shared" si="394"/>
        <v>216468.29995560003</v>
      </c>
      <c r="AL504">
        <v>1</v>
      </c>
      <c r="AM504">
        <f t="shared" si="395"/>
        <v>372.80651659019998</v>
      </c>
      <c r="AN504">
        <f t="shared" si="423"/>
        <v>580.77049328481996</v>
      </c>
      <c r="AO504">
        <f t="shared" si="424"/>
        <v>-46.724584285802372</v>
      </c>
      <c r="AQ504">
        <f t="shared" si="396"/>
        <v>1.1890605007062426E-3</v>
      </c>
      <c r="AR504">
        <f t="shared" si="397"/>
        <v>-3.4482754520481032</v>
      </c>
      <c r="AT504">
        <f t="shared" si="418"/>
        <v>-2479.4887278293018</v>
      </c>
      <c r="AU504">
        <f t="shared" si="419"/>
        <v>-324.68005131600506</v>
      </c>
      <c r="AV504">
        <f t="shared" si="407"/>
        <v>-3.0113871190711907</v>
      </c>
      <c r="AW504">
        <f t="shared" si="408"/>
        <v>520.50425521715601</v>
      </c>
      <c r="AX504">
        <f t="shared" si="409"/>
        <v>-2894.538077863936</v>
      </c>
      <c r="AY504">
        <f t="shared" si="417"/>
        <v>-1.3928749279002488</v>
      </c>
      <c r="BA504">
        <f t="shared" si="398"/>
        <v>0.8502842358452678</v>
      </c>
      <c r="BB504">
        <f t="shared" si="410"/>
        <v>-1.4087174521953629</v>
      </c>
      <c r="BC504">
        <f t="shared" si="411"/>
        <v>-1.6185121911709419</v>
      </c>
      <c r="BD504">
        <f t="shared" si="399"/>
        <v>-272.73391775053</v>
      </c>
      <c r="BF504">
        <f t="shared" si="400"/>
        <v>-57.149445289178935</v>
      </c>
      <c r="BG504">
        <f t="shared" si="401"/>
        <v>-187.42253910011729</v>
      </c>
      <c r="BH504">
        <f t="shared" si="412"/>
        <v>-7.4225391001172909</v>
      </c>
      <c r="BI504">
        <f t="shared" si="413"/>
        <v>-7.4225391001172909</v>
      </c>
      <c r="BJ504">
        <f t="shared" si="402"/>
        <v>0</v>
      </c>
      <c r="BK504">
        <f t="shared" si="414"/>
        <v>0</v>
      </c>
      <c r="BM504">
        <f t="shared" si="415"/>
        <v>-55.740727836983567</v>
      </c>
      <c r="BN504">
        <f t="shared" si="403"/>
        <v>-94.688621349587308</v>
      </c>
      <c r="BQ504" s="56">
        <f t="shared" si="416"/>
        <v>15.493243348089774</v>
      </c>
    </row>
    <row r="505" spans="1:69" x14ac:dyDescent="0.25">
      <c r="A505">
        <f t="shared" si="420"/>
        <v>1455000</v>
      </c>
      <c r="B505">
        <f t="shared" si="404"/>
        <v>1455</v>
      </c>
      <c r="C505">
        <f t="shared" si="373"/>
        <v>12.108848451041668</v>
      </c>
      <c r="D505">
        <f t="shared" si="374"/>
        <v>1.4881179284696857</v>
      </c>
      <c r="F505">
        <f t="shared" si="375"/>
        <v>8.9590973992760141E-6</v>
      </c>
      <c r="G505">
        <f t="shared" si="376"/>
        <v>1.126426184858834E-3</v>
      </c>
      <c r="H505">
        <f t="shared" si="377"/>
        <v>-3.1404662238151415</v>
      </c>
      <c r="J505">
        <f t="shared" si="378"/>
        <v>15</v>
      </c>
      <c r="M505">
        <f t="shared" si="379"/>
        <v>1.2529764116606746E-3</v>
      </c>
      <c r="N505">
        <f t="shared" si="380"/>
        <v>-1.5707963250000001</v>
      </c>
      <c r="O505">
        <f t="shared" si="381"/>
        <v>240.62042894520468</v>
      </c>
      <c r="P505">
        <f t="shared" si="382"/>
        <v>1.5666403917272793</v>
      </c>
      <c r="Q505">
        <f t="shared" si="383"/>
        <v>374.09339286960505</v>
      </c>
      <c r="R505">
        <f t="shared" si="384"/>
        <v>1.5681231943365292</v>
      </c>
      <c r="S505">
        <f t="shared" si="385"/>
        <v>8.2584236151206844E-2</v>
      </c>
      <c r="T505">
        <f t="shared" si="386"/>
        <v>-1.4881179284696857</v>
      </c>
      <c r="U505">
        <f t="shared" si="387"/>
        <v>0.13317898636500974</v>
      </c>
      <c r="V505">
        <f t="shared" si="388"/>
        <v>-1.4372204732637472</v>
      </c>
      <c r="X505">
        <f t="shared" si="405"/>
        <v>-53.899066962006671</v>
      </c>
      <c r="Y505">
        <f t="shared" si="389"/>
        <v>-172.67340451751895</v>
      </c>
      <c r="Z505">
        <f t="shared" si="406"/>
        <v>7.3265954824810535</v>
      </c>
      <c r="AC505">
        <v>1</v>
      </c>
      <c r="AD505">
        <f t="shared" si="390"/>
        <v>240.61835097468003</v>
      </c>
      <c r="AE505">
        <f t="shared" si="391"/>
        <v>-0.32996119391588691</v>
      </c>
      <c r="AF505">
        <f t="shared" si="392"/>
        <v>4.4338867865774997E-2</v>
      </c>
      <c r="AG505">
        <f t="shared" si="421"/>
        <v>93.276378471212396</v>
      </c>
      <c r="AH505">
        <f t="shared" si="422"/>
        <v>-716.69816425422027</v>
      </c>
      <c r="AJ505">
        <f t="shared" si="393"/>
        <v>18000</v>
      </c>
      <c r="AK505">
        <f t="shared" si="394"/>
        <v>217214.74236924003</v>
      </c>
      <c r="AL505">
        <v>1</v>
      </c>
      <c r="AM505">
        <f t="shared" si="395"/>
        <v>374.09205630257998</v>
      </c>
      <c r="AN505">
        <f t="shared" si="423"/>
        <v>580.76963338273481</v>
      </c>
      <c r="AO505">
        <f t="shared" si="424"/>
        <v>-46.564021002701878</v>
      </c>
      <c r="AQ505">
        <f t="shared" si="396"/>
        <v>1.1809023061959227E-3</v>
      </c>
      <c r="AR505">
        <f t="shared" si="397"/>
        <v>-3.4364257110301355</v>
      </c>
      <c r="AT505">
        <f t="shared" si="418"/>
        <v>-2462.7698484008515</v>
      </c>
      <c r="AU505">
        <f t="shared" si="419"/>
        <v>-321.38369572526625</v>
      </c>
      <c r="AV505">
        <f t="shared" si="407"/>
        <v>-3.0118290925281044</v>
      </c>
      <c r="AW505">
        <f t="shared" si="408"/>
        <v>520.92907846982712</v>
      </c>
      <c r="AX505">
        <f t="shared" si="409"/>
        <v>-2884.6786904773398</v>
      </c>
      <c r="AY505">
        <f t="shared" si="417"/>
        <v>-1.3921370146740151</v>
      </c>
      <c r="BA505">
        <f t="shared" si="398"/>
        <v>0.84727578789708202</v>
      </c>
      <c r="BB505">
        <f t="shared" si="410"/>
        <v>-1.4395040798862802</v>
      </c>
      <c r="BC505">
        <f t="shared" si="411"/>
        <v>-1.6196920778540893</v>
      </c>
      <c r="BD505">
        <f t="shared" si="399"/>
        <v>-272.80152027785527</v>
      </c>
      <c r="BF505">
        <f t="shared" si="400"/>
        <v>-57.210336861512999</v>
      </c>
      <c r="BG505">
        <f t="shared" si="401"/>
        <v>-187.47410399496511</v>
      </c>
      <c r="BH505">
        <f t="shared" si="412"/>
        <v>-7.4741039949651054</v>
      </c>
      <c r="BI505">
        <f t="shared" si="413"/>
        <v>-7.4741039949651054</v>
      </c>
      <c r="BJ505">
        <f t="shared" si="402"/>
        <v>0</v>
      </c>
      <c r="BK505">
        <f t="shared" si="414"/>
        <v>0</v>
      </c>
      <c r="BM505">
        <f t="shared" si="415"/>
        <v>-55.770832781626716</v>
      </c>
      <c r="BN505">
        <f t="shared" si="403"/>
        <v>-94.672583717109859</v>
      </c>
      <c r="BQ505" s="56">
        <f t="shared" si="416"/>
        <v>15.462456720398857</v>
      </c>
    </row>
    <row r="506" spans="1:69" x14ac:dyDescent="0.25">
      <c r="A506">
        <f t="shared" si="420"/>
        <v>1460000</v>
      </c>
      <c r="B506">
        <f t="shared" si="404"/>
        <v>1460</v>
      </c>
      <c r="C506">
        <f t="shared" si="373"/>
        <v>12.150176302124429</v>
      </c>
      <c r="D506">
        <f t="shared" si="374"/>
        <v>1.4883997916745422</v>
      </c>
      <c r="F506">
        <f t="shared" si="375"/>
        <v>8.8978382835775425E-6</v>
      </c>
      <c r="G506">
        <f t="shared" si="376"/>
        <v>1.1225684950129735E-3</v>
      </c>
      <c r="H506">
        <f t="shared" si="377"/>
        <v>-3.1404700815049873</v>
      </c>
      <c r="J506">
        <f t="shared" si="378"/>
        <v>15</v>
      </c>
      <c r="M506">
        <f t="shared" si="379"/>
        <v>1.2486853965522477E-3</v>
      </c>
      <c r="N506">
        <f t="shared" si="380"/>
        <v>-1.5707963250000001</v>
      </c>
      <c r="O506">
        <f t="shared" si="381"/>
        <v>241.4472890144084</v>
      </c>
      <c r="P506">
        <f t="shared" si="382"/>
        <v>1.5666546242185795</v>
      </c>
      <c r="Q506">
        <f t="shared" si="383"/>
        <v>375.37892800471701</v>
      </c>
      <c r="R506">
        <f t="shared" si="384"/>
        <v>1.5681323488563566</v>
      </c>
      <c r="S506">
        <f t="shared" si="385"/>
        <v>8.2303332489517239E-2</v>
      </c>
      <c r="T506">
        <f t="shared" si="386"/>
        <v>-1.4883997916745422</v>
      </c>
      <c r="U506">
        <f t="shared" si="387"/>
        <v>0.13273094271773264</v>
      </c>
      <c r="V506">
        <f t="shared" si="388"/>
        <v>-1.437672530240736</v>
      </c>
      <c r="X506">
        <f t="shared" si="405"/>
        <v>-53.958135956936843</v>
      </c>
      <c r="Y506">
        <f t="shared" si="389"/>
        <v>-172.69818652674198</v>
      </c>
      <c r="Z506">
        <f t="shared" si="406"/>
        <v>7.3018134732580222</v>
      </c>
      <c r="AC506">
        <v>1</v>
      </c>
      <c r="AD506">
        <f t="shared" si="390"/>
        <v>241.44521816016001</v>
      </c>
      <c r="AE506">
        <f t="shared" si="391"/>
        <v>-0.33223286496432708</v>
      </c>
      <c r="AF506">
        <f t="shared" si="392"/>
        <v>4.4491235109300004E-2</v>
      </c>
      <c r="AG506">
        <f t="shared" si="421"/>
        <v>92.649829323146491</v>
      </c>
      <c r="AH506">
        <f t="shared" si="422"/>
        <v>-714.32762332645655</v>
      </c>
      <c r="AJ506">
        <f t="shared" si="393"/>
        <v>18000</v>
      </c>
      <c r="AK506">
        <f t="shared" si="394"/>
        <v>217961.18478288001</v>
      </c>
      <c r="AL506">
        <v>1</v>
      </c>
      <c r="AM506">
        <f t="shared" si="395"/>
        <v>375.37759601495998</v>
      </c>
      <c r="AN506">
        <f t="shared" si="423"/>
        <v>580.76878230003979</v>
      </c>
      <c r="AO506">
        <f t="shared" si="424"/>
        <v>-46.404557444621041</v>
      </c>
      <c r="AQ506">
        <f t="shared" si="396"/>
        <v>1.1728277851346658E-3</v>
      </c>
      <c r="AR506">
        <f t="shared" si="397"/>
        <v>-3.4246571325932242</v>
      </c>
      <c r="AT506">
        <f t="shared" si="418"/>
        <v>-2446.2185279391974</v>
      </c>
      <c r="AU506">
        <f t="shared" si="419"/>
        <v>-318.13168210938494</v>
      </c>
      <c r="AV506">
        <f t="shared" si="407"/>
        <v>-3.0122680938719135</v>
      </c>
      <c r="AW506">
        <f t="shared" si="408"/>
        <v>521.34938160435911</v>
      </c>
      <c r="AX506">
        <f t="shared" si="409"/>
        <v>-2874.8859608393213</v>
      </c>
      <c r="AY506">
        <f t="shared" si="417"/>
        <v>-1.3913998318370879</v>
      </c>
      <c r="BA506">
        <f t="shared" si="398"/>
        <v>0.8442873248801821</v>
      </c>
      <c r="BB506">
        <f t="shared" si="410"/>
        <v>-1.4701946131122814</v>
      </c>
      <c r="BC506">
        <f t="shared" si="411"/>
        <v>-1.6208682620348256</v>
      </c>
      <c r="BD506">
        <f t="shared" si="399"/>
        <v>-272.8689106674185</v>
      </c>
      <c r="BF506">
        <f t="shared" si="400"/>
        <v>-57.271027672570312</v>
      </c>
      <c r="BG506">
        <f t="shared" si="401"/>
        <v>-187.52556584181869</v>
      </c>
      <c r="BH506">
        <f t="shared" si="412"/>
        <v>-7.5255658418186897</v>
      </c>
      <c r="BI506">
        <f t="shared" si="413"/>
        <v>-7.5255658418186897</v>
      </c>
      <c r="BJ506">
        <f t="shared" si="402"/>
        <v>0</v>
      </c>
      <c r="BK506">
        <f t="shared" si="414"/>
        <v>0</v>
      </c>
      <c r="BM506">
        <f t="shared" si="415"/>
        <v>-55.800833059458043</v>
      </c>
      <c r="BN506">
        <f t="shared" si="403"/>
        <v>-94.6566551744002</v>
      </c>
      <c r="BQ506" s="56">
        <f t="shared" si="416"/>
        <v>15.431766187172855</v>
      </c>
    </row>
    <row r="507" spans="1:69" x14ac:dyDescent="0.25">
      <c r="A507">
        <f t="shared" si="420"/>
        <v>1465000</v>
      </c>
      <c r="B507">
        <f t="shared" si="404"/>
        <v>1465</v>
      </c>
      <c r="C507">
        <f t="shared" si="373"/>
        <v>12.191505111956104</v>
      </c>
      <c r="D507">
        <f t="shared" si="374"/>
        <v>1.4886797438871344</v>
      </c>
      <c r="F507">
        <f t="shared" si="375"/>
        <v>8.8372053302661347E-6</v>
      </c>
      <c r="G507">
        <f t="shared" si="376"/>
        <v>1.1187371381925658E-3</v>
      </c>
      <c r="H507">
        <f t="shared" si="377"/>
        <v>-3.1404739128618075</v>
      </c>
      <c r="J507">
        <f t="shared" si="378"/>
        <v>15</v>
      </c>
      <c r="M507">
        <f t="shared" si="379"/>
        <v>1.2444236716493389E-3</v>
      </c>
      <c r="N507">
        <f t="shared" si="380"/>
        <v>-1.5707963250000001</v>
      </c>
      <c r="O507">
        <f t="shared" si="381"/>
        <v>242.27414913218678</v>
      </c>
      <c r="P507">
        <f t="shared" si="382"/>
        <v>1.5666687595614293</v>
      </c>
      <c r="Q507">
        <f t="shared" si="383"/>
        <v>376.6644631710729</v>
      </c>
      <c r="R507">
        <f t="shared" si="384"/>
        <v>1.5681414408884358</v>
      </c>
      <c r="S507">
        <f t="shared" si="385"/>
        <v>8.202432684208194E-2</v>
      </c>
      <c r="T507">
        <f t="shared" si="386"/>
        <v>-1.4886797438871342</v>
      </c>
      <c r="U507">
        <f t="shared" si="387"/>
        <v>0.13228587683692439</v>
      </c>
      <c r="V507">
        <f t="shared" si="388"/>
        <v>-1.4381215556852616</v>
      </c>
      <c r="X507">
        <f t="shared" si="405"/>
        <v>-54.017006518075277</v>
      </c>
      <c r="Y507">
        <f t="shared" si="389"/>
        <v>-172.72280247965841</v>
      </c>
      <c r="Z507">
        <f t="shared" si="406"/>
        <v>7.2771975203415877</v>
      </c>
      <c r="AC507">
        <v>1</v>
      </c>
      <c r="AD507">
        <f t="shared" si="390"/>
        <v>242.27208534563999</v>
      </c>
      <c r="AE507">
        <f t="shared" si="391"/>
        <v>-0.33451232905238454</v>
      </c>
      <c r="AF507">
        <f t="shared" si="392"/>
        <v>4.4643602352825003E-2</v>
      </c>
      <c r="AG507">
        <f t="shared" si="421"/>
        <v>92.029534715842942</v>
      </c>
      <c r="AH507">
        <f t="shared" si="422"/>
        <v>-711.97242884214904</v>
      </c>
      <c r="AJ507">
        <f t="shared" si="393"/>
        <v>18000</v>
      </c>
      <c r="AK507">
        <f t="shared" si="394"/>
        <v>218707.62719652001</v>
      </c>
      <c r="AL507">
        <v>1</v>
      </c>
      <c r="AM507">
        <f t="shared" si="395"/>
        <v>376.66313572733998</v>
      </c>
      <c r="AN507">
        <f t="shared" si="423"/>
        <v>580.76793991654142</v>
      </c>
      <c r="AO507">
        <f t="shared" si="424"/>
        <v>-46.24618235189584</v>
      </c>
      <c r="AQ507">
        <f t="shared" si="396"/>
        <v>1.1648357971745975E-3</v>
      </c>
      <c r="AR507">
        <f t="shared" si="397"/>
        <v>-3.412968885721571</v>
      </c>
      <c r="AT507">
        <f t="shared" si="418"/>
        <v>-2429.8325478334355</v>
      </c>
      <c r="AU507">
        <f t="shared" si="419"/>
        <v>-314.92326952432177</v>
      </c>
      <c r="AV507">
        <f t="shared" si="407"/>
        <v>-3.0127041527985496</v>
      </c>
      <c r="AW507">
        <f t="shared" si="408"/>
        <v>521.7652289274572</v>
      </c>
      <c r="AX507">
        <f t="shared" si="409"/>
        <v>-2865.1592179338295</v>
      </c>
      <c r="AY507">
        <f t="shared" si="417"/>
        <v>-1.3906633735831269</v>
      </c>
      <c r="BA507">
        <f t="shared" si="398"/>
        <v>0.84131864636417764</v>
      </c>
      <c r="BB507">
        <f t="shared" si="410"/>
        <v>-1.5007897119212343</v>
      </c>
      <c r="BC507">
        <f t="shared" si="411"/>
        <v>-1.6220407792154228</v>
      </c>
      <c r="BD507">
        <f t="shared" si="399"/>
        <v>-272.93609095335006</v>
      </c>
      <c r="BF507">
        <f t="shared" si="400"/>
        <v>-57.331519112133734</v>
      </c>
      <c r="BG507">
        <f t="shared" si="401"/>
        <v>-187.57692556806091</v>
      </c>
      <c r="BH507">
        <f t="shared" si="412"/>
        <v>-7.5769255680609149</v>
      </c>
      <c r="BI507">
        <f t="shared" si="413"/>
        <v>-7.5769255680609149</v>
      </c>
      <c r="BJ507">
        <f t="shared" si="402"/>
        <v>0</v>
      </c>
      <c r="BK507">
        <f t="shared" si="414"/>
        <v>0</v>
      </c>
      <c r="BM507">
        <f t="shared" si="415"/>
        <v>-55.830729400212505</v>
      </c>
      <c r="BN507">
        <f t="shared" si="403"/>
        <v>-94.640834614710826</v>
      </c>
      <c r="BQ507" s="56">
        <f t="shared" si="416"/>
        <v>15.401171088363903</v>
      </c>
    </row>
    <row r="508" spans="1:69" x14ac:dyDescent="0.25">
      <c r="A508">
        <f t="shared" si="420"/>
        <v>1470000</v>
      </c>
      <c r="B508">
        <f t="shared" si="404"/>
        <v>1470</v>
      </c>
      <c r="C508">
        <f t="shared" si="373"/>
        <v>12.232834870819248</v>
      </c>
      <c r="D508">
        <f t="shared" si="374"/>
        <v>1.4889578044327467</v>
      </c>
      <c r="F508">
        <f t="shared" si="375"/>
        <v>8.7771900345139098E-6</v>
      </c>
      <c r="G508">
        <f t="shared" si="376"/>
        <v>1.1149318456841789E-3</v>
      </c>
      <c r="H508">
        <f t="shared" si="377"/>
        <v>-3.1404777181543162</v>
      </c>
      <c r="J508">
        <f t="shared" si="378"/>
        <v>15</v>
      </c>
      <c r="M508">
        <f t="shared" si="379"/>
        <v>1.2401909380723003E-3</v>
      </c>
      <c r="N508">
        <f t="shared" si="380"/>
        <v>-1.5707963250000001</v>
      </c>
      <c r="O508">
        <f t="shared" si="381"/>
        <v>243.10100929804415</v>
      </c>
      <c r="P508">
        <f t="shared" si="382"/>
        <v>1.5666827987471168</v>
      </c>
      <c r="Q508">
        <f t="shared" si="383"/>
        <v>377.94999836835399</v>
      </c>
      <c r="R508">
        <f t="shared" si="384"/>
        <v>1.5681504710703913</v>
      </c>
      <c r="S508">
        <f t="shared" si="385"/>
        <v>8.1747200102033998E-2</v>
      </c>
      <c r="T508">
        <f t="shared" si="386"/>
        <v>-1.4889578044327467</v>
      </c>
      <c r="U508">
        <f t="shared" si="387"/>
        <v>0.13184375940379797</v>
      </c>
      <c r="V508">
        <f t="shared" si="388"/>
        <v>-1.4385675798107254</v>
      </c>
      <c r="X508">
        <f t="shared" si="405"/>
        <v>-54.075679962735691</v>
      </c>
      <c r="Y508">
        <f t="shared" si="389"/>
        <v>-172.74725402943506</v>
      </c>
      <c r="Z508">
        <f t="shared" si="406"/>
        <v>7.2527459705649449</v>
      </c>
      <c r="AC508">
        <v>1</v>
      </c>
      <c r="AD508">
        <f t="shared" si="390"/>
        <v>243.09895253112001</v>
      </c>
      <c r="AE508">
        <f t="shared" si="391"/>
        <v>-0.33679958618005928</v>
      </c>
      <c r="AF508">
        <f t="shared" si="392"/>
        <v>4.4795969596350002E-2</v>
      </c>
      <c r="AG508">
        <f t="shared" si="421"/>
        <v>91.415412173942045</v>
      </c>
      <c r="AH508">
        <f t="shared" si="422"/>
        <v>-709.63243517455624</v>
      </c>
      <c r="AJ508">
        <f t="shared" si="393"/>
        <v>18000</v>
      </c>
      <c r="AK508">
        <f t="shared" si="394"/>
        <v>219454.06961015999</v>
      </c>
      <c r="AL508">
        <v>1</v>
      </c>
      <c r="AM508">
        <f t="shared" si="395"/>
        <v>377.94867543971998</v>
      </c>
      <c r="AN508">
        <f t="shared" si="423"/>
        <v>580.76710611408578</v>
      </c>
      <c r="AO508">
        <f t="shared" si="424"/>
        <v>-46.088884618049562</v>
      </c>
      <c r="AQ508">
        <f t="shared" si="396"/>
        <v>1.1569252213284719E-3</v>
      </c>
      <c r="AR508">
        <f t="shared" si="397"/>
        <v>-3.401360150705707</v>
      </c>
      <c r="AT508">
        <f t="shared" si="418"/>
        <v>-2413.609725855024</v>
      </c>
      <c r="AU508">
        <f t="shared" si="419"/>
        <v>-311.75773179090999</v>
      </c>
      <c r="AV508">
        <f t="shared" si="407"/>
        <v>-3.0131372986120968</v>
      </c>
      <c r="AW508">
        <f t="shared" si="408"/>
        <v>522.17668360056848</v>
      </c>
      <c r="AX508">
        <f t="shared" si="409"/>
        <v>-2855.497799687043</v>
      </c>
      <c r="AY508">
        <f t="shared" si="417"/>
        <v>-1.3899276342017712</v>
      </c>
      <c r="BA508">
        <f t="shared" si="398"/>
        <v>0.83836955458312046</v>
      </c>
      <c r="BB508">
        <f t="shared" si="410"/>
        <v>-1.5312900298365233</v>
      </c>
      <c r="BC508">
        <f t="shared" si="411"/>
        <v>-1.6232096644103255</v>
      </c>
      <c r="BD508">
        <f t="shared" si="399"/>
        <v>-273.00306314182984</v>
      </c>
      <c r="BF508">
        <f t="shared" si="400"/>
        <v>-57.391812555814077</v>
      </c>
      <c r="BG508">
        <f t="shared" si="401"/>
        <v>-187.62818408801058</v>
      </c>
      <c r="BH508">
        <f t="shared" si="412"/>
        <v>-7.6281840880105847</v>
      </c>
      <c r="BI508">
        <f t="shared" si="413"/>
        <v>-7.6281840880105847</v>
      </c>
      <c r="BJ508">
        <f t="shared" si="402"/>
        <v>0</v>
      </c>
      <c r="BK508">
        <f t="shared" si="414"/>
        <v>0</v>
      </c>
      <c r="BM508">
        <f t="shared" si="415"/>
        <v>-55.860522525977558</v>
      </c>
      <c r="BN508">
        <f t="shared" si="403"/>
        <v>-94.625120946180743</v>
      </c>
      <c r="BQ508" s="56">
        <f t="shared" si="416"/>
        <v>15.370670770448614</v>
      </c>
    </row>
    <row r="509" spans="1:69" x14ac:dyDescent="0.25">
      <c r="A509">
        <f t="shared" si="420"/>
        <v>1475000</v>
      </c>
      <c r="B509">
        <f t="shared" si="404"/>
        <v>1475</v>
      </c>
      <c r="C509">
        <f t="shared" si="373"/>
        <v>12.274165569127081</v>
      </c>
      <c r="D509">
        <f t="shared" si="374"/>
        <v>1.4892339923775473</v>
      </c>
      <c r="F509">
        <f t="shared" si="375"/>
        <v>8.717784035400232E-6</v>
      </c>
      <c r="G509">
        <f t="shared" si="376"/>
        <v>1.1111523524181064E-3</v>
      </c>
      <c r="H509">
        <f t="shared" si="377"/>
        <v>-3.1404814976475821</v>
      </c>
      <c r="J509">
        <f t="shared" si="378"/>
        <v>15</v>
      </c>
      <c r="M509">
        <f t="shared" si="379"/>
        <v>1.2359869009940891E-3</v>
      </c>
      <c r="N509">
        <f t="shared" si="380"/>
        <v>-1.5707963250000001</v>
      </c>
      <c r="O509">
        <f t="shared" si="381"/>
        <v>243.92786951149156</v>
      </c>
      <c r="P509">
        <f t="shared" si="382"/>
        <v>1.5666967427534897</v>
      </c>
      <c r="Q509">
        <f t="shared" si="383"/>
        <v>379.23553359624577</v>
      </c>
      <c r="R509">
        <f t="shared" si="384"/>
        <v>1.5681594400312011</v>
      </c>
      <c r="S509">
        <f t="shared" si="385"/>
        <v>8.1471933417231759E-2</v>
      </c>
      <c r="T509">
        <f t="shared" si="386"/>
        <v>-1.4892339923775473</v>
      </c>
      <c r="U509">
        <f t="shared" si="387"/>
        <v>0.1314045614795924</v>
      </c>
      <c r="V509">
        <f t="shared" si="388"/>
        <v>-1.4390106324327552</v>
      </c>
      <c r="X509">
        <f t="shared" si="405"/>
        <v>-54.134157595270196</v>
      </c>
      <c r="Y509">
        <f t="shared" si="389"/>
        <v>-172.77154280750446</v>
      </c>
      <c r="Z509">
        <f t="shared" si="406"/>
        <v>7.2284571924955401</v>
      </c>
      <c r="AC509">
        <v>1</v>
      </c>
      <c r="AD509">
        <f t="shared" si="390"/>
        <v>243.92581971659999</v>
      </c>
      <c r="AE509">
        <f t="shared" si="391"/>
        <v>-0.33909463634735132</v>
      </c>
      <c r="AF509">
        <f t="shared" si="392"/>
        <v>4.4948336839875001E-2</v>
      </c>
      <c r="AG509">
        <f t="shared" si="421"/>
        <v>90.807380568803083</v>
      </c>
      <c r="AH509">
        <f t="shared" si="422"/>
        <v>-707.30749849302401</v>
      </c>
      <c r="AJ509">
        <f t="shared" si="393"/>
        <v>18000</v>
      </c>
      <c r="AK509">
        <f t="shared" si="394"/>
        <v>220200.51202380002</v>
      </c>
      <c r="AL509">
        <v>1</v>
      </c>
      <c r="AM509">
        <f t="shared" si="395"/>
        <v>379.23421515209998</v>
      </c>
      <c r="AN509">
        <f t="shared" si="423"/>
        <v>580.76628077651867</v>
      </c>
      <c r="AO509">
        <f t="shared" si="424"/>
        <v>-45.932653287196473</v>
      </c>
      <c r="AQ509">
        <f t="shared" si="396"/>
        <v>1.1490949555765637E-3</v>
      </c>
      <c r="AR509">
        <f t="shared" si="397"/>
        <v>-3.3898301189508624</v>
      </c>
      <c r="AT509">
        <f t="shared" si="418"/>
        <v>-2397.5479154485038</v>
      </c>
      <c r="AU509">
        <f t="shared" si="419"/>
        <v>-308.63435715372179</v>
      </c>
      <c r="AV509">
        <f t="shared" si="407"/>
        <v>-3.0135675602311953</v>
      </c>
      <c r="AW509">
        <f t="shared" si="408"/>
        <v>522.58380766436198</v>
      </c>
      <c r="AX509">
        <f t="shared" si="409"/>
        <v>-2845.9010528194408</v>
      </c>
      <c r="AY509">
        <f t="shared" si="417"/>
        <v>-1.3891926080767822</v>
      </c>
      <c r="BA509">
        <f t="shared" si="398"/>
        <v>0.83543985439162383</v>
      </c>
      <c r="BB509">
        <f t="shared" si="410"/>
        <v>-1.5616962139411517</v>
      </c>
      <c r="BC509">
        <f t="shared" si="411"/>
        <v>-1.6243749521544131</v>
      </c>
      <c r="BD509">
        <f t="shared" si="399"/>
        <v>-273.06982921156066</v>
      </c>
      <c r="BF509">
        <f t="shared" si="400"/>
        <v>-57.451909365241278</v>
      </c>
      <c r="BG509">
        <f t="shared" si="401"/>
        <v>-187.67934230314697</v>
      </c>
      <c r="BH509">
        <f t="shared" si="412"/>
        <v>-7.6793423031469672</v>
      </c>
      <c r="BI509">
        <f t="shared" si="413"/>
        <v>-7.6793423031469672</v>
      </c>
      <c r="BJ509">
        <f t="shared" si="402"/>
        <v>0</v>
      </c>
      <c r="BK509">
        <f t="shared" si="414"/>
        <v>0</v>
      </c>
      <c r="BM509">
        <f t="shared" si="415"/>
        <v>-55.890213151300124</v>
      </c>
      <c r="BN509">
        <f t="shared" si="403"/>
        <v>-94.609513091586294</v>
      </c>
      <c r="BQ509" s="56">
        <f t="shared" si="416"/>
        <v>15.340264586343984</v>
      </c>
    </row>
    <row r="510" spans="1:69" x14ac:dyDescent="0.25">
      <c r="A510">
        <f t="shared" si="420"/>
        <v>1480000</v>
      </c>
      <c r="B510">
        <f t="shared" si="404"/>
        <v>1480</v>
      </c>
      <c r="C510">
        <f t="shared" si="373"/>
        <v>12.315497197421305</v>
      </c>
      <c r="D510">
        <f t="shared" si="374"/>
        <v>1.4895083265329063</v>
      </c>
      <c r="F510">
        <f t="shared" si="375"/>
        <v>8.6589791129995523E-6</v>
      </c>
      <c r="G510">
        <f t="shared" si="376"/>
        <v>1.107398396906815E-3</v>
      </c>
      <c r="H510">
        <f t="shared" si="377"/>
        <v>-3.1404852516030934</v>
      </c>
      <c r="J510">
        <f t="shared" si="378"/>
        <v>15</v>
      </c>
      <c r="M510">
        <f t="shared" si="379"/>
        <v>1.2318112695718119E-3</v>
      </c>
      <c r="N510">
        <f t="shared" si="380"/>
        <v>-1.5707963250000001</v>
      </c>
      <c r="O510">
        <f t="shared" si="381"/>
        <v>244.75472977204674</v>
      </c>
      <c r="P510">
        <f t="shared" si="382"/>
        <v>1.5667105925451812</v>
      </c>
      <c r="Q510">
        <f t="shared" si="383"/>
        <v>380.521068854438</v>
      </c>
      <c r="R510">
        <f t="shared" si="384"/>
        <v>1.5681683483913447</v>
      </c>
      <c r="S510">
        <f t="shared" si="385"/>
        <v>8.1198508186042739E-2</v>
      </c>
      <c r="T510">
        <f t="shared" si="386"/>
        <v>-1.4895083265329063</v>
      </c>
      <c r="U510">
        <f t="shared" si="387"/>
        <v>0.13096825449949573</v>
      </c>
      <c r="V510">
        <f t="shared" si="388"/>
        <v>-1.4394507429756882</v>
      </c>
      <c r="X510">
        <f t="shared" si="405"/>
        <v>-54.192440707237346</v>
      </c>
      <c r="Y510">
        <f t="shared" si="389"/>
        <v>-172.79567042391892</v>
      </c>
      <c r="Z510">
        <f t="shared" si="406"/>
        <v>7.2043295760810793</v>
      </c>
      <c r="AC510">
        <v>1</v>
      </c>
      <c r="AD510">
        <f t="shared" si="390"/>
        <v>244.75268690208003</v>
      </c>
      <c r="AE510">
        <f t="shared" si="391"/>
        <v>-0.34139747955426064</v>
      </c>
      <c r="AF510">
        <f t="shared" si="392"/>
        <v>4.5100704083400001E-2</v>
      </c>
      <c r="AG510">
        <f t="shared" si="421"/>
        <v>90.205360092366675</v>
      </c>
      <c r="AH510">
        <f t="shared" si="422"/>
        <v>-704.99747673609886</v>
      </c>
      <c r="AJ510">
        <f t="shared" si="393"/>
        <v>18000</v>
      </c>
      <c r="AK510">
        <f t="shared" si="394"/>
        <v>220946.95443744003</v>
      </c>
      <c r="AL510">
        <v>1</v>
      </c>
      <c r="AM510">
        <f t="shared" si="395"/>
        <v>380.51975486447998</v>
      </c>
      <c r="AN510">
        <f t="shared" si="423"/>
        <v>580.7654637896444</v>
      </c>
      <c r="AO510">
        <f t="shared" si="424"/>
        <v>-45.777477551498272</v>
      </c>
      <c r="AQ510">
        <f t="shared" si="396"/>
        <v>1.1413439164828438E-3</v>
      </c>
      <c r="AR510">
        <f t="shared" si="397"/>
        <v>-3.3783779927892175</v>
      </c>
      <c r="AT510">
        <f t="shared" si="418"/>
        <v>-2381.6450050381891</v>
      </c>
      <c r="AU510">
        <f t="shared" si="419"/>
        <v>-305.55244794888682</v>
      </c>
      <c r="AV510">
        <f t="shared" si="407"/>
        <v>-3.0139949661953152</v>
      </c>
      <c r="AW510">
        <f t="shared" si="408"/>
        <v>522.9866620625977</v>
      </c>
      <c r="AX510">
        <f t="shared" si="409"/>
        <v>-2836.3683327007811</v>
      </c>
      <c r="AY510">
        <f t="shared" si="417"/>
        <v>-1.3884582896842279</v>
      </c>
      <c r="BA510">
        <f t="shared" si="398"/>
        <v>0.83252935322184041</v>
      </c>
      <c r="BB510">
        <f t="shared" si="410"/>
        <v>-1.5920089049605137</v>
      </c>
      <c r="BC510">
        <f t="shared" si="411"/>
        <v>-1.6255366765110872</v>
      </c>
      <c r="BD510">
        <f t="shared" si="399"/>
        <v>-273.13639111423174</v>
      </c>
      <c r="BF510">
        <f t="shared" si="400"/>
        <v>-57.511810888252271</v>
      </c>
      <c r="BG510">
        <f t="shared" si="401"/>
        <v>-187.73040110232918</v>
      </c>
      <c r="BH510">
        <f t="shared" si="412"/>
        <v>-7.7304011023291821</v>
      </c>
      <c r="BI510">
        <f t="shared" si="413"/>
        <v>-7.7304011023291821</v>
      </c>
      <c r="BJ510">
        <f t="shared" si="402"/>
        <v>0</v>
      </c>
      <c r="BK510">
        <f t="shared" si="414"/>
        <v>0</v>
      </c>
      <c r="BM510">
        <f t="shared" si="415"/>
        <v>-55.919801983291755</v>
      </c>
      <c r="BN510">
        <f t="shared" si="403"/>
        <v>-94.594009988097483</v>
      </c>
      <c r="BQ510" s="56">
        <f t="shared" si="416"/>
        <v>15.309951895324623</v>
      </c>
    </row>
    <row r="511" spans="1:69" x14ac:dyDescent="0.25">
      <c r="A511">
        <f t="shared" si="420"/>
        <v>1485000</v>
      </c>
      <c r="B511">
        <f t="shared" si="404"/>
        <v>1485</v>
      </c>
      <c r="C511">
        <f t="shared" si="373"/>
        <v>12.356829746369941</v>
      </c>
      <c r="D511">
        <f t="shared" si="374"/>
        <v>1.4897808254596292</v>
      </c>
      <c r="F511">
        <f t="shared" si="375"/>
        <v>8.6007671855377733E-6</v>
      </c>
      <c r="G511">
        <f t="shared" si="376"/>
        <v>1.103669721184634E-3</v>
      </c>
      <c r="H511">
        <f t="shared" si="377"/>
        <v>-3.1404889802788154</v>
      </c>
      <c r="J511">
        <f t="shared" si="378"/>
        <v>15</v>
      </c>
      <c r="M511">
        <f t="shared" si="379"/>
        <v>1.2276637568796509E-3</v>
      </c>
      <c r="N511">
        <f t="shared" si="380"/>
        <v>-1.5707963250000001</v>
      </c>
      <c r="O511">
        <f t="shared" si="381"/>
        <v>245.58159007923376</v>
      </c>
      <c r="P511">
        <f t="shared" si="382"/>
        <v>1.5667243490738341</v>
      </c>
      <c r="Q511">
        <f t="shared" si="383"/>
        <v>381.80660414262456</v>
      </c>
      <c r="R511">
        <f t="shared" si="384"/>
        <v>1.5681771967629436</v>
      </c>
      <c r="S511">
        <f t="shared" si="385"/>
        <v>8.0926906053210748E-2</v>
      </c>
      <c r="T511">
        <f t="shared" si="386"/>
        <v>-1.4897808254596292</v>
      </c>
      <c r="U511">
        <f t="shared" si="387"/>
        <v>0.13053481026668348</v>
      </c>
      <c r="V511">
        <f t="shared" si="388"/>
        <v>-1.4398879404789315</v>
      </c>
      <c r="X511">
        <f t="shared" si="405"/>
        <v>-54.250530577567446</v>
      </c>
      <c r="Y511">
        <f t="shared" si="389"/>
        <v>-172.8196384676971</v>
      </c>
      <c r="Z511">
        <f t="shared" si="406"/>
        <v>7.1803615323028964</v>
      </c>
      <c r="AC511">
        <v>1</v>
      </c>
      <c r="AD511">
        <f t="shared" si="390"/>
        <v>245.57955408756001</v>
      </c>
      <c r="AE511">
        <f t="shared" si="391"/>
        <v>-0.34370811580078731</v>
      </c>
      <c r="AF511">
        <f t="shared" si="392"/>
        <v>4.5253071326925E-2</v>
      </c>
      <c r="AG511">
        <f t="shared" si="421"/>
        <v>89.609272231603001</v>
      </c>
      <c r="AH511">
        <f t="shared" si="422"/>
        <v>-702.70222958510715</v>
      </c>
      <c r="AJ511">
        <f t="shared" si="393"/>
        <v>18000</v>
      </c>
      <c r="AK511">
        <f t="shared" si="394"/>
        <v>221693.39685108</v>
      </c>
      <c r="AL511">
        <v>1</v>
      </c>
      <c r="AM511">
        <f t="shared" si="395"/>
        <v>381.80529457685998</v>
      </c>
      <c r="AN511">
        <f t="shared" si="423"/>
        <v>580.76465504118642</v>
      </c>
      <c r="AO511">
        <f t="shared" si="424"/>
        <v>-45.623346748671672</v>
      </c>
      <c r="AQ511">
        <f t="shared" si="396"/>
        <v>1.133671038820184E-3</v>
      </c>
      <c r="AR511">
        <f t="shared" si="397"/>
        <v>-3.3670029852959464</v>
      </c>
      <c r="AT511">
        <f t="shared" si="418"/>
        <v>-2365.8989173504347</v>
      </c>
      <c r="AU511">
        <f t="shared" si="419"/>
        <v>-302.51132028059948</v>
      </c>
      <c r="AV511">
        <f t="shared" si="407"/>
        <v>-3.0144195446709139</v>
      </c>
      <c r="AW511">
        <f t="shared" si="408"/>
        <v>523.38530666540248</v>
      </c>
      <c r="AX511">
        <f t="shared" si="409"/>
        <v>-2826.8990032079296</v>
      </c>
      <c r="AY511">
        <f t="shared" si="417"/>
        <v>-1.3877246735907112</v>
      </c>
      <c r="BA511">
        <f t="shared" si="398"/>
        <v>0.82963786104128223</v>
      </c>
      <c r="BB511">
        <f t="shared" si="410"/>
        <v>-1.6222287373438429</v>
      </c>
      <c r="BC511">
        <f t="shared" si="411"/>
        <v>-1.6266948710802027</v>
      </c>
      <c r="BD511">
        <f t="shared" si="399"/>
        <v>-273.20275077497286</v>
      </c>
      <c r="BF511">
        <f t="shared" si="400"/>
        <v>-57.57151845907579</v>
      </c>
      <c r="BG511">
        <f t="shared" si="401"/>
        <v>-187.78136136201169</v>
      </c>
      <c r="BH511">
        <f t="shared" si="412"/>
        <v>-7.7813613620116939</v>
      </c>
      <c r="BI511">
        <f t="shared" si="413"/>
        <v>-7.7813613620116939</v>
      </c>
      <c r="BJ511">
        <f t="shared" si="402"/>
        <v>0</v>
      </c>
      <c r="BK511">
        <f t="shared" si="414"/>
        <v>0</v>
      </c>
      <c r="BM511">
        <f t="shared" si="415"/>
        <v>-55.949289721731944</v>
      </c>
      <c r="BN511">
        <f t="shared" si="403"/>
        <v>-94.578610587038867</v>
      </c>
      <c r="BQ511" s="56">
        <f t="shared" si="416"/>
        <v>15.279732062941294</v>
      </c>
    </row>
    <row r="512" spans="1:69" x14ac:dyDescent="0.25">
      <c r="A512">
        <f t="shared" si="420"/>
        <v>1490000</v>
      </c>
      <c r="B512">
        <f t="shared" si="404"/>
        <v>1490</v>
      </c>
      <c r="C512">
        <f t="shared" si="373"/>
        <v>12.398163206765263</v>
      </c>
      <c r="D512">
        <f t="shared" si="374"/>
        <v>1.4900515074721041</v>
      </c>
      <c r="F512">
        <f t="shared" si="375"/>
        <v>8.5431403066153193E-6</v>
      </c>
      <c r="G512">
        <f t="shared" si="376"/>
        <v>1.0999660707486632E-3</v>
      </c>
      <c r="H512">
        <f t="shared" si="377"/>
        <v>-3.1404926839292515</v>
      </c>
      <c r="J512">
        <f t="shared" si="378"/>
        <v>15</v>
      </c>
      <c r="M512">
        <f t="shared" si="379"/>
        <v>1.2235440798431421E-3</v>
      </c>
      <c r="N512">
        <f t="shared" si="380"/>
        <v>-1.5707963250000001</v>
      </c>
      <c r="O512">
        <f t="shared" si="381"/>
        <v>246.40845043258332</v>
      </c>
      <c r="P512">
        <f t="shared" si="382"/>
        <v>1.5667380132783169</v>
      </c>
      <c r="Q512">
        <f t="shared" si="383"/>
        <v>383.09213946050357</v>
      </c>
      <c r="R512">
        <f t="shared" si="384"/>
        <v>1.5681859857499043</v>
      </c>
      <c r="S512">
        <f t="shared" si="385"/>
        <v>8.0657108905804187E-2</v>
      </c>
      <c r="T512">
        <f t="shared" si="386"/>
        <v>-1.4900515074721041</v>
      </c>
      <c r="U512">
        <f t="shared" si="387"/>
        <v>0.13010420094646921</v>
      </c>
      <c r="V512">
        <f t="shared" si="388"/>
        <v>-1.4403222536031981</v>
      </c>
      <c r="X512">
        <f t="shared" si="405"/>
        <v>-54.308428472725218</v>
      </c>
      <c r="Y512">
        <f t="shared" si="389"/>
        <v>-172.84344850716437</v>
      </c>
      <c r="Z512">
        <f t="shared" si="406"/>
        <v>7.1565514928356322</v>
      </c>
      <c r="AC512">
        <v>1</v>
      </c>
      <c r="AD512">
        <f t="shared" si="390"/>
        <v>246.40642127304002</v>
      </c>
      <c r="AE512">
        <f t="shared" si="391"/>
        <v>-0.3460265450869312</v>
      </c>
      <c r="AF512">
        <f t="shared" si="392"/>
        <v>4.5405438570449999E-2</v>
      </c>
      <c r="AG512">
        <f t="shared" si="421"/>
        <v>89.019039743531806</v>
      </c>
      <c r="AH512">
        <f t="shared" si="422"/>
        <v>-700.42161843819281</v>
      </c>
      <c r="AJ512">
        <f t="shared" si="393"/>
        <v>18000</v>
      </c>
      <c r="AK512">
        <f t="shared" si="394"/>
        <v>222439.83926472004</v>
      </c>
      <c r="AL512">
        <v>1</v>
      </c>
      <c r="AM512">
        <f t="shared" si="395"/>
        <v>383.09083428923998</v>
      </c>
      <c r="AN512">
        <f t="shared" si="423"/>
        <v>580.76385442074945</v>
      </c>
      <c r="AO512">
        <f t="shared" si="424"/>
        <v>-45.470250359546412</v>
      </c>
      <c r="AQ512">
        <f t="shared" si="396"/>
        <v>1.1260752752043517E-3</v>
      </c>
      <c r="AR512">
        <f t="shared" si="397"/>
        <v>-3.355704320108968</v>
      </c>
      <c r="AT512">
        <f t="shared" si="418"/>
        <v>-2350.3076087510813</v>
      </c>
      <c r="AU512">
        <f t="shared" si="419"/>
        <v>-299.5103037060635</v>
      </c>
      <c r="AV512">
        <f t="shared" si="407"/>
        <v>-3.0148413234574716</v>
      </c>
      <c r="AW512">
        <f t="shared" si="408"/>
        <v>523.77980029197283</v>
      </c>
      <c r="AX512">
        <f t="shared" si="409"/>
        <v>-2817.492436585484</v>
      </c>
      <c r="AY512">
        <f t="shared" si="417"/>
        <v>-1.3869917544516355</v>
      </c>
      <c r="BA512">
        <f t="shared" si="398"/>
        <v>0.82676519031145734</v>
      </c>
      <c r="BB512">
        <f t="shared" si="410"/>
        <v>-1.6523563393444141</v>
      </c>
      <c r="BC512">
        <f t="shared" si="411"/>
        <v>-1.6278495690058361</v>
      </c>
      <c r="BD512">
        <f t="shared" si="399"/>
        <v>-273.26891009279973</v>
      </c>
      <c r="BF512">
        <f t="shared" si="400"/>
        <v>-57.631033398514042</v>
      </c>
      <c r="BG512">
        <f t="shared" si="401"/>
        <v>-187.83222394645497</v>
      </c>
      <c r="BH512">
        <f t="shared" si="412"/>
        <v>-7.8322239464549739</v>
      </c>
      <c r="BI512">
        <f t="shared" si="413"/>
        <v>-7.8322239464549739</v>
      </c>
      <c r="BJ512">
        <f t="shared" si="402"/>
        <v>0</v>
      </c>
      <c r="BK512">
        <f t="shared" si="414"/>
        <v>0</v>
      </c>
      <c r="BM512">
        <f t="shared" si="415"/>
        <v>-55.97867705916962</v>
      </c>
      <c r="BN512">
        <f t="shared" si="403"/>
        <v>-94.563313853655259</v>
      </c>
      <c r="BQ512" s="56">
        <f t="shared" si="416"/>
        <v>15.249604460940722</v>
      </c>
    </row>
    <row r="513" spans="1:69" x14ac:dyDescent="0.25">
      <c r="A513">
        <f t="shared" si="420"/>
        <v>1495000</v>
      </c>
      <c r="B513">
        <f t="shared" si="404"/>
        <v>1495</v>
      </c>
      <c r="C513">
        <f t="shared" si="373"/>
        <v>12.439497569521714</v>
      </c>
      <c r="D513">
        <f t="shared" si="374"/>
        <v>1.490320390642371</v>
      </c>
      <c r="F513">
        <f t="shared" si="375"/>
        <v>8.4860906624950672E-6</v>
      </c>
      <c r="G513">
        <f t="shared" si="376"/>
        <v>1.0962871945008625E-3</v>
      </c>
      <c r="H513">
        <f t="shared" si="377"/>
        <v>-3.1404963628054992</v>
      </c>
      <c r="J513">
        <f t="shared" si="378"/>
        <v>15</v>
      </c>
      <c r="M513">
        <f t="shared" si="379"/>
        <v>1.2194519591747703E-3</v>
      </c>
      <c r="N513">
        <f t="shared" si="380"/>
        <v>-1.5707963250000001</v>
      </c>
      <c r="O513">
        <f t="shared" si="381"/>
        <v>247.23531083163215</v>
      </c>
      <c r="P513">
        <f t="shared" si="382"/>
        <v>1.5667515860849388</v>
      </c>
      <c r="Q513">
        <f t="shared" si="383"/>
        <v>384.37767480777711</v>
      </c>
      <c r="R513">
        <f t="shared" si="384"/>
        <v>1.568194715948054</v>
      </c>
      <c r="S513">
        <f t="shared" si="385"/>
        <v>8.0389098869243905E-2</v>
      </c>
      <c r="T513">
        <f t="shared" si="386"/>
        <v>-1.490320390642371</v>
      </c>
      <c r="U513">
        <f t="shared" si="387"/>
        <v>0.12967639906056527</v>
      </c>
      <c r="V513">
        <f t="shared" si="388"/>
        <v>-1.4407537106366237</v>
      </c>
      <c r="X513">
        <f t="shared" si="405"/>
        <v>-54.366135646869999</v>
      </c>
      <c r="Y513">
        <f t="shared" si="389"/>
        <v>-172.86710209028641</v>
      </c>
      <c r="Z513">
        <f t="shared" si="406"/>
        <v>7.1328979097135914</v>
      </c>
      <c r="AC513">
        <v>1</v>
      </c>
      <c r="AD513">
        <f t="shared" si="390"/>
        <v>247.23328845852001</v>
      </c>
      <c r="AE513">
        <f t="shared" si="391"/>
        <v>-0.34835276741269239</v>
      </c>
      <c r="AF513">
        <f t="shared" si="392"/>
        <v>4.5557805813974998E-2</v>
      </c>
      <c r="AG513">
        <f t="shared" si="421"/>
        <v>88.434586630798464</v>
      </c>
      <c r="AH513">
        <f t="shared" si="422"/>
        <v>-698.15550638480067</v>
      </c>
      <c r="AJ513">
        <f t="shared" si="393"/>
        <v>18000</v>
      </c>
      <c r="AK513">
        <f t="shared" si="394"/>
        <v>223186.28167835998</v>
      </c>
      <c r="AL513">
        <v>1</v>
      </c>
      <c r="AM513">
        <f t="shared" si="395"/>
        <v>384.37637400161998</v>
      </c>
      <c r="AN513">
        <f t="shared" si="423"/>
        <v>580.76306181977986</v>
      </c>
      <c r="AO513">
        <f t="shared" si="424"/>
        <v>-45.318178005672131</v>
      </c>
      <c r="AQ513">
        <f t="shared" si="396"/>
        <v>1.1185555957365582E-3</v>
      </c>
      <c r="AR513">
        <f t="shared" si="397"/>
        <v>-3.3444812312523093</v>
      </c>
      <c r="AT513">
        <f t="shared" si="418"/>
        <v>-2334.8690685976849</v>
      </c>
      <c r="AU513">
        <f t="shared" si="419"/>
        <v>-296.54874092862286</v>
      </c>
      <c r="AV513">
        <f t="shared" si="407"/>
        <v>-3.0152603299934126</v>
      </c>
      <c r="AW513">
        <f t="shared" si="408"/>
        <v>524.17020073271306</v>
      </c>
      <c r="AX513">
        <f t="shared" si="409"/>
        <v>-2808.1480133091027</v>
      </c>
      <c r="AY513">
        <f t="shared" si="417"/>
        <v>-1.3862595270095115</v>
      </c>
      <c r="BA513">
        <f t="shared" si="398"/>
        <v>0.8239111559473149</v>
      </c>
      <c r="BB513">
        <f t="shared" si="410"/>
        <v>-1.6823923330984301</v>
      </c>
      <c r="BC513">
        <f t="shared" si="411"/>
        <v>-1.6290008029839012</v>
      </c>
      <c r="BD513">
        <f t="shared" si="399"/>
        <v>-273.33487094105033</v>
      </c>
      <c r="BF513">
        <f t="shared" si="400"/>
        <v>-57.690357014121346</v>
      </c>
      <c r="BG513">
        <f t="shared" si="401"/>
        <v>-187.88298970793213</v>
      </c>
      <c r="BH513">
        <f t="shared" si="412"/>
        <v>-7.8829897079321256</v>
      </c>
      <c r="BI513">
        <f t="shared" si="413"/>
        <v>-7.8829897079321256</v>
      </c>
      <c r="BJ513">
        <f t="shared" si="402"/>
        <v>0</v>
      </c>
      <c r="BK513">
        <f t="shared" si="414"/>
        <v>0</v>
      </c>
      <c r="BM513">
        <f t="shared" si="415"/>
        <v>-56.007964681022919</v>
      </c>
      <c r="BN513">
        <f t="shared" si="403"/>
        <v>-94.548118766881842</v>
      </c>
      <c r="BQ513" s="56">
        <f t="shared" si="416"/>
        <v>15.219568467186708</v>
      </c>
    </row>
    <row r="514" spans="1:69" x14ac:dyDescent="0.25">
      <c r="A514">
        <f t="shared" si="420"/>
        <v>1500000</v>
      </c>
      <c r="B514">
        <f t="shared" si="404"/>
        <v>1500</v>
      </c>
      <c r="C514">
        <f t="shared" si="373"/>
        <v>12.480832825673902</v>
      </c>
      <c r="D514">
        <f t="shared" si="374"/>
        <v>1.4905874928041059</v>
      </c>
      <c r="F514">
        <f t="shared" si="375"/>
        <v>8.4296105694534949E-6</v>
      </c>
      <c r="G514">
        <f t="shared" si="376"/>
        <v>1.0926328446913013E-3</v>
      </c>
      <c r="H514">
        <f t="shared" si="377"/>
        <v>-3.140500017155309</v>
      </c>
      <c r="J514">
        <f t="shared" si="378"/>
        <v>15</v>
      </c>
      <c r="M514">
        <f t="shared" si="379"/>
        <v>1.2153871193108544E-3</v>
      </c>
      <c r="N514">
        <f t="shared" si="380"/>
        <v>-1.5707963250000001</v>
      </c>
      <c r="O514">
        <f t="shared" si="381"/>
        <v>248.0621712759233</v>
      </c>
      <c r="P514">
        <f t="shared" si="382"/>
        <v>1.5667650684076588</v>
      </c>
      <c r="Q514">
        <f t="shared" si="383"/>
        <v>385.66321018415118</v>
      </c>
      <c r="R514">
        <f t="shared" si="384"/>
        <v>1.5682033879452753</v>
      </c>
      <c r="S514">
        <f t="shared" si="385"/>
        <v>8.0122858303408567E-2</v>
      </c>
      <c r="T514">
        <f t="shared" si="386"/>
        <v>-1.4905874928041059</v>
      </c>
      <c r="U514">
        <f t="shared" si="387"/>
        <v>0.12925137748145132</v>
      </c>
      <c r="V514">
        <f t="shared" si="388"/>
        <v>-1.4411823395007652</v>
      </c>
      <c r="X514">
        <f t="shared" si="405"/>
        <v>-54.423653342013182</v>
      </c>
      <c r="Y514">
        <f t="shared" si="389"/>
        <v>-172.89060074499639</v>
      </c>
      <c r="Z514">
        <f t="shared" si="406"/>
        <v>7.1093992550036091</v>
      </c>
      <c r="AC514">
        <v>1</v>
      </c>
      <c r="AD514">
        <f t="shared" si="390"/>
        <v>248.06015564399999</v>
      </c>
      <c r="AE514">
        <f t="shared" si="391"/>
        <v>-0.35068678277807092</v>
      </c>
      <c r="AF514">
        <f t="shared" si="392"/>
        <v>4.5710173057499998E-2</v>
      </c>
      <c r="AG514">
        <f t="shared" si="421"/>
        <v>87.855838117793311</v>
      </c>
      <c r="AH514">
        <f t="shared" si="422"/>
        <v>-695.90375818060181</v>
      </c>
      <c r="AJ514">
        <f t="shared" si="393"/>
        <v>18000</v>
      </c>
      <c r="AK514">
        <f t="shared" si="394"/>
        <v>223932.72409200002</v>
      </c>
      <c r="AL514">
        <v>1</v>
      </c>
      <c r="AM514">
        <f t="shared" si="395"/>
        <v>385.66191371399998</v>
      </c>
      <c r="AN514">
        <f t="shared" si="423"/>
        <v>580.76227713153185</v>
      </c>
      <c r="AO514">
        <f t="shared" si="424"/>
        <v>-45.167119446973089</v>
      </c>
      <c r="AQ514">
        <f t="shared" si="396"/>
        <v>1.1111109876543346E-3</v>
      </c>
      <c r="AR514">
        <f t="shared" si="397"/>
        <v>-3.333332962963004</v>
      </c>
      <c r="AT514">
        <f t="shared" si="418"/>
        <v>-2319.5813186061728</v>
      </c>
      <c r="AU514">
        <f t="shared" si="419"/>
        <v>-293.62598749884643</v>
      </c>
      <c r="AV514">
        <f t="shared" si="407"/>
        <v>-3.0156765913619119</v>
      </c>
      <c r="AW514">
        <f t="shared" si="408"/>
        <v>524.55656477083721</v>
      </c>
      <c r="AX514">
        <f t="shared" si="409"/>
        <v>-2798.8651219515186</v>
      </c>
      <c r="AY514">
        <f t="shared" si="417"/>
        <v>-1.3855279860923013</v>
      </c>
      <c r="BA514">
        <f t="shared" si="398"/>
        <v>0.82107557527746799</v>
      </c>
      <c r="BB514">
        <f t="shared" si="410"/>
        <v>-1.7123373347027391</v>
      </c>
      <c r="BC514">
        <f t="shared" si="411"/>
        <v>-1.6301486052696106</v>
      </c>
      <c r="BD514">
        <f t="shared" si="399"/>
        <v>-273.40063516781208</v>
      </c>
      <c r="BF514">
        <f t="shared" si="400"/>
        <v>-57.749490600379929</v>
      </c>
      <c r="BG514">
        <f t="shared" si="401"/>
        <v>-187.93365948693136</v>
      </c>
      <c r="BH514">
        <f t="shared" si="412"/>
        <v>-7.9336594869313615</v>
      </c>
      <c r="BI514">
        <f t="shared" si="413"/>
        <v>-7.9336594869313615</v>
      </c>
      <c r="BJ514">
        <f t="shared" si="402"/>
        <v>0</v>
      </c>
      <c r="BK514">
        <f t="shared" si="414"/>
        <v>0</v>
      </c>
      <c r="BM514">
        <f t="shared" si="415"/>
        <v>-56.037153265677176</v>
      </c>
      <c r="BN514">
        <f t="shared" si="403"/>
        <v>-94.533024319119335</v>
      </c>
      <c r="BQ514" s="56">
        <f t="shared" si="416"/>
        <v>15.189623465582399</v>
      </c>
    </row>
    <row r="515" spans="1:69" x14ac:dyDescent="0.25">
      <c r="A515">
        <f t="shared" si="420"/>
        <v>1505000</v>
      </c>
      <c r="B515">
        <f t="shared" si="404"/>
        <v>1505</v>
      </c>
      <c r="C515">
        <f t="shared" si="373"/>
        <v>12.522168966374617</v>
      </c>
      <c r="D515">
        <f t="shared" si="374"/>
        <v>1.490852831556531</v>
      </c>
      <c r="F515">
        <f t="shared" si="375"/>
        <v>8.3736924711933178E-6</v>
      </c>
      <c r="G515">
        <f t="shared" si="376"/>
        <v>1.0890027768625406E-3</v>
      </c>
      <c r="H515">
        <f t="shared" si="377"/>
        <v>-3.1405036472231376</v>
      </c>
      <c r="J515">
        <f t="shared" si="378"/>
        <v>15</v>
      </c>
      <c r="M515">
        <f t="shared" si="379"/>
        <v>1.2113492883496888E-3</v>
      </c>
      <c r="N515">
        <f t="shared" si="380"/>
        <v>-1.5707963250000001</v>
      </c>
      <c r="O515">
        <f t="shared" si="381"/>
        <v>248.88903176500588</v>
      </c>
      <c r="P515">
        <f t="shared" si="382"/>
        <v>1.56677846114829</v>
      </c>
      <c r="Q515">
        <f t="shared" si="383"/>
        <v>386.94874558933577</v>
      </c>
      <c r="R515">
        <f t="shared" si="384"/>
        <v>1.5682120023216386</v>
      </c>
      <c r="S515">
        <f t="shared" si="385"/>
        <v>7.9858369798815887E-2</v>
      </c>
      <c r="T515">
        <f t="shared" si="386"/>
        <v>-1.490852831556531</v>
      </c>
      <c r="U515">
        <f t="shared" si="387"/>
        <v>0.12882910942684814</v>
      </c>
      <c r="V515">
        <f t="shared" si="388"/>
        <v>-1.4416081677564847</v>
      </c>
      <c r="X515">
        <f t="shared" si="405"/>
        <v>-54.480982788173371</v>
      </c>
      <c r="Y515">
        <f t="shared" si="389"/>
        <v>-172.91394597951606</v>
      </c>
      <c r="Z515">
        <f t="shared" si="406"/>
        <v>7.0860540204839424</v>
      </c>
      <c r="AC515">
        <v>1</v>
      </c>
      <c r="AD515">
        <f t="shared" si="390"/>
        <v>248.88702282948</v>
      </c>
      <c r="AE515">
        <f t="shared" si="391"/>
        <v>-0.35302859118306673</v>
      </c>
      <c r="AF515">
        <f t="shared" si="392"/>
        <v>4.5862540301024997E-2</v>
      </c>
      <c r="AG515">
        <f t="shared" si="421"/>
        <v>87.282720627300037</v>
      </c>
      <c r="AH515">
        <f t="shared" si="422"/>
        <v>-693.66624022284964</v>
      </c>
      <c r="AJ515">
        <f t="shared" si="393"/>
        <v>18000</v>
      </c>
      <c r="AK515">
        <f t="shared" si="394"/>
        <v>224679.16650564002</v>
      </c>
      <c r="AL515">
        <v>1</v>
      </c>
      <c r="AM515">
        <f t="shared" si="395"/>
        <v>386.94745342637998</v>
      </c>
      <c r="AN515">
        <f t="shared" si="423"/>
        <v>580.76150025102868</v>
      </c>
      <c r="AO515">
        <f t="shared" si="424"/>
        <v>-45.017064579449745</v>
      </c>
      <c r="AQ515">
        <f t="shared" si="396"/>
        <v>1.1037404549905129E-3</v>
      </c>
      <c r="AR515">
        <f t="shared" si="397"/>
        <v>-3.3222587695214436</v>
      </c>
      <c r="AT515">
        <f t="shared" si="418"/>
        <v>-2304.4424122315527</v>
      </c>
      <c r="AU515">
        <f t="shared" si="419"/>
        <v>-290.74141152333289</v>
      </c>
      <c r="AV515">
        <f t="shared" si="407"/>
        <v>-3.0160901342965896</v>
      </c>
      <c r="AW515">
        <f t="shared" si="408"/>
        <v>524.93894820343519</v>
      </c>
      <c r="AX515">
        <f t="shared" si="409"/>
        <v>-2789.6431590511329</v>
      </c>
      <c r="AY515">
        <f t="shared" si="417"/>
        <v>-1.3847971266117998</v>
      </c>
      <c r="BA515">
        <f t="shared" si="398"/>
        <v>0.81825826800518975</v>
      </c>
      <c r="BB515">
        <f t="shared" si="410"/>
        <v>-1.7421919542912723</v>
      </c>
      <c r="BC515">
        <f t="shared" si="411"/>
        <v>-1.6312930076847898</v>
      </c>
      <c r="BD515">
        <f t="shared" si="399"/>
        <v>-273.4662045963413</v>
      </c>
      <c r="BF515">
        <f t="shared" si="400"/>
        <v>-57.808435438872642</v>
      </c>
      <c r="BG515">
        <f t="shared" si="401"/>
        <v>-187.98423411235422</v>
      </c>
      <c r="BH515">
        <f t="shared" si="412"/>
        <v>-7.9842341123542155</v>
      </c>
      <c r="BI515">
        <f t="shared" si="413"/>
        <v>-7.9842341123542155</v>
      </c>
      <c r="BJ515">
        <f t="shared" si="402"/>
        <v>0</v>
      </c>
      <c r="BK515">
        <f t="shared" si="414"/>
        <v>0</v>
      </c>
      <c r="BM515">
        <f t="shared" si="415"/>
        <v>-56.066243484581364</v>
      </c>
      <c r="BN515">
        <f t="shared" si="403"/>
        <v>-94.518029516012888</v>
      </c>
      <c r="BQ515" s="56">
        <f t="shared" si="416"/>
        <v>15.159768845993863</v>
      </c>
    </row>
    <row r="516" spans="1:69" x14ac:dyDescent="0.25">
      <c r="A516">
        <f t="shared" si="420"/>
        <v>1510000</v>
      </c>
      <c r="B516">
        <f t="shared" si="404"/>
        <v>1510</v>
      </c>
      <c r="C516">
        <f t="shared" si="373"/>
        <v>12.563505982892902</v>
      </c>
      <c r="D516">
        <f t="shared" si="374"/>
        <v>1.4911164242682464</v>
      </c>
      <c r="F516">
        <f t="shared" si="375"/>
        <v>8.318328936315986E-6</v>
      </c>
      <c r="G516">
        <f t="shared" si="376"/>
        <v>1.0853967497951181E-3</v>
      </c>
      <c r="H516">
        <f t="shared" si="377"/>
        <v>-3.1405072532502052</v>
      </c>
      <c r="J516">
        <f t="shared" si="378"/>
        <v>15</v>
      </c>
      <c r="M516">
        <f t="shared" si="379"/>
        <v>1.207338197990915E-3</v>
      </c>
      <c r="N516">
        <f t="shared" si="380"/>
        <v>-1.5707963250000001</v>
      </c>
      <c r="O516">
        <f t="shared" si="381"/>
        <v>249.71589229843491</v>
      </c>
      <c r="P516">
        <f t="shared" si="382"/>
        <v>1.5667917651967018</v>
      </c>
      <c r="Q516">
        <f t="shared" si="383"/>
        <v>388.23428102304473</v>
      </c>
      <c r="R516">
        <f t="shared" si="384"/>
        <v>1.5682205596495316</v>
      </c>
      <c r="S516">
        <f t="shared" si="385"/>
        <v>7.9595616172878039E-2</v>
      </c>
      <c r="T516">
        <f t="shared" si="386"/>
        <v>-1.4911164242682464</v>
      </c>
      <c r="U516">
        <f t="shared" si="387"/>
        <v>0.12840956845429452</v>
      </c>
      <c r="V516">
        <f t="shared" si="388"/>
        <v>-1.4420312226097221</v>
      </c>
      <c r="X516">
        <f t="shared" si="405"/>
        <v>-54.538125203528963</v>
      </c>
      <c r="Y516">
        <f t="shared" si="389"/>
        <v>-172.93713928267078</v>
      </c>
      <c r="Z516">
        <f t="shared" si="406"/>
        <v>7.0628607173292153</v>
      </c>
      <c r="AC516">
        <v>1</v>
      </c>
      <c r="AD516">
        <f t="shared" si="390"/>
        <v>249.71389001495999</v>
      </c>
      <c r="AE516">
        <f t="shared" si="391"/>
        <v>-0.35537819262767978</v>
      </c>
      <c r="AF516">
        <f t="shared" si="392"/>
        <v>4.6014907544549996E-2</v>
      </c>
      <c r="AG516">
        <f t="shared" si="421"/>
        <v>86.715161757659573</v>
      </c>
      <c r="AH516">
        <f t="shared" si="422"/>
        <v>-691.44282052615631</v>
      </c>
      <c r="AJ516">
        <f t="shared" si="393"/>
        <v>18000</v>
      </c>
      <c r="AK516">
        <f t="shared" si="394"/>
        <v>225425.60891928</v>
      </c>
      <c r="AL516">
        <v>1</v>
      </c>
      <c r="AM516">
        <f t="shared" si="395"/>
        <v>388.23299313875998</v>
      </c>
      <c r="AN516">
        <f t="shared" si="423"/>
        <v>580.76073107502896</v>
      </c>
      <c r="AO516">
        <f t="shared" si="424"/>
        <v>-44.868003432925875</v>
      </c>
      <c r="AQ516">
        <f t="shared" si="396"/>
        <v>1.096443018240097E-3</v>
      </c>
      <c r="AR516">
        <f t="shared" si="397"/>
        <v>-3.3112579150850934</v>
      </c>
      <c r="AT516">
        <f t="shared" si="418"/>
        <v>-2289.4504340623116</v>
      </c>
      <c r="AU516">
        <f t="shared" si="419"/>
        <v>-287.89439338101261</v>
      </c>
      <c r="AV516">
        <f t="shared" si="407"/>
        <v>-3.016500985187101</v>
      </c>
      <c r="AW516">
        <f t="shared" si="408"/>
        <v>525.31740586202932</v>
      </c>
      <c r="AX516">
        <f t="shared" si="409"/>
        <v>-2780.4815289831608</v>
      </c>
      <c r="AY516">
        <f t="shared" si="417"/>
        <v>-1.3840669435620521</v>
      </c>
      <c r="BA516">
        <f t="shared" si="398"/>
        <v>0.81545905617015335</v>
      </c>
      <c r="BB516">
        <f t="shared" si="410"/>
        <v>-1.7719567961103544</v>
      </c>
      <c r="BC516">
        <f t="shared" si="411"/>
        <v>-1.6324340416250489</v>
      </c>
      <c r="BD516">
        <f t="shared" si="399"/>
        <v>-273.53158102547405</v>
      </c>
      <c r="BF516">
        <f t="shared" si="400"/>
        <v>-57.867192798453019</v>
      </c>
      <c r="BG516">
        <f t="shared" si="401"/>
        <v>-188.03471440171</v>
      </c>
      <c r="BH516">
        <f t="shared" si="412"/>
        <v>-8.0347144017100049</v>
      </c>
      <c r="BI516">
        <f t="shared" si="413"/>
        <v>-8.0347144017100049</v>
      </c>
      <c r="BJ516">
        <f t="shared" si="402"/>
        <v>0</v>
      </c>
      <c r="BK516">
        <f t="shared" si="414"/>
        <v>0</v>
      </c>
      <c r="BM516">
        <f t="shared" si="415"/>
        <v>-56.095236002342673</v>
      </c>
      <c r="BN516">
        <f t="shared" si="403"/>
        <v>-94.503133376235951</v>
      </c>
      <c r="BQ516" s="56">
        <f t="shared" si="416"/>
        <v>15.130004004174783</v>
      </c>
    </row>
    <row r="517" spans="1:69" x14ac:dyDescent="0.25">
      <c r="A517">
        <f t="shared" si="420"/>
        <v>1515000</v>
      </c>
      <c r="B517">
        <f t="shared" si="404"/>
        <v>1515</v>
      </c>
      <c r="C517">
        <f t="shared" si="373"/>
        <v>12.604843866612145</v>
      </c>
      <c r="D517">
        <f t="shared" si="374"/>
        <v>1.4913782880809865</v>
      </c>
      <c r="F517">
        <f t="shared" si="375"/>
        <v>8.2635126558524976E-6</v>
      </c>
      <c r="G517">
        <f t="shared" si="376"/>
        <v>1.081814525454114E-3</v>
      </c>
      <c r="H517">
        <f t="shared" si="377"/>
        <v>-3.1405108354745459</v>
      </c>
      <c r="J517">
        <f t="shared" si="378"/>
        <v>15</v>
      </c>
      <c r="M517">
        <f t="shared" si="379"/>
        <v>1.2033535834760935E-3</v>
      </c>
      <c r="N517">
        <f t="shared" si="380"/>
        <v>-1.5707963250000001</v>
      </c>
      <c r="O517">
        <f t="shared" si="381"/>
        <v>250.54275287577136</v>
      </c>
      <c r="P517">
        <f t="shared" si="382"/>
        <v>1.5668049814310161</v>
      </c>
      <c r="Q517">
        <f t="shared" si="383"/>
        <v>389.51981648499554</v>
      </c>
      <c r="R517">
        <f t="shared" si="384"/>
        <v>1.5682290604937856</v>
      </c>
      <c r="S517">
        <f t="shared" si="385"/>
        <v>7.9334580466229473E-2</v>
      </c>
      <c r="T517">
        <f t="shared" si="386"/>
        <v>-1.4913782880809863</v>
      </c>
      <c r="U517">
        <f t="shared" si="387"/>
        <v>0.12799272845582507</v>
      </c>
      <c r="V517">
        <f t="shared" si="388"/>
        <v>-1.4424515309171559</v>
      </c>
      <c r="X517">
        <f t="shared" si="405"/>
        <v>-54.595081794568387</v>
      </c>
      <c r="Y517">
        <f t="shared" si="389"/>
        <v>-172.96018212419804</v>
      </c>
      <c r="Z517">
        <f t="shared" si="406"/>
        <v>7.0398178758019583</v>
      </c>
      <c r="AC517">
        <v>1</v>
      </c>
      <c r="AD517">
        <f t="shared" si="390"/>
        <v>250.54075720044003</v>
      </c>
      <c r="AE517">
        <f t="shared" si="391"/>
        <v>-0.35773558711191017</v>
      </c>
      <c r="AF517">
        <f t="shared" si="392"/>
        <v>4.6167274788074995E-2</v>
      </c>
      <c r="AG517">
        <f t="shared" si="421"/>
        <v>86.153090260437253</v>
      </c>
      <c r="AH517">
        <f t="shared" si="422"/>
        <v>-689.2333686986874</v>
      </c>
      <c r="AJ517">
        <f t="shared" si="393"/>
        <v>18000</v>
      </c>
      <c r="AK517">
        <f t="shared" si="394"/>
        <v>226172.05133292003</v>
      </c>
      <c r="AL517">
        <v>1</v>
      </c>
      <c r="AM517">
        <f t="shared" si="395"/>
        <v>389.51853285113998</v>
      </c>
      <c r="AN517">
        <f t="shared" si="423"/>
        <v>580.75996950199237</v>
      </c>
      <c r="AO517">
        <f t="shared" si="424"/>
        <v>-44.719926168840381</v>
      </c>
      <c r="AQ517">
        <f t="shared" si="396"/>
        <v>1.0892177140348208E-3</v>
      </c>
      <c r="AR517">
        <f t="shared" si="397"/>
        <v>-3.300329673525507</v>
      </c>
      <c r="AT517">
        <f t="shared" si="418"/>
        <v>-2274.6034992281939</v>
      </c>
      <c r="AU517">
        <f t="shared" si="419"/>
        <v>-285.08432544673292</v>
      </c>
      <c r="AV517">
        <f t="shared" si="407"/>
        <v>-3.0169091700846153</v>
      </c>
      <c r="AW517">
        <f t="shared" si="408"/>
        <v>525.69199163263113</v>
      </c>
      <c r="AX517">
        <f t="shared" si="409"/>
        <v>-2771.3796438332624</v>
      </c>
      <c r="AY517">
        <f t="shared" si="417"/>
        <v>-1.3833374320178067</v>
      </c>
      <c r="BA517">
        <f t="shared" si="398"/>
        <v>0.81267776411091097</v>
      </c>
      <c r="BB517">
        <f t="shared" si="410"/>
        <v>-1.8016324585927821</v>
      </c>
      <c r="BC517">
        <f t="shared" si="411"/>
        <v>-1.6335717380668087</v>
      </c>
      <c r="BD517">
        <f t="shared" si="399"/>
        <v>-273.59676623002844</v>
      </c>
      <c r="BF517">
        <f t="shared" si="400"/>
        <v>-57.925763935412427</v>
      </c>
      <c r="BG517">
        <f t="shared" si="401"/>
        <v>-188.08510116130626</v>
      </c>
      <c r="BH517">
        <f t="shared" si="412"/>
        <v>-8.0851011613062553</v>
      </c>
      <c r="BI517">
        <f t="shared" si="413"/>
        <v>-8.0851011613062553</v>
      </c>
      <c r="BJ517">
        <f t="shared" si="402"/>
        <v>0</v>
      </c>
      <c r="BK517">
        <f t="shared" si="414"/>
        <v>0</v>
      </c>
      <c r="BM517">
        <f t="shared" si="415"/>
        <v>-56.124131476819642</v>
      </c>
      <c r="BN517">
        <f t="shared" si="403"/>
        <v>-94.488334931277819</v>
      </c>
      <c r="BQ517" s="56">
        <f t="shared" si="416"/>
        <v>15.100328341692355</v>
      </c>
    </row>
    <row r="518" spans="1:69" x14ac:dyDescent="0.25">
      <c r="A518">
        <f>A517+5000</f>
        <v>1520000</v>
      </c>
      <c r="B518">
        <f t="shared" si="404"/>
        <v>1520</v>
      </c>
      <c r="C518">
        <f t="shared" si="373"/>
        <v>12.646182609028214</v>
      </c>
      <c r="D518">
        <f t="shared" si="374"/>
        <v>1.4916384399133049</v>
      </c>
      <c r="F518">
        <f t="shared" si="375"/>
        <v>8.2092364408509566E-6</v>
      </c>
      <c r="G518">
        <f t="shared" si="376"/>
        <v>1.0782558689367695E-3</v>
      </c>
      <c r="H518">
        <f t="shared" si="377"/>
        <v>-3.1405143941310634</v>
      </c>
      <c r="J518">
        <f t="shared" si="378"/>
        <v>15</v>
      </c>
      <c r="M518">
        <f t="shared" si="379"/>
        <v>1.1993951835304485E-3</v>
      </c>
      <c r="N518">
        <f t="shared" si="380"/>
        <v>-1.5707963250000001</v>
      </c>
      <c r="O518">
        <f t="shared" si="381"/>
        <v>251.36961349658191</v>
      </c>
      <c r="P518">
        <f t="shared" si="382"/>
        <v>1.566818110717801</v>
      </c>
      <c r="Q518">
        <f t="shared" si="383"/>
        <v>390.80535197490963</v>
      </c>
      <c r="R518">
        <f t="shared" si="384"/>
        <v>1.5682375054118001</v>
      </c>
      <c r="S518">
        <f t="shared" si="385"/>
        <v>7.9075245939125696E-2</v>
      </c>
      <c r="T518">
        <f t="shared" si="386"/>
        <v>-1.4916384399133049</v>
      </c>
      <c r="U518">
        <f t="shared" si="387"/>
        <v>0.12757856365274672</v>
      </c>
      <c r="V518">
        <f t="shared" si="388"/>
        <v>-1.4428691191917591</v>
      </c>
      <c r="X518">
        <f t="shared" si="405"/>
        <v>-54.651853756237969</v>
      </c>
      <c r="Y518">
        <f t="shared" si="389"/>
        <v>-172.98307595505094</v>
      </c>
      <c r="Z518">
        <f t="shared" si="406"/>
        <v>7.0169240449490644</v>
      </c>
      <c r="AC518">
        <v>1</v>
      </c>
      <c r="AD518">
        <f t="shared" si="390"/>
        <v>251.36762438592001</v>
      </c>
      <c r="AE518">
        <f t="shared" si="391"/>
        <v>-0.36010077463575779</v>
      </c>
      <c r="AF518">
        <f t="shared" si="392"/>
        <v>4.6319642031600002E-2</v>
      </c>
      <c r="AG518">
        <f t="shared" si="421"/>
        <v>85.596436018580164</v>
      </c>
      <c r="AH518">
        <f t="shared" si="422"/>
        <v>-687.03775591876115</v>
      </c>
      <c r="AJ518">
        <f t="shared" si="393"/>
        <v>18000</v>
      </c>
      <c r="AK518">
        <f t="shared" si="394"/>
        <v>226918.49374656001</v>
      </c>
      <c r="AL518">
        <v>1</v>
      </c>
      <c r="AM518">
        <f t="shared" si="395"/>
        <v>390.80407256351998</v>
      </c>
      <c r="AN518">
        <f t="shared" si="423"/>
        <v>580.75921543204561</v>
      </c>
      <c r="AO518">
        <f t="shared" si="424"/>
        <v>-44.572823078082664</v>
      </c>
      <c r="AQ518">
        <f t="shared" si="396"/>
        <v>1.0820635948251822E-3</v>
      </c>
      <c r="AR518">
        <f t="shared" si="397"/>
        <v>-3.2894733282685542</v>
      </c>
      <c r="AT518">
        <f t="shared" si="418"/>
        <v>-2259.8997528209834</v>
      </c>
      <c r="AU518">
        <f t="shared" si="419"/>
        <v>-282.31061182191536</v>
      </c>
      <c r="AV518">
        <f t="shared" si="407"/>
        <v>-3.017314714707195</v>
      </c>
      <c r="AW518">
        <f t="shared" si="408"/>
        <v>526.06275847531117</v>
      </c>
      <c r="AX518">
        <f t="shared" si="409"/>
        <v>-2762.3369232736004</v>
      </c>
      <c r="AY518">
        <f t="shared" si="417"/>
        <v>-1.3826085871330023</v>
      </c>
      <c r="BA518">
        <f t="shared" si="398"/>
        <v>0.80991421842808453</v>
      </c>
      <c r="BB518">
        <f t="shared" si="410"/>
        <v>-1.8312195344308111</v>
      </c>
      <c r="BC518">
        <f t="shared" si="411"/>
        <v>-1.6347061275741928</v>
      </c>
      <c r="BD518">
        <f t="shared" si="399"/>
        <v>-273.66176196119972</v>
      </c>
      <c r="BF518">
        <f t="shared" si="400"/>
        <v>-57.984150093644509</v>
      </c>
      <c r="BG518">
        <f t="shared" si="401"/>
        <v>-188.13539518643549</v>
      </c>
      <c r="BH518">
        <f t="shared" si="412"/>
        <v>-8.1353951864354883</v>
      </c>
      <c r="BI518">
        <f t="shared" si="413"/>
        <v>-8.1353951864354883</v>
      </c>
      <c r="BJ518">
        <f t="shared" si="402"/>
        <v>0</v>
      </c>
      <c r="BK518">
        <f t="shared" si="414"/>
        <v>0</v>
      </c>
      <c r="BM518">
        <f t="shared" si="415"/>
        <v>-56.152930559213701</v>
      </c>
      <c r="BN518">
        <f t="shared" si="403"/>
        <v>-94.473633225235773</v>
      </c>
      <c r="BQ518" s="56">
        <f t="shared" si="416"/>
        <v>15.070741265854327</v>
      </c>
    </row>
    <row r="519" spans="1:69" x14ac:dyDescent="0.25">
      <c r="A519">
        <f t="shared" si="420"/>
        <v>1525000</v>
      </c>
      <c r="B519">
        <f t="shared" si="404"/>
        <v>1525</v>
      </c>
      <c r="C519">
        <f t="shared" si="373"/>
        <v>12.687522201747642</v>
      </c>
      <c r="D519">
        <f t="shared" si="374"/>
        <v>1.4918968964641872</v>
      </c>
      <c r="F519">
        <f t="shared" si="375"/>
        <v>8.155493220019428E-6</v>
      </c>
      <c r="G519">
        <f t="shared" si="376"/>
        <v>1.0747205484211409E-3</v>
      </c>
      <c r="H519">
        <f t="shared" si="377"/>
        <v>-3.1405179294515793</v>
      </c>
      <c r="J519">
        <f t="shared" si="378"/>
        <v>15</v>
      </c>
      <c r="M519">
        <f t="shared" si="379"/>
        <v>1.1954627403057583E-3</v>
      </c>
      <c r="N519">
        <f t="shared" si="380"/>
        <v>-1.5707963250000001</v>
      </c>
      <c r="O519">
        <f t="shared" si="381"/>
        <v>252.19647416043895</v>
      </c>
      <c r="P519">
        <f t="shared" si="382"/>
        <v>1.5668311539122604</v>
      </c>
      <c r="Q519">
        <f t="shared" si="383"/>
        <v>392.09088749251185</v>
      </c>
      <c r="R519">
        <f t="shared" si="384"/>
        <v>1.5682458949536644</v>
      </c>
      <c r="S519">
        <f t="shared" si="385"/>
        <v>7.8817596067911125E-2</v>
      </c>
      <c r="T519">
        <f t="shared" si="386"/>
        <v>-1.4918968964641872</v>
      </c>
      <c r="U519">
        <f t="shared" si="387"/>
        <v>0.12716704859051192</v>
      </c>
      <c r="V519">
        <f t="shared" si="388"/>
        <v>-1.4432840136082477</v>
      </c>
      <c r="X519">
        <f t="shared" si="405"/>
        <v>-54.708442272087503</v>
      </c>
      <c r="Y519">
        <f t="shared" si="389"/>
        <v>-173.0058222076953</v>
      </c>
      <c r="Z519">
        <f t="shared" si="406"/>
        <v>6.994177792304697</v>
      </c>
      <c r="AC519">
        <v>1</v>
      </c>
      <c r="AD519">
        <f t="shared" si="390"/>
        <v>252.19449157139999</v>
      </c>
      <c r="AE519">
        <f t="shared" si="391"/>
        <v>-0.36247375519922276</v>
      </c>
      <c r="AF519">
        <f t="shared" si="392"/>
        <v>4.6472009275125001E-2</v>
      </c>
      <c r="AG519">
        <f t="shared" si="421"/>
        <v>85.045130025052785</v>
      </c>
      <c r="AH519">
        <f t="shared" si="422"/>
        <v>-684.85585491184781</v>
      </c>
      <c r="AJ519">
        <f t="shared" si="393"/>
        <v>18000</v>
      </c>
      <c r="AK519">
        <f t="shared" si="394"/>
        <v>227664.93616020001</v>
      </c>
      <c r="AL519">
        <v>1</v>
      </c>
      <c r="AM519">
        <f t="shared" si="395"/>
        <v>392.08961227589998</v>
      </c>
      <c r="AN519">
        <f t="shared" si="423"/>
        <v>580.75846876695016</v>
      </c>
      <c r="AO519">
        <f t="shared" si="424"/>
        <v>-44.426684578870528</v>
      </c>
      <c r="AQ519">
        <f t="shared" si="396"/>
        <v>1.0749797285697685E-3</v>
      </c>
      <c r="AR519">
        <f t="shared" si="397"/>
        <v>-3.2786881721377941</v>
      </c>
      <c r="AT519">
        <f t="shared" si="418"/>
        <v>-2245.3373693280018</v>
      </c>
      <c r="AU519">
        <f t="shared" si="419"/>
        <v>-279.5726680720839</v>
      </c>
      <c r="AV519">
        <f t="shared" si="407"/>
        <v>-3.01771764444507</v>
      </c>
      <c r="AW519">
        <f t="shared" si="408"/>
        <v>526.42975844329715</v>
      </c>
      <c r="AX519">
        <f t="shared" si="409"/>
        <v>-2753.3527944412772</v>
      </c>
      <c r="AY519">
        <f t="shared" si="417"/>
        <v>-1.3818804041392887</v>
      </c>
      <c r="BA519">
        <f t="shared" si="398"/>
        <v>0.80716824794826125</v>
      </c>
      <c r="BB519">
        <f t="shared" si="410"/>
        <v>-1.8607186106479736</v>
      </c>
      <c r="BC519">
        <f t="shared" si="411"/>
        <v>-1.6358372403057813</v>
      </c>
      <c r="BD519">
        <f t="shared" si="399"/>
        <v>-273.72656994694734</v>
      </c>
      <c r="BF519">
        <f t="shared" si="400"/>
        <v>-58.042352504806985</v>
      </c>
      <c r="BG519">
        <f t="shared" si="401"/>
        <v>-188.18559726155812</v>
      </c>
      <c r="BH519">
        <f t="shared" si="412"/>
        <v>-8.1855972615581152</v>
      </c>
      <c r="BI519">
        <f t="shared" si="413"/>
        <v>-8.1855972615581152</v>
      </c>
      <c r="BJ519">
        <f t="shared" si="402"/>
        <v>0</v>
      </c>
      <c r="BK519">
        <f t="shared" si="414"/>
        <v>0</v>
      </c>
      <c r="BM519">
        <f t="shared" si="415"/>
        <v>-56.181633894159013</v>
      </c>
      <c r="BN519">
        <f t="shared" si="403"/>
        <v>-94.459027314610807</v>
      </c>
      <c r="BQ519" s="56">
        <f t="shared" si="416"/>
        <v>15.041242189637163</v>
      </c>
    </row>
    <row r="520" spans="1:69" x14ac:dyDescent="0.25">
      <c r="A520">
        <f t="shared" si="420"/>
        <v>1530000</v>
      </c>
      <c r="B520">
        <f t="shared" si="404"/>
        <v>1530</v>
      </c>
      <c r="C520">
        <f t="shared" si="373"/>
        <v>12.728862636485827</v>
      </c>
      <c r="D520">
        <f t="shared" si="374"/>
        <v>1.4921536742165935</v>
      </c>
      <c r="F520">
        <f t="shared" si="375"/>
        <v>8.1022760374226065E-6</v>
      </c>
      <c r="G520">
        <f t="shared" si="376"/>
        <v>1.0712083351157545E-3</v>
      </c>
      <c r="H520">
        <f t="shared" si="377"/>
        <v>-3.1405214416648843</v>
      </c>
      <c r="J520">
        <f t="shared" si="378"/>
        <v>15</v>
      </c>
      <c r="M520">
        <f t="shared" si="379"/>
        <v>1.1915559993243671E-3</v>
      </c>
      <c r="N520">
        <f t="shared" si="380"/>
        <v>-1.5707963250000001</v>
      </c>
      <c r="O520">
        <f t="shared" si="381"/>
        <v>253.02333486692052</v>
      </c>
      <c r="P520">
        <f t="shared" si="382"/>
        <v>1.5668441118584184</v>
      </c>
      <c r="Q520">
        <f t="shared" si="383"/>
        <v>393.3764230375308</v>
      </c>
      <c r="R520">
        <f t="shared" si="384"/>
        <v>1.5682542296622772</v>
      </c>
      <c r="S520">
        <f t="shared" si="385"/>
        <v>7.8561614541554942E-2</v>
      </c>
      <c r="T520">
        <f t="shared" si="386"/>
        <v>-1.4921536742165935</v>
      </c>
      <c r="U520">
        <f t="shared" si="387"/>
        <v>0.12675815813368621</v>
      </c>
      <c r="V520">
        <f t="shared" si="388"/>
        <v>-1.4436962400084274</v>
      </c>
      <c r="X520">
        <f t="shared" si="405"/>
        <v>-54.764848514413494</v>
      </c>
      <c r="Y520">
        <f t="shared" si="389"/>
        <v>-173.02842229640143</v>
      </c>
      <c r="Z520">
        <f t="shared" si="406"/>
        <v>6.9715777035985695</v>
      </c>
      <c r="AC520">
        <v>1</v>
      </c>
      <c r="AD520">
        <f t="shared" si="390"/>
        <v>253.02135875688001</v>
      </c>
      <c r="AE520">
        <f t="shared" si="391"/>
        <v>-0.36485452880230501</v>
      </c>
      <c r="AF520">
        <f t="shared" si="392"/>
        <v>4.662437651865E-2</v>
      </c>
      <c r="AG520">
        <f t="shared" si="421"/>
        <v>84.499104361939033</v>
      </c>
      <c r="AH520">
        <f t="shared" si="422"/>
        <v>-682.68753992795894</v>
      </c>
      <c r="AJ520">
        <f t="shared" si="393"/>
        <v>18000</v>
      </c>
      <c r="AK520">
        <f t="shared" si="394"/>
        <v>228411.37857384005</v>
      </c>
      <c r="AL520">
        <v>1</v>
      </c>
      <c r="AM520">
        <f t="shared" si="395"/>
        <v>393.37515198827998</v>
      </c>
      <c r="AN520">
        <f t="shared" si="423"/>
        <v>580.75772941007006</v>
      </c>
      <c r="AO520">
        <f t="shared" si="424"/>
        <v>-44.281501214669781</v>
      </c>
      <c r="AQ520">
        <f t="shared" si="396"/>
        <v>1.0679651984316718E-3</v>
      </c>
      <c r="AR520">
        <f t="shared" si="397"/>
        <v>-3.2679735072009155</v>
      </c>
      <c r="AT520">
        <f t="shared" si="418"/>
        <v>-2230.9145520779798</v>
      </c>
      <c r="AU520">
        <f t="shared" si="419"/>
        <v>-276.8699209710681</v>
      </c>
      <c r="AV520">
        <f t="shared" si="407"/>
        <v>-3.0181179843658148</v>
      </c>
      <c r="AW520">
        <f t="shared" si="408"/>
        <v>526.79304270161447</v>
      </c>
      <c r="AX520">
        <f t="shared" si="409"/>
        <v>-2744.4266918190901</v>
      </c>
      <c r="AY520">
        <f t="shared" si="417"/>
        <v>-1.3811528783445797</v>
      </c>
      <c r="BA520">
        <f t="shared" si="398"/>
        <v>0.80443968368857222</v>
      </c>
      <c r="BB520">
        <f t="shared" si="410"/>
        <v>-1.8901302686698227</v>
      </c>
      <c r="BC520">
        <f t="shared" si="411"/>
        <v>-1.6369651060212351</v>
      </c>
      <c r="BD520">
        <f t="shared" si="399"/>
        <v>-273.79119189237417</v>
      </c>
      <c r="BF520">
        <f t="shared" si="400"/>
        <v>-58.100372388480785</v>
      </c>
      <c r="BG520">
        <f t="shared" si="401"/>
        <v>-188.23570816048178</v>
      </c>
      <c r="BH520">
        <f t="shared" si="412"/>
        <v>-8.2357081604817779</v>
      </c>
      <c r="BI520">
        <f t="shared" si="413"/>
        <v>-8.2357081604817779</v>
      </c>
      <c r="BJ520">
        <f t="shared" si="402"/>
        <v>0</v>
      </c>
      <c r="BK520">
        <f t="shared" si="414"/>
        <v>0</v>
      </c>
      <c r="BM520">
        <f t="shared" si="415"/>
        <v>-56.210242119810957</v>
      </c>
      <c r="BN520">
        <f t="shared" si="403"/>
        <v>-94.444516268107606</v>
      </c>
      <c r="BQ520" s="56">
        <f t="shared" si="416"/>
        <v>15.011830531615315</v>
      </c>
    </row>
    <row r="521" spans="1:69" x14ac:dyDescent="0.25">
      <c r="A521">
        <f t="shared" si="420"/>
        <v>1535000</v>
      </c>
      <c r="B521">
        <f t="shared" si="404"/>
        <v>1535</v>
      </c>
      <c r="C521">
        <f t="shared" ref="C521:C584" si="425">SQRT((A521/Fesr)^2+1)</f>
        <v>12.770203905065269</v>
      </c>
      <c r="D521">
        <f t="shared" ref="D521:D584" si="426">ATAN(A521/Fesr)</f>
        <v>1.4924087894409337</v>
      </c>
      <c r="F521">
        <f t="shared" ref="F521:F584" si="427">(Ro/(Ro+Rdcr))/SQRT((A521/(Q*Fo))^2+(1-(A521^2/Fo^2))^2)</f>
        <v>8.0495780502309323E-6</v>
      </c>
      <c r="G521">
        <f t="shared" ref="G521:G584" si="428">-ATAN(A521*Fo/(Q*(Fo^2-A521^2)))</f>
        <v>1.0677190032102486E-3</v>
      </c>
      <c r="H521">
        <f t="shared" ref="H521:H584" si="429">IF(G521&gt;0,G521-Pi,G521)</f>
        <v>-3.14052493099679</v>
      </c>
      <c r="J521">
        <f t="shared" ref="J521:J584" si="430">Vin/Vramp</f>
        <v>15</v>
      </c>
      <c r="M521">
        <f t="shared" ref="M521:M584" si="431">1/(2*Pi*_Rfb1*(Cc1ea_u+Cc2ea_u)*A521)</f>
        <v>1.1876747094242877E-3</v>
      </c>
      <c r="N521">
        <f t="shared" ref="N521:N584" si="432">-Pi/2</f>
        <v>-1.5707963250000001</v>
      </c>
      <c r="O521">
        <f t="shared" ref="O521:O584" si="433">SQRT(1+(A521/Fz1_u)^2)</f>
        <v>253.85019561561001</v>
      </c>
      <c r="P521">
        <f t="shared" ref="P521:P584" si="434">ATAN2(Fz1_u,A521)</f>
        <v>1.5668569853893035</v>
      </c>
      <c r="Q521">
        <f t="shared" ref="Q521:Q584" si="435">SQRT(1+(A521/Fz2_u)^2)</f>
        <v>394.6619586096985</v>
      </c>
      <c r="R521">
        <f t="shared" ref="R521:R584" si="436">ATAN2(Fz2_u,A521)</f>
        <v>1.5682625100734637</v>
      </c>
      <c r="S521">
        <f t="shared" ref="S521:S584" si="437">1/SQRT(1+(A521/Fp1_u)^2)</f>
        <v>7.8307285258252826E-2</v>
      </c>
      <c r="T521">
        <f t="shared" ref="T521:T584" si="438">-ATAN2(Fp1_u,A521)</f>
        <v>-1.4924087894409337</v>
      </c>
      <c r="U521">
        <f t="shared" ref="U521:U584" si="439">1/SQRT(1+(A521/Fp2_u)^2)</f>
        <v>0.12635186746100852</v>
      </c>
      <c r="V521">
        <f t="shared" ref="V521:V584" si="440">-ATAN2(Fp2_u,A521)</f>
        <v>-1.444105823906441</v>
      </c>
      <c r="X521">
        <f t="shared" si="405"/>
        <v>-54.821073644400329</v>
      </c>
      <c r="Y521">
        <f t="shared" ref="Y521:Y584" si="441">(180/Pi)*(D521+H521+N521+P521+R521+T521+V521)</f>
        <v>-173.05087761753055</v>
      </c>
      <c r="Z521">
        <f t="shared" si="406"/>
        <v>6.9491223824694544</v>
      </c>
      <c r="AC521">
        <v>1</v>
      </c>
      <c r="AD521">
        <f t="shared" ref="AD521:AD584" si="442">Rcea1_u*Cc1ea_u*A521*2*Pi</f>
        <v>253.84822594235999</v>
      </c>
      <c r="AE521">
        <f t="shared" ref="AE521:AE584" si="443">-Rcea1_u*Cc1ea_u*Cc2ea_u*(A521*2*Pi)^2</f>
        <v>-0.36724309544500455</v>
      </c>
      <c r="AF521">
        <f t="shared" ref="AF521:AF584" si="444">(Cc2ea_u+Cc1ea_u)*A521*2*Pi</f>
        <v>4.6776743762174999E-2</v>
      </c>
      <c r="AG521">
        <f t="shared" si="421"/>
        <v>83.958292179999006</v>
      </c>
      <c r="AH521">
        <f t="shared" si="422"/>
        <v>-680.53268671942283</v>
      </c>
      <c r="AJ521">
        <f t="shared" ref="AJ521:AJ584" si="445">_Rfb1</f>
        <v>18000</v>
      </c>
      <c r="AK521">
        <f t="shared" ref="AK521:AK584" si="446">_Rfb1*Rcea2_u*Cc3ea_u*A521*2*Pi</f>
        <v>229157.82098747999</v>
      </c>
      <c r="AL521">
        <v>1</v>
      </c>
      <c r="AM521">
        <f t="shared" ref="AM521:AM584" si="447">(_Rfb1+Rcea2_u)*Cc3ea_u*A521*2*Pi</f>
        <v>394.66069170065998</v>
      </c>
      <c r="AN521">
        <f t="shared" si="423"/>
        <v>580.75699726634036</v>
      </c>
      <c r="AO521">
        <f t="shared" si="424"/>
        <v>-44.137263652154424</v>
      </c>
      <c r="AQ521">
        <f t="shared" ref="AQ521:AQ584" si="448">Eadcg/(1+(Eadcg*A521/GBP)^2)</f>
        <v>1.0610191024818191E-3</v>
      </c>
      <c r="AR521">
        <f t="shared" ref="AR521:AR584" si="449">-(A521*Eadcg*Eadcg/GBP)/(1+(Eadcg*A521/GBP)^2)</f>
        <v>-3.2573286446191849</v>
      </c>
      <c r="AT521">
        <f t="shared" si="418"/>
        <v>-2216.6295326990148</v>
      </c>
      <c r="AU521">
        <f t="shared" si="419"/>
        <v>-274.20180825169024</v>
      </c>
      <c r="AV521">
        <f t="shared" si="407"/>
        <v>-3.0185157592194281</v>
      </c>
      <c r="AW521">
        <f t="shared" si="408"/>
        <v>527.1526615452766</v>
      </c>
      <c r="AX521">
        <f t="shared" si="409"/>
        <v>-2735.5580571185606</v>
      </c>
      <c r="AY521">
        <f t="shared" si="417"/>
        <v>-1.3804260051316388</v>
      </c>
      <c r="BA521">
        <f t="shared" ref="BA521:BA584" si="450">SQRT(AT521^2+AU521^2)/SQRT(AW521^2+AX521^2)</f>
        <v>0.80172835882194449</v>
      </c>
      <c r="BB521">
        <f t="shared" si="410"/>
        <v>-1.9194550843935514</v>
      </c>
      <c r="BC521">
        <f t="shared" si="411"/>
        <v>-1.6380897540877892</v>
      </c>
      <c r="BD521">
        <f t="shared" ref="BD521:BD584" si="451">BC521*180/Pi-180</f>
        <v>-273.85562948009891</v>
      </c>
      <c r="BF521">
        <f t="shared" ref="BF521:BF584" si="452">20*LOG(BA521*J521*F521*C521)</f>
        <v>-58.158210952326648</v>
      </c>
      <c r="BG521">
        <f t="shared" ref="BG521:BG584" si="453">(180/Pi)*(D521+H521+BC521)</f>
        <v>-188.28572864653731</v>
      </c>
      <c r="BH521">
        <f t="shared" si="412"/>
        <v>-8.2857286465373079</v>
      </c>
      <c r="BI521">
        <f t="shared" si="413"/>
        <v>-8.2857286465373079</v>
      </c>
      <c r="BJ521">
        <f t="shared" ref="BJ521:BJ584" si="454">SUM((BF522&lt;0)*(BF521&gt;0))*A521</f>
        <v>0</v>
      </c>
      <c r="BK521">
        <f t="shared" si="414"/>
        <v>0</v>
      </c>
      <c r="BM521">
        <f t="shared" si="415"/>
        <v>-56.238755867933101</v>
      </c>
      <c r="BN521">
        <f t="shared" ref="BN521:BN584" si="455">(H521+D521)*180/Pi</f>
        <v>-94.430099166438424</v>
      </c>
      <c r="BQ521" s="56">
        <f t="shared" si="416"/>
        <v>14.982505715891586</v>
      </c>
    </row>
    <row r="522" spans="1:69" x14ac:dyDescent="0.25">
      <c r="A522">
        <f t="shared" si="420"/>
        <v>1540000</v>
      </c>
      <c r="B522">
        <f t="shared" ref="B522:B585" si="456">A522/1000</f>
        <v>1540</v>
      </c>
      <c r="C522">
        <f t="shared" si="425"/>
        <v>12.811545999413866</v>
      </c>
      <c r="D522">
        <f t="shared" si="426"/>
        <v>1.4926622581984743</v>
      </c>
      <c r="F522">
        <f t="shared" si="427"/>
        <v>7.9973925265207881E-6</v>
      </c>
      <c r="G522">
        <f t="shared" si="428"/>
        <v>1.0642523298269764E-3</v>
      </c>
      <c r="H522">
        <f t="shared" si="429"/>
        <v>-3.1405283976701734</v>
      </c>
      <c r="J522">
        <f t="shared" si="430"/>
        <v>15</v>
      </c>
      <c r="M522">
        <f t="shared" si="431"/>
        <v>1.1838186227053776E-3</v>
      </c>
      <c r="N522">
        <f t="shared" si="432"/>
        <v>-1.5707963250000001</v>
      </c>
      <c r="O522">
        <f t="shared" si="433"/>
        <v>254.67705640609637</v>
      </c>
      <c r="P522">
        <f t="shared" si="434"/>
        <v>1.5668697753271252</v>
      </c>
      <c r="Q522">
        <f t="shared" si="435"/>
        <v>395.94749420875064</v>
      </c>
      <c r="R522">
        <f t="shared" si="436"/>
        <v>1.5682707367160909</v>
      </c>
      <c r="S522">
        <f t="shared" si="437"/>
        <v>7.8054592322093733E-2</v>
      </c>
      <c r="T522">
        <f t="shared" si="438"/>
        <v>-1.4926622581984743</v>
      </c>
      <c r="U522">
        <f t="shared" si="439"/>
        <v>0.12594815206054197</v>
      </c>
      <c r="V522">
        <f t="shared" si="440"/>
        <v>-1.4445127904939155</v>
      </c>
      <c r="X522">
        <f t="shared" ref="X522:X585" si="457">20*LOG(C522*J522*O522*Q522*F522*M522*S522*U522)</f>
        <v>-54.877118812258992</v>
      </c>
      <c r="Y522">
        <f t="shared" si="441"/>
        <v>-173.07318954981548</v>
      </c>
      <c r="Z522">
        <f t="shared" ref="Z522:Z585" si="458">Y522+180</f>
        <v>6.9268104501845187</v>
      </c>
      <c r="AC522">
        <v>1</v>
      </c>
      <c r="AD522">
        <f t="shared" si="442"/>
        <v>254.67509312783997</v>
      </c>
      <c r="AE522">
        <f t="shared" si="443"/>
        <v>-0.36963945512732121</v>
      </c>
      <c r="AF522">
        <f t="shared" si="444"/>
        <v>4.6929111005699999E-2</v>
      </c>
      <c r="AG522">
        <f t="shared" si="421"/>
        <v>83.422627678669414</v>
      </c>
      <c r="AH522">
        <f t="shared" si="422"/>
        <v>-678.39117251903463</v>
      </c>
      <c r="AJ522">
        <f t="shared" si="445"/>
        <v>18000</v>
      </c>
      <c r="AK522">
        <f t="shared" si="446"/>
        <v>229904.26340112003</v>
      </c>
      <c r="AL522">
        <v>1</v>
      </c>
      <c r="AM522">
        <f t="shared" si="447"/>
        <v>395.94623141303998</v>
      </c>
      <c r="AN522">
        <f t="shared" si="423"/>
        <v>580.75627224223695</v>
      </c>
      <c r="AO522">
        <f t="shared" si="424"/>
        <v>-43.993962679206554</v>
      </c>
      <c r="AQ522">
        <f t="shared" si="448"/>
        <v>1.0541405534090326E-3</v>
      </c>
      <c r="AR522">
        <f t="shared" si="449"/>
        <v>-3.2467529044998202</v>
      </c>
      <c r="AT522">
        <f t="shared" si="418"/>
        <v>-2202.4805705883064</v>
      </c>
      <c r="AU522">
        <f t="shared" si="419"/>
        <v>-271.56777836275404</v>
      </c>
      <c r="AV522">
        <f t="shared" ref="AV522:AV585" si="459">ATAN2(AT522,AU522)</f>
        <v>-3.0189109934433165</v>
      </c>
      <c r="AW522">
        <f t="shared" ref="AW522:AW585" si="460">AG522-AH522*AO522/_Rfb2+AG522*AN522/_Rfb2+AN522-AO522*AR522+AQ522*AN522</f>
        <v>527.50866441704511</v>
      </c>
      <c r="AX522">
        <f t="shared" ref="AX522:AX585" si="461">AH522+AH522*AN522/_Rfb2+AG522*AO522/_Rfb2+AO522+AO522*AQ522+AN522*AR522</f>
        <v>-2726.7463391651854</v>
      </c>
      <c r="AY522">
        <f t="shared" si="417"/>
        <v>-1.3796997799566939</v>
      </c>
      <c r="BA522">
        <f t="shared" si="450"/>
        <v>0.79903410864300584</v>
      </c>
      <c r="BB522">
        <f t="shared" ref="BB522:BB585" si="462">20*LOG(BA522)</f>
        <v>-1.9486936282565883</v>
      </c>
      <c r="BC522">
        <f t="shared" ref="BC522:BC585" si="463">AV522-AY522</f>
        <v>-1.6392112134866226</v>
      </c>
      <c r="BD522">
        <f t="shared" si="451"/>
        <v>-273.91988437062076</v>
      </c>
      <c r="BF522">
        <f t="shared" si="452"/>
        <v>-58.215869392239135</v>
      </c>
      <c r="BG522">
        <f t="shared" si="453"/>
        <v>-188.33565947275113</v>
      </c>
      <c r="BH522">
        <f t="shared" ref="BH522:BH585" si="464">IF(BG522&gt;180,BG522-180,BG522+180)</f>
        <v>-8.3356594727511322</v>
      </c>
      <c r="BI522">
        <f t="shared" ref="BI522:BI585" si="465">IF(BH522&gt;180,BH522-360,BH522)</f>
        <v>-8.3356594727511322</v>
      </c>
      <c r="BJ522">
        <f t="shared" si="454"/>
        <v>0</v>
      </c>
      <c r="BK522">
        <f t="shared" ref="BK522:BK585" si="466">IF(BJ522&gt;0,BI522,0)</f>
        <v>0</v>
      </c>
      <c r="BM522">
        <f t="shared" ref="BM522:BM585" si="467">20*LOG(J522*F522*C522)</f>
        <v>-56.267175763982557</v>
      </c>
      <c r="BN522">
        <f t="shared" si="455"/>
        <v>-94.415775102130382</v>
      </c>
      <c r="BQ522" s="56">
        <f t="shared" ref="BQ522:BQ585" si="468">20*LOG(BA522*7)</f>
        <v>14.953267172028548</v>
      </c>
    </row>
    <row r="523" spans="1:69" x14ac:dyDescent="0.25">
      <c r="A523">
        <f t="shared" si="420"/>
        <v>1545000</v>
      </c>
      <c r="B523">
        <f t="shared" si="456"/>
        <v>1545</v>
      </c>
      <c r="C523">
        <f t="shared" si="425"/>
        <v>12.852888911563209</v>
      </c>
      <c r="D523">
        <f t="shared" si="426"/>
        <v>1.492914096344683</v>
      </c>
      <c r="F523">
        <f t="shared" si="427"/>
        <v>7.9457128431244242E-6</v>
      </c>
      <c r="G523">
        <f t="shared" si="428"/>
        <v>1.0608080949735502E-3</v>
      </c>
      <c r="H523">
        <f t="shared" si="429"/>
        <v>-3.1405318419050268</v>
      </c>
      <c r="J523">
        <f t="shared" si="430"/>
        <v>15</v>
      </c>
      <c r="M523">
        <f t="shared" si="431"/>
        <v>1.1799874944765575E-3</v>
      </c>
      <c r="N523">
        <f t="shared" si="432"/>
        <v>-1.5707963250000001</v>
      </c>
      <c r="O523">
        <f t="shared" si="433"/>
        <v>255.50391723797378</v>
      </c>
      <c r="P523">
        <f t="shared" si="434"/>
        <v>1.5668824824834502</v>
      </c>
      <c r="Q523">
        <f t="shared" si="435"/>
        <v>397.23302983442608</v>
      </c>
      <c r="R523">
        <f t="shared" si="436"/>
        <v>1.5682789101121783</v>
      </c>
      <c r="S523">
        <f t="shared" si="437"/>
        <v>7.7803520039789797E-2</v>
      </c>
      <c r="T523">
        <f t="shared" si="438"/>
        <v>-1.492914096344683</v>
      </c>
      <c r="U523">
        <f t="shared" si="439"/>
        <v>0.12554698772491352</v>
      </c>
      <c r="V523">
        <f t="shared" si="440"/>
        <v>-1.4449171646450134</v>
      </c>
      <c r="X523">
        <f t="shared" si="457"/>
        <v>-54.932985157363959</v>
      </c>
      <c r="Y523">
        <f t="shared" si="441"/>
        <v>-173.09535945463651</v>
      </c>
      <c r="Z523">
        <f t="shared" si="458"/>
        <v>6.9046405453634918</v>
      </c>
      <c r="AC523">
        <v>1</v>
      </c>
      <c r="AD523">
        <f t="shared" si="442"/>
        <v>255.50196031332001</v>
      </c>
      <c r="AE523">
        <f t="shared" si="443"/>
        <v>-0.37204360784925539</v>
      </c>
      <c r="AF523">
        <f t="shared" si="444"/>
        <v>4.7081478249224998E-2</v>
      </c>
      <c r="AG523">
        <f t="shared" si="421"/>
        <v>82.89204608649662</v>
      </c>
      <c r="AH523">
        <f t="shared" si="422"/>
        <v>-676.26287601857655</v>
      </c>
      <c r="AJ523">
        <f t="shared" si="445"/>
        <v>18000</v>
      </c>
      <c r="AK523">
        <f t="shared" si="446"/>
        <v>230650.70581476</v>
      </c>
      <c r="AL523">
        <v>1</v>
      </c>
      <c r="AM523">
        <f t="shared" si="447"/>
        <v>397.23177112541998</v>
      </c>
      <c r="AN523">
        <f t="shared" si="423"/>
        <v>580.75555424574691</v>
      </c>
      <c r="AO523">
        <f t="shared" si="424"/>
        <v>-43.851589202955239</v>
      </c>
      <c r="AQ523">
        <f t="shared" si="448"/>
        <v>1.0473286782366462E-3</v>
      </c>
      <c r="AR523">
        <f t="shared" si="449"/>
        <v>-3.2362456157512369</v>
      </c>
      <c r="AT523">
        <f t="shared" si="418"/>
        <v>-2188.4659523933765</v>
      </c>
      <c r="AU523">
        <f t="shared" si="419"/>
        <v>-268.96729023215522</v>
      </c>
      <c r="AV523">
        <f t="shared" si="459"/>
        <v>-3.019303711167185</v>
      </c>
      <c r="AW523">
        <f t="shared" si="460"/>
        <v>527.8610999247644</v>
      </c>
      <c r="AX523">
        <f t="shared" si="461"/>
        <v>-2717.9909937858592</v>
      </c>
      <c r="AY523">
        <f t="shared" ref="AY523:AY586" si="469">ATAN2(AW523,AX523)</f>
        <v>-1.378974198348085</v>
      </c>
      <c r="BA523">
        <f t="shared" si="450"/>
        <v>0.79635677053463094</v>
      </c>
      <c r="BB523">
        <f t="shared" si="462"/>
        <v>-1.9778464653041419</v>
      </c>
      <c r="BC523">
        <f t="shared" si="463"/>
        <v>-1.6403295128191</v>
      </c>
      <c r="BD523">
        <f t="shared" si="451"/>
        <v>-273.98395820267723</v>
      </c>
      <c r="BF523">
        <f t="shared" si="452"/>
        <v>-58.273348892498262</v>
      </c>
      <c r="BG523">
        <f t="shared" si="453"/>
        <v>-188.38550138201396</v>
      </c>
      <c r="BH523">
        <f t="shared" si="464"/>
        <v>-8.3855013820139561</v>
      </c>
      <c r="BI523">
        <f t="shared" si="465"/>
        <v>-8.3855013820139561</v>
      </c>
      <c r="BJ523">
        <f t="shared" si="454"/>
        <v>0</v>
      </c>
      <c r="BK523">
        <f t="shared" si="466"/>
        <v>0</v>
      </c>
      <c r="BM523">
        <f t="shared" si="467"/>
        <v>-56.295502427194123</v>
      </c>
      <c r="BN523">
        <f t="shared" si="455"/>
        <v>-94.401543179336727</v>
      </c>
      <c r="BQ523" s="56">
        <f t="shared" si="468"/>
        <v>14.924114334980995</v>
      </c>
    </row>
    <row r="524" spans="1:69" x14ac:dyDescent="0.25">
      <c r="A524">
        <f t="shared" si="420"/>
        <v>1550000</v>
      </c>
      <c r="B524">
        <f t="shared" si="456"/>
        <v>1550</v>
      </c>
      <c r="C524">
        <f t="shared" si="425"/>
        <v>12.894232633646926</v>
      </c>
      <c r="D524">
        <f t="shared" si="426"/>
        <v>1.4931643195325062</v>
      </c>
      <c r="F524">
        <f t="shared" si="427"/>
        <v>7.8945324835283814E-6</v>
      </c>
      <c r="G524">
        <f t="shared" si="428"/>
        <v>1.0573860814963008E-3</v>
      </c>
      <c r="H524">
        <f t="shared" si="429"/>
        <v>-3.1405352639185038</v>
      </c>
      <c r="J524">
        <f t="shared" si="430"/>
        <v>15</v>
      </c>
      <c r="M524">
        <f t="shared" si="431"/>
        <v>1.1761810832040527E-3</v>
      </c>
      <c r="N524">
        <f t="shared" si="432"/>
        <v>-1.5707963250000001</v>
      </c>
      <c r="O524">
        <f t="shared" si="433"/>
        <v>256.33077811084172</v>
      </c>
      <c r="P524">
        <f t="shared" si="434"/>
        <v>1.5668951076593731</v>
      </c>
      <c r="Q524">
        <f t="shared" si="435"/>
        <v>398.51856548646725</v>
      </c>
      <c r="R524">
        <f t="shared" si="436"/>
        <v>1.5682870307770114</v>
      </c>
      <c r="S524">
        <f t="shared" si="437"/>
        <v>7.7554052917468294E-2</v>
      </c>
      <c r="T524">
        <f t="shared" si="438"/>
        <v>-1.4931643195325062</v>
      </c>
      <c r="U524">
        <f t="shared" si="439"/>
        <v>0.12514835054664006</v>
      </c>
      <c r="V524">
        <f t="shared" si="440"/>
        <v>-1.4453189709213914</v>
      </c>
      <c r="X524">
        <f t="shared" si="457"/>
        <v>-54.988673808387716</v>
      </c>
      <c r="Y524">
        <f t="shared" si="441"/>
        <v>-173.11738867629191</v>
      </c>
      <c r="Z524">
        <f t="shared" si="458"/>
        <v>6.8826113237080904</v>
      </c>
      <c r="AC524">
        <v>1</v>
      </c>
      <c r="AD524">
        <f t="shared" si="442"/>
        <v>256.32882749880002</v>
      </c>
      <c r="AE524">
        <f t="shared" si="443"/>
        <v>-0.37445555361080674</v>
      </c>
      <c r="AF524">
        <f t="shared" si="444"/>
        <v>4.7233845492749997E-2</v>
      </c>
      <c r="AG524">
        <f t="shared" si="421"/>
        <v>82.36648364199209</v>
      </c>
      <c r="AH524">
        <f t="shared" si="422"/>
        <v>-674.14767734770135</v>
      </c>
      <c r="AJ524">
        <f t="shared" si="445"/>
        <v>18000</v>
      </c>
      <c r="AK524">
        <f t="shared" si="446"/>
        <v>231397.14822840001</v>
      </c>
      <c r="AL524">
        <v>1</v>
      </c>
      <c r="AM524">
        <f t="shared" si="447"/>
        <v>398.51731083779998</v>
      </c>
      <c r="AN524">
        <f t="shared" si="423"/>
        <v>580.75484318633858</v>
      </c>
      <c r="AO524">
        <f t="shared" si="424"/>
        <v>-43.710134247853155</v>
      </c>
      <c r="AQ524">
        <f t="shared" si="448"/>
        <v>1.0405826180455132E-3</v>
      </c>
      <c r="AR524">
        <f t="shared" si="449"/>
        <v>-3.2258061159410909</v>
      </c>
      <c r="AT524">
        <f t="shared" si="418"/>
        <v>-2174.583991504509</v>
      </c>
      <c r="AU524">
        <f t="shared" si="419"/>
        <v>-266.39981303594368</v>
      </c>
      <c r="AV524">
        <f t="shared" si="459"/>
        <v>-3.019693936217839</v>
      </c>
      <c r="AW524">
        <f t="shared" si="460"/>
        <v>528.21001585828651</v>
      </c>
      <c r="AX524">
        <f t="shared" si="461"/>
        <v>-2709.2914836984173</v>
      </c>
      <c r="AY524">
        <f t="shared" si="469"/>
        <v>-1.378249255904938</v>
      </c>
      <c r="BA524">
        <f t="shared" si="450"/>
        <v>0.79369618393512154</v>
      </c>
      <c r="BB524">
        <f t="shared" si="462"/>
        <v>-2.0069141552556489</v>
      </c>
      <c r="BC524">
        <f t="shared" si="463"/>
        <v>-1.641444680312901</v>
      </c>
      <c r="BD524">
        <f t="shared" si="451"/>
        <v>-274.04785259359522</v>
      </c>
      <c r="BF524">
        <f t="shared" si="452"/>
        <v>-58.330650625918565</v>
      </c>
      <c r="BG524">
        <f t="shared" si="453"/>
        <v>-188.43525510724683</v>
      </c>
      <c r="BH524">
        <f t="shared" si="464"/>
        <v>-8.4352551072468316</v>
      </c>
      <c r="BI524">
        <f t="shared" si="465"/>
        <v>-8.4352551072468316</v>
      </c>
      <c r="BJ524">
        <f t="shared" si="454"/>
        <v>0</v>
      </c>
      <c r="BK524">
        <f t="shared" si="466"/>
        <v>0</v>
      </c>
      <c r="BM524">
        <f t="shared" si="467"/>
        <v>-56.323736470662915</v>
      </c>
      <c r="BN524">
        <f t="shared" si="455"/>
        <v>-94.387402513651651</v>
      </c>
      <c r="BQ524" s="56">
        <f t="shared" si="468"/>
        <v>14.895046645029486</v>
      </c>
    </row>
    <row r="525" spans="1:69" x14ac:dyDescent="0.25">
      <c r="A525">
        <f t="shared" si="420"/>
        <v>1555000</v>
      </c>
      <c r="B525">
        <f t="shared" si="456"/>
        <v>1555</v>
      </c>
      <c r="C525">
        <f t="shared" si="425"/>
        <v>12.935577157899065</v>
      </c>
      <c r="D525">
        <f t="shared" si="426"/>
        <v>1.4934129432155858</v>
      </c>
      <c r="F525">
        <f t="shared" si="427"/>
        <v>7.8438450358191386E-6</v>
      </c>
      <c r="G525">
        <f t="shared" si="428"/>
        <v>1.0539860750346387E-3</v>
      </c>
      <c r="H525">
        <f t="shared" si="429"/>
        <v>-3.1405386639249655</v>
      </c>
      <c r="J525">
        <f t="shared" si="430"/>
        <v>15</v>
      </c>
      <c r="M525">
        <f t="shared" si="431"/>
        <v>1.1723991504606313E-3</v>
      </c>
      <c r="N525">
        <f t="shared" si="432"/>
        <v>-1.5707963250000001</v>
      </c>
      <c r="O525">
        <f t="shared" si="433"/>
        <v>257.15763902430479</v>
      </c>
      <c r="P525">
        <f t="shared" si="434"/>
        <v>1.5669076516456859</v>
      </c>
      <c r="Q525">
        <f t="shared" si="435"/>
        <v>399.80410116461979</v>
      </c>
      <c r="R525">
        <f t="shared" si="436"/>
        <v>1.5682950992192473</v>
      </c>
      <c r="S525">
        <f t="shared" si="437"/>
        <v>7.7306175657524012E-2</v>
      </c>
      <c r="T525">
        <f t="shared" si="438"/>
        <v>-1.4934129432155858</v>
      </c>
      <c r="U525">
        <f t="shared" si="439"/>
        <v>0.12475221691353995</v>
      </c>
      <c r="V525">
        <f t="shared" si="440"/>
        <v>-1.4457182335770653</v>
      </c>
      <c r="X525">
        <f t="shared" si="457"/>
        <v>-55.044185883433357</v>
      </c>
      <c r="Y525">
        <f t="shared" si="441"/>
        <v>-173.13927854226344</v>
      </c>
      <c r="Z525">
        <f t="shared" si="458"/>
        <v>6.8607214577365596</v>
      </c>
      <c r="AC525">
        <v>1</v>
      </c>
      <c r="AD525">
        <f t="shared" si="442"/>
        <v>257.15569468427998</v>
      </c>
      <c r="AE525">
        <f t="shared" si="443"/>
        <v>-0.37687529241197543</v>
      </c>
      <c r="AF525">
        <f t="shared" si="444"/>
        <v>4.7386212736274996E-2</v>
      </c>
      <c r="AG525">
        <f t="shared" si="421"/>
        <v>81.845877574899319</v>
      </c>
      <c r="AH525">
        <f t="shared" si="422"/>
        <v>-672.04545805317082</v>
      </c>
      <c r="AJ525">
        <f t="shared" si="445"/>
        <v>18000</v>
      </c>
      <c r="AK525">
        <f t="shared" si="446"/>
        <v>232143.59064204004</v>
      </c>
      <c r="AL525">
        <v>1</v>
      </c>
      <c r="AM525">
        <f t="shared" si="447"/>
        <v>399.80285055017998</v>
      </c>
      <c r="AN525">
        <f t="shared" si="423"/>
        <v>580.75413897493365</v>
      </c>
      <c r="AO525">
        <f t="shared" si="424"/>
        <v>-43.569588953790479</v>
      </c>
      <c r="AQ525">
        <f t="shared" si="448"/>
        <v>1.0339015277032364E-3</v>
      </c>
      <c r="AR525">
        <f t="shared" si="449"/>
        <v>-3.215433751157065</v>
      </c>
      <c r="AT525">
        <f t="shared" si="418"/>
        <v>-2160.8330275581143</v>
      </c>
      <c r="AU525">
        <f t="shared" si="419"/>
        <v>-263.86482597316763</v>
      </c>
      <c r="AV525">
        <f t="shared" si="459"/>
        <v>-3.020081692123894</v>
      </c>
      <c r="AW525">
        <f t="shared" si="460"/>
        <v>528.55545920599548</v>
      </c>
      <c r="AX525">
        <f t="shared" si="461"/>
        <v>-2700.6472784032667</v>
      </c>
      <c r="AY525">
        <f t="shared" si="469"/>
        <v>-1.37752494829587</v>
      </c>
      <c r="BA525">
        <f t="shared" si="450"/>
        <v>0.79105219030599172</v>
      </c>
      <c r="BB525">
        <f t="shared" si="462"/>
        <v>-2.0358972525703107</v>
      </c>
      <c r="BC525">
        <f t="shared" si="463"/>
        <v>-1.642556743828024</v>
      </c>
      <c r="BD525">
        <f t="shared" si="451"/>
        <v>-274.11156913963504</v>
      </c>
      <c r="BF525">
        <f t="shared" si="452"/>
        <v>-58.387775753995911</v>
      </c>
      <c r="BG525">
        <f t="shared" si="453"/>
        <v>-188.48492137156376</v>
      </c>
      <c r="BH525">
        <f t="shared" si="464"/>
        <v>-8.4849213715637575</v>
      </c>
      <c r="BI525">
        <f t="shared" si="465"/>
        <v>-8.4849213715637575</v>
      </c>
      <c r="BJ525">
        <f t="shared" si="454"/>
        <v>0</v>
      </c>
      <c r="BK525">
        <f t="shared" si="466"/>
        <v>0</v>
      </c>
      <c r="BM525">
        <f t="shared" si="467"/>
        <v>-56.351878501425603</v>
      </c>
      <c r="BN525">
        <f t="shared" si="455"/>
        <v>-94.373352231928706</v>
      </c>
      <c r="BQ525" s="56">
        <f t="shared" si="468"/>
        <v>14.866063547714825</v>
      </c>
    </row>
    <row r="526" spans="1:69" x14ac:dyDescent="0.25">
      <c r="A526">
        <f t="shared" si="420"/>
        <v>1560000</v>
      </c>
      <c r="B526">
        <f t="shared" si="456"/>
        <v>1560</v>
      </c>
      <c r="C526">
        <f t="shared" si="425"/>
        <v>12.97692247665249</v>
      </c>
      <c r="D526">
        <f t="shared" si="426"/>
        <v>1.4936599826514163</v>
      </c>
      <c r="F526">
        <f t="shared" si="427"/>
        <v>7.793644190674753E-6</v>
      </c>
      <c r="G526">
        <f t="shared" si="428"/>
        <v>1.0506078639762905E-3</v>
      </c>
      <c r="H526">
        <f t="shared" si="429"/>
        <v>-3.1405420421360239</v>
      </c>
      <c r="J526">
        <f t="shared" si="430"/>
        <v>15</v>
      </c>
      <c r="M526">
        <f t="shared" si="431"/>
        <v>1.1686414608758214E-3</v>
      </c>
      <c r="N526">
        <f t="shared" si="432"/>
        <v>-1.5707963250000001</v>
      </c>
      <c r="O526">
        <f t="shared" si="433"/>
        <v>257.98449997797263</v>
      </c>
      <c r="P526">
        <f t="shared" si="434"/>
        <v>1.5669201152230421</v>
      </c>
      <c r="Q526">
        <f t="shared" si="435"/>
        <v>401.08963686863268</v>
      </c>
      <c r="R526">
        <f t="shared" si="436"/>
        <v>1.5683031159410221</v>
      </c>
      <c r="S526">
        <f t="shared" si="437"/>
        <v>7.705987315553102E-2</v>
      </c>
      <c r="T526">
        <f t="shared" si="438"/>
        <v>-1.4936599826514161</v>
      </c>
      <c r="U526">
        <f t="shared" si="439"/>
        <v>0.12435856350422736</v>
      </c>
      <c r="V526">
        <f t="shared" si="440"/>
        <v>-1.4461149765631856</v>
      </c>
      <c r="X526">
        <f t="shared" si="457"/>
        <v>-55.099522490165135</v>
      </c>
      <c r="Y526">
        <f t="shared" si="441"/>
        <v>-173.16103036347695</v>
      </c>
      <c r="Z526">
        <f t="shared" si="458"/>
        <v>6.8389696365230463</v>
      </c>
      <c r="AC526">
        <v>1</v>
      </c>
      <c r="AD526">
        <f t="shared" si="442"/>
        <v>257.98256186975999</v>
      </c>
      <c r="AE526">
        <f t="shared" si="443"/>
        <v>-0.37930282425276146</v>
      </c>
      <c r="AF526">
        <f t="shared" si="444"/>
        <v>4.7538579979799996E-2</v>
      </c>
      <c r="AG526">
        <f t="shared" si="421"/>
        <v>81.330166087862736</v>
      </c>
      <c r="AH526">
        <f t="shared" si="422"/>
        <v>-669.95610107844232</v>
      </c>
      <c r="AJ526">
        <f t="shared" si="445"/>
        <v>18000</v>
      </c>
      <c r="AK526">
        <f t="shared" si="446"/>
        <v>232890.03305568002</v>
      </c>
      <c r="AL526">
        <v>1</v>
      </c>
      <c r="AM526">
        <f t="shared" si="447"/>
        <v>401.08839026255998</v>
      </c>
      <c r="AN526">
        <f t="shared" si="423"/>
        <v>580.75344152387868</v>
      </c>
      <c r="AO526">
        <f t="shared" si="424"/>
        <v>-43.429944574244985</v>
      </c>
      <c r="AQ526">
        <f t="shared" si="448"/>
        <v>1.0272845755994642E-3</v>
      </c>
      <c r="AR526">
        <f t="shared" si="449"/>
        <v>-3.2051278758703283</v>
      </c>
      <c r="AT526">
        <f t="shared" si="418"/>
        <v>-2147.2114259507616</v>
      </c>
      <c r="AU526">
        <f t="shared" si="419"/>
        <v>-261.36181804633918</v>
      </c>
      <c r="AV526">
        <f t="shared" si="459"/>
        <v>-3.020467002120399</v>
      </c>
      <c r="AW526">
        <f t="shared" si="460"/>
        <v>528.89747617094258</v>
      </c>
      <c r="AX526">
        <f t="shared" si="461"/>
        <v>-2692.0578540770357</v>
      </c>
      <c r="AY526">
        <f t="shared" si="469"/>
        <v>-1.3768012712577216</v>
      </c>
      <c r="BA526">
        <f t="shared" si="450"/>
        <v>0.78842463310035948</v>
      </c>
      <c r="BB526">
        <f t="shared" si="462"/>
        <v>-2.0647963065115769</v>
      </c>
      <c r="BC526">
        <f t="shared" si="463"/>
        <v>-1.6436657308626774</v>
      </c>
      <c r="BD526">
        <f t="shared" si="451"/>
        <v>-274.17510941632804</v>
      </c>
      <c r="BF526">
        <f t="shared" si="452"/>
        <v>-58.444725427051921</v>
      </c>
      <c r="BG526">
        <f t="shared" si="453"/>
        <v>-188.53450088843033</v>
      </c>
      <c r="BH526">
        <f t="shared" si="464"/>
        <v>-8.5345008884303297</v>
      </c>
      <c r="BI526">
        <f t="shared" si="465"/>
        <v>-8.5345008884303297</v>
      </c>
      <c r="BJ526">
        <f t="shared" si="454"/>
        <v>0</v>
      </c>
      <c r="BK526">
        <f t="shared" si="466"/>
        <v>0</v>
      </c>
      <c r="BM526">
        <f t="shared" si="467"/>
        <v>-56.379929120540346</v>
      </c>
      <c r="BN526">
        <f t="shared" si="455"/>
        <v>-94.359391472102331</v>
      </c>
      <c r="BQ526" s="56">
        <f t="shared" si="468"/>
        <v>14.83716449377356</v>
      </c>
    </row>
    <row r="527" spans="1:69" x14ac:dyDescent="0.25">
      <c r="A527">
        <f t="shared" si="420"/>
        <v>1565000</v>
      </c>
      <c r="B527">
        <f t="shared" si="456"/>
        <v>1565</v>
      </c>
      <c r="C527">
        <f t="shared" si="425"/>
        <v>13.018268582337319</v>
      </c>
      <c r="D527">
        <f t="shared" si="426"/>
        <v>1.4939054529044382</v>
      </c>
      <c r="F527">
        <f t="shared" si="427"/>
        <v>7.7439237394013838E-6</v>
      </c>
      <c r="G527">
        <f t="shared" si="428"/>
        <v>1.0472512394133931E-3</v>
      </c>
      <c r="H527">
        <f t="shared" si="429"/>
        <v>-3.1405453987605867</v>
      </c>
      <c r="J527">
        <f t="shared" si="430"/>
        <v>15</v>
      </c>
      <c r="M527">
        <f t="shared" si="431"/>
        <v>1.1649077820870808E-3</v>
      </c>
      <c r="N527">
        <f t="shared" si="432"/>
        <v>-1.5707963250000001</v>
      </c>
      <c r="O527">
        <f t="shared" si="433"/>
        <v>258.81136097145986</v>
      </c>
      <c r="P527">
        <f t="shared" si="434"/>
        <v>1.566932499162119</v>
      </c>
      <c r="Q527">
        <f t="shared" si="435"/>
        <v>402.37517259825802</v>
      </c>
      <c r="R527">
        <f t="shared" si="436"/>
        <v>1.568311081438055</v>
      </c>
      <c r="S527">
        <f t="shared" si="437"/>
        <v>7.6815130497212308E-2</v>
      </c>
      <c r="T527">
        <f t="shared" si="438"/>
        <v>-1.4939054529044382</v>
      </c>
      <c r="U527">
        <f t="shared" si="439"/>
        <v>0.12396736728368853</v>
      </c>
      <c r="V527">
        <f t="shared" si="440"/>
        <v>-1.4465092235327244</v>
      </c>
      <c r="X527">
        <f t="shared" si="457"/>
        <v>-55.154684725936931</v>
      </c>
      <c r="Y527">
        <f t="shared" si="441"/>
        <v>-173.18264543455837</v>
      </c>
      <c r="Z527">
        <f t="shared" si="458"/>
        <v>6.817354565441633</v>
      </c>
      <c r="AC527">
        <v>1</v>
      </c>
      <c r="AD527">
        <f t="shared" si="442"/>
        <v>258.80942905524</v>
      </c>
      <c r="AE527">
        <f t="shared" si="443"/>
        <v>-0.38173814913316473</v>
      </c>
      <c r="AF527">
        <f t="shared" si="444"/>
        <v>4.7690947223325002E-2</v>
      </c>
      <c r="AG527">
        <f t="shared" si="421"/>
        <v>80.819288338488604</v>
      </c>
      <c r="AH527">
        <f t="shared" si="422"/>
        <v>-667.87949074359994</v>
      </c>
      <c r="AJ527">
        <f t="shared" si="445"/>
        <v>18000</v>
      </c>
      <c r="AK527">
        <f t="shared" si="446"/>
        <v>233636.47546932002</v>
      </c>
      <c r="AL527">
        <v>1</v>
      </c>
      <c r="AM527">
        <f t="shared" si="447"/>
        <v>402.37392997493993</v>
      </c>
      <c r="AN527">
        <f t="shared" si="423"/>
        <v>580.75275074691899</v>
      </c>
      <c r="AO527">
        <f t="shared" si="424"/>
        <v>-43.291192474467621</v>
      </c>
      <c r="AQ527">
        <f t="shared" si="448"/>
        <v>1.0207309433870977E-3</v>
      </c>
      <c r="AR527">
        <f t="shared" si="449"/>
        <v>-3.1948878528016156</v>
      </c>
      <c r="AT527">
        <f t="shared" si="418"/>
        <v>-2133.7175773636268</v>
      </c>
      <c r="AU527">
        <f t="shared" si="419"/>
        <v>-258.89028784736411</v>
      </c>
      <c r="AV527">
        <f t="shared" si="459"/>
        <v>-3.0208498891533777</v>
      </c>
      <c r="AW527">
        <f t="shared" si="460"/>
        <v>529.23611218660358</v>
      </c>
      <c r="AX527">
        <f t="shared" si="461"/>
        <v>-2683.522693468231</v>
      </c>
      <c r="AY527">
        <f t="shared" si="469"/>
        <v>-1.3760782205943149</v>
      </c>
      <c r="BA527">
        <f t="shared" si="450"/>
        <v>0.78581335773192484</v>
      </c>
      <c r="BB527">
        <f t="shared" si="462"/>
        <v>-2.0936118612106638</v>
      </c>
      <c r="BC527">
        <f t="shared" si="463"/>
        <v>-1.6447716685590628</v>
      </c>
      <c r="BD527">
        <f t="shared" si="451"/>
        <v>-274.23847497880774</v>
      </c>
      <c r="BF527">
        <f t="shared" si="452"/>
        <v>-58.501500784376084</v>
      </c>
      <c r="BG527">
        <f t="shared" si="453"/>
        <v>-188.58399436182088</v>
      </c>
      <c r="BH527">
        <f t="shared" si="464"/>
        <v>-8.5839943618208849</v>
      </c>
      <c r="BI527">
        <f t="shared" si="465"/>
        <v>-8.5839943618208849</v>
      </c>
      <c r="BJ527">
        <f t="shared" si="454"/>
        <v>0</v>
      </c>
      <c r="BK527">
        <f t="shared" si="466"/>
        <v>0</v>
      </c>
      <c r="BM527">
        <f t="shared" si="467"/>
        <v>-56.407888923165423</v>
      </c>
      <c r="BN527">
        <f t="shared" si="455"/>
        <v>-94.345519383013183</v>
      </c>
      <c r="BQ527" s="56">
        <f t="shared" si="468"/>
        <v>14.808348939074472</v>
      </c>
    </row>
    <row r="528" spans="1:69" x14ac:dyDescent="0.25">
      <c r="A528">
        <f t="shared" si="420"/>
        <v>1570000</v>
      </c>
      <c r="B528">
        <f t="shared" si="456"/>
        <v>1570</v>
      </c>
      <c r="C528">
        <f t="shared" si="425"/>
        <v>13.059615467479397</v>
      </c>
      <c r="D528">
        <f t="shared" si="426"/>
        <v>1.4941493688490783</v>
      </c>
      <c r="F528">
        <f t="shared" si="427"/>
        <v>7.6946775720134803E-6</v>
      </c>
      <c r="G528">
        <f t="shared" si="428"/>
        <v>1.0439159950994296E-3</v>
      </c>
      <c r="H528">
        <f t="shared" si="429"/>
        <v>-3.1405487340049008</v>
      </c>
      <c r="J528">
        <f t="shared" si="430"/>
        <v>15</v>
      </c>
      <c r="M528">
        <f t="shared" si="431"/>
        <v>1.1611978846918993E-3</v>
      </c>
      <c r="N528">
        <f t="shared" si="432"/>
        <v>-1.5707963250000001</v>
      </c>
      <c r="O528">
        <f t="shared" si="433"/>
        <v>259.63822200438619</v>
      </c>
      <c r="P528">
        <f t="shared" si="434"/>
        <v>1.5669448042237768</v>
      </c>
      <c r="Q528">
        <f t="shared" si="435"/>
        <v>403.66070835325104</v>
      </c>
      <c r="R528">
        <f t="shared" si="436"/>
        <v>1.5683189961997506</v>
      </c>
      <c r="S528">
        <f t="shared" si="437"/>
        <v>7.6571932955466077E-2</v>
      </c>
      <c r="T528">
        <f t="shared" si="438"/>
        <v>-1.4941493688490783</v>
      </c>
      <c r="U528">
        <f t="shared" si="439"/>
        <v>0.12357860549893722</v>
      </c>
      <c r="V528">
        <f t="shared" si="440"/>
        <v>-1.4469009978450769</v>
      </c>
      <c r="X528">
        <f t="shared" si="457"/>
        <v>-55.209673677918936</v>
      </c>
      <c r="Y528">
        <f t="shared" si="441"/>
        <v>-173.20412503408454</v>
      </c>
      <c r="Z528">
        <f t="shared" si="458"/>
        <v>6.7958749659154591</v>
      </c>
      <c r="AC528">
        <v>1</v>
      </c>
      <c r="AD528">
        <f t="shared" si="442"/>
        <v>259.63629624071996</v>
      </c>
      <c r="AE528">
        <f t="shared" si="443"/>
        <v>-0.38418126705318523</v>
      </c>
      <c r="AF528">
        <f t="shared" si="444"/>
        <v>4.7843314466850001E-2</v>
      </c>
      <c r="AG528">
        <f t="shared" si="421"/>
        <v>80.313184421788193</v>
      </c>
      <c r="AH528">
        <f t="shared" si="422"/>
        <v>-665.81551272561819</v>
      </c>
      <c r="AJ528">
        <f t="shared" si="445"/>
        <v>18000</v>
      </c>
      <c r="AK528">
        <f t="shared" si="446"/>
        <v>234382.91788296</v>
      </c>
      <c r="AL528">
        <v>1</v>
      </c>
      <c r="AM528">
        <f t="shared" si="447"/>
        <v>403.65946968731993</v>
      </c>
      <c r="AN528">
        <f t="shared" si="423"/>
        <v>580.75206655916998</v>
      </c>
      <c r="AO528">
        <f t="shared" si="424"/>
        <v>-43.153324129702725</v>
      </c>
      <c r="AQ528">
        <f t="shared" si="448"/>
        <v>1.0142398257292561E-3</v>
      </c>
      <c r="AR528">
        <f t="shared" si="449"/>
        <v>-3.1847130527898644</v>
      </c>
      <c r="AT528">
        <f t="shared" si="418"/>
        <v>-2120.3498972970806</v>
      </c>
      <c r="AU528">
        <f t="shared" si="419"/>
        <v>-256.4497433487831</v>
      </c>
      <c r="AV528">
        <f t="shared" si="459"/>
        <v>-3.0212303758842802</v>
      </c>
      <c r="AW528">
        <f t="shared" si="460"/>
        <v>529.57141193226585</v>
      </c>
      <c r="AX528">
        <f t="shared" si="461"/>
        <v>-2675.0412857948127</v>
      </c>
      <c r="AY528">
        <f t="shared" si="469"/>
        <v>-1.3753557921752413</v>
      </c>
      <c r="BA528">
        <f t="shared" si="450"/>
        <v>0.78321821154452265</v>
      </c>
      <c r="BB528">
        <f t="shared" si="462"/>
        <v>-2.1223444557291282</v>
      </c>
      <c r="BC528">
        <f t="shared" si="463"/>
        <v>-1.6458745837090389</v>
      </c>
      <c r="BD528">
        <f t="shared" si="451"/>
        <v>-274.30166736213459</v>
      </c>
      <c r="BF528">
        <f t="shared" si="452"/>
        <v>-58.558102954365637</v>
      </c>
      <c r="BG528">
        <f t="shared" si="453"/>
        <v>-188.63340248637101</v>
      </c>
      <c r="BH528">
        <f t="shared" si="464"/>
        <v>-8.6334024863710113</v>
      </c>
      <c r="BI528">
        <f t="shared" si="465"/>
        <v>-8.6334024863710113</v>
      </c>
      <c r="BJ528">
        <f t="shared" si="454"/>
        <v>0</v>
      </c>
      <c r="BK528">
        <f t="shared" si="466"/>
        <v>0</v>
      </c>
      <c r="BM528">
        <f t="shared" si="467"/>
        <v>-56.435758498636517</v>
      </c>
      <c r="BN528">
        <f t="shared" si="455"/>
        <v>-94.331735124236431</v>
      </c>
      <c r="BQ528" s="56">
        <f t="shared" si="468"/>
        <v>14.779616344556008</v>
      </c>
    </row>
    <row r="529" spans="1:69" x14ac:dyDescent="0.25">
      <c r="A529">
        <f t="shared" si="420"/>
        <v>1575000</v>
      </c>
      <c r="B529">
        <f t="shared" si="456"/>
        <v>1575</v>
      </c>
      <c r="C529">
        <f t="shared" si="425"/>
        <v>13.100963124698778</v>
      </c>
      <c r="D529">
        <f t="shared" si="426"/>
        <v>1.4943917451727287</v>
      </c>
      <c r="F529">
        <f t="shared" si="427"/>
        <v>7.6458996753565989E-6</v>
      </c>
      <c r="G529">
        <f t="shared" si="428"/>
        <v>1.040601927406983E-3</v>
      </c>
      <c r="H529">
        <f t="shared" si="429"/>
        <v>-3.140552048072593</v>
      </c>
      <c r="J529">
        <f t="shared" si="430"/>
        <v>15</v>
      </c>
      <c r="M529">
        <f t="shared" si="431"/>
        <v>1.1575115422008137E-3</v>
      </c>
      <c r="N529">
        <f t="shared" si="432"/>
        <v>-1.5707963250000001</v>
      </c>
      <c r="O529">
        <f t="shared" si="433"/>
        <v>260.46508307637589</v>
      </c>
      <c r="P529">
        <f t="shared" si="434"/>
        <v>1.5669570311592145</v>
      </c>
      <c r="Q529">
        <f t="shared" si="435"/>
        <v>404.94624413337027</v>
      </c>
      <c r="R529">
        <f t="shared" si="436"/>
        <v>1.5683268607092982</v>
      </c>
      <c r="S529">
        <f t="shared" si="437"/>
        <v>7.6330265987447604E-2</v>
      </c>
      <c r="T529">
        <f t="shared" si="438"/>
        <v>-1.4943917451727287</v>
      </c>
      <c r="U529">
        <f t="shared" si="439"/>
        <v>0.12319225567474885</v>
      </c>
      <c r="V529">
        <f t="shared" si="440"/>
        <v>-1.4472903225705773</v>
      </c>
      <c r="X529">
        <f t="shared" si="457"/>
        <v>-55.264490423222199</v>
      </c>
      <c r="Y529">
        <f t="shared" si="441"/>
        <v>-173.22547042483001</v>
      </c>
      <c r="Z529">
        <f t="shared" si="458"/>
        <v>6.7745295751699928</v>
      </c>
      <c r="AC529">
        <v>1</v>
      </c>
      <c r="AD529">
        <f t="shared" si="442"/>
        <v>260.46316342620003</v>
      </c>
      <c r="AE529">
        <f t="shared" si="443"/>
        <v>-0.38663217801282312</v>
      </c>
      <c r="AF529">
        <f t="shared" si="444"/>
        <v>4.7995681710375E-2</v>
      </c>
      <c r="AG529">
        <f t="shared" si="421"/>
        <v>79.811795352994679</v>
      </c>
      <c r="AH529">
        <f t="shared" si="422"/>
        <v>-663.76405403895944</v>
      </c>
      <c r="AJ529">
        <f t="shared" si="445"/>
        <v>18000</v>
      </c>
      <c r="AK529">
        <f t="shared" si="446"/>
        <v>235129.3602966</v>
      </c>
      <c r="AL529">
        <v>1</v>
      </c>
      <c r="AM529">
        <f t="shared" si="447"/>
        <v>404.94500939970004</v>
      </c>
      <c r="AN529">
        <f t="shared" si="423"/>
        <v>580.7513888770934</v>
      </c>
      <c r="AO529">
        <f t="shared" si="424"/>
        <v>-43.016331123442185</v>
      </c>
      <c r="AQ529">
        <f t="shared" si="448"/>
        <v>1.007810430051859E-3</v>
      </c>
      <c r="AR529">
        <f t="shared" si="449"/>
        <v>-3.1746028546633553</v>
      </c>
      <c r="AT529">
        <f t="shared" si="418"/>
        <v>-2107.1068256152043</v>
      </c>
      <c r="AU529">
        <f t="shared" si="419"/>
        <v>-254.0397017001784</v>
      </c>
      <c r="AV529">
        <f t="shared" si="459"/>
        <v>-3.0216084846943603</v>
      </c>
      <c r="AW529">
        <f t="shared" si="460"/>
        <v>529.90341934805895</v>
      </c>
      <c r="AX529">
        <f t="shared" si="461"/>
        <v>-2666.6131266437069</v>
      </c>
      <c r="AY529">
        <f t="shared" si="469"/>
        <v>-1.3746339819346713</v>
      </c>
      <c r="BA529">
        <f t="shared" si="450"/>
        <v>0.78063904378223836</v>
      </c>
      <c r="BB529">
        <f t="shared" si="462"/>
        <v>-2.1509946241204929</v>
      </c>
      <c r="BC529">
        <f t="shared" si="463"/>
        <v>-1.6469745027596889</v>
      </c>
      <c r="BD529">
        <f t="shared" si="451"/>
        <v>-274.36468808161487</v>
      </c>
      <c r="BF529">
        <f t="shared" si="452"/>
        <v>-58.614533054663241</v>
      </c>
      <c r="BG529">
        <f t="shared" si="453"/>
        <v>-188.68272594752841</v>
      </c>
      <c r="BH529">
        <f t="shared" si="464"/>
        <v>-8.6827259475284109</v>
      </c>
      <c r="BI529">
        <f t="shared" si="465"/>
        <v>-8.6827259475284109</v>
      </c>
      <c r="BJ529">
        <f t="shared" si="454"/>
        <v>0</v>
      </c>
      <c r="BK529">
        <f t="shared" si="466"/>
        <v>0</v>
      </c>
      <c r="BM529">
        <f t="shared" si="467"/>
        <v>-56.463538430542748</v>
      </c>
      <c r="BN529">
        <f t="shared" si="455"/>
        <v>-94.31803786591351</v>
      </c>
      <c r="BQ529" s="56">
        <f t="shared" si="468"/>
        <v>14.750966176164644</v>
      </c>
    </row>
    <row r="530" spans="1:69" x14ac:dyDescent="0.25">
      <c r="A530">
        <f t="shared" si="420"/>
        <v>1580000</v>
      </c>
      <c r="B530">
        <f t="shared" si="456"/>
        <v>1580</v>
      </c>
      <c r="C530">
        <f t="shared" si="425"/>
        <v>13.14231154670825</v>
      </c>
      <c r="D530">
        <f t="shared" si="426"/>
        <v>1.494632596378672</v>
      </c>
      <c r="F530">
        <f t="shared" si="427"/>
        <v>7.5975841312717138E-6</v>
      </c>
      <c r="G530">
        <f t="shared" si="428"/>
        <v>1.0373088352862928E-3</v>
      </c>
      <c r="H530">
        <f t="shared" si="429"/>
        <v>-3.1405553411647138</v>
      </c>
      <c r="J530">
        <f t="shared" si="430"/>
        <v>15</v>
      </c>
      <c r="M530">
        <f t="shared" si="431"/>
        <v>1.1538485309913174E-3</v>
      </c>
      <c r="N530">
        <f t="shared" si="432"/>
        <v>-1.5707963250000001</v>
      </c>
      <c r="O530">
        <f t="shared" si="433"/>
        <v>261.29194418705811</v>
      </c>
      <c r="P530">
        <f t="shared" si="434"/>
        <v>1.5669691807101218</v>
      </c>
      <c r="Q530">
        <f t="shared" si="435"/>
        <v>406.23177993837709</v>
      </c>
      <c r="R530">
        <f t="shared" si="436"/>
        <v>1.5683346754437715</v>
      </c>
      <c r="S530">
        <f t="shared" si="437"/>
        <v>7.6090115231705183E-2</v>
      </c>
      <c r="T530">
        <f t="shared" si="438"/>
        <v>-1.494632596378672</v>
      </c>
      <c r="U530">
        <f t="shared" si="439"/>
        <v>0.12280829560947079</v>
      </c>
      <c r="V530">
        <f t="shared" si="440"/>
        <v>-1.4476772204949331</v>
      </c>
      <c r="X530">
        <f t="shared" si="457"/>
        <v>-55.319136029021479</v>
      </c>
      <c r="Y530">
        <f t="shared" si="441"/>
        <v>-173.24668285400898</v>
      </c>
      <c r="Z530">
        <f t="shared" si="458"/>
        <v>6.7533171459910193</v>
      </c>
      <c r="AC530">
        <v>1</v>
      </c>
      <c r="AD530">
        <f t="shared" si="442"/>
        <v>261.29003061168004</v>
      </c>
      <c r="AE530">
        <f t="shared" si="443"/>
        <v>-0.38909088201207825</v>
      </c>
      <c r="AF530">
        <f t="shared" si="444"/>
        <v>4.81480489539E-2</v>
      </c>
      <c r="AG530">
        <f t="shared" si="421"/>
        <v>79.315063050743987</v>
      </c>
      <c r="AH530">
        <f t="shared" si="422"/>
        <v>-661.72500301648984</v>
      </c>
      <c r="AJ530">
        <f t="shared" si="445"/>
        <v>18000</v>
      </c>
      <c r="AK530">
        <f t="shared" si="446"/>
        <v>235875.80271024004</v>
      </c>
      <c r="AL530">
        <v>1</v>
      </c>
      <c r="AM530">
        <f t="shared" si="447"/>
        <v>406.23054911207998</v>
      </c>
      <c r="AN530">
        <f t="shared" si="423"/>
        <v>580.75071761847039</v>
      </c>
      <c r="AO530">
        <f t="shared" si="424"/>
        <v>-42.88020514571275</v>
      </c>
      <c r="AQ530">
        <f t="shared" si="448"/>
        <v>1.0014419763016767E-3</v>
      </c>
      <c r="AR530">
        <f t="shared" si="449"/>
        <v>-3.1645566451132985</v>
      </c>
      <c r="AT530">
        <f t="shared" si="418"/>
        <v>-2093.9868260999583</v>
      </c>
      <c r="AU530">
        <f t="shared" si="419"/>
        <v>-251.6596890296012</v>
      </c>
      <c r="AV530">
        <f t="shared" si="459"/>
        <v>-3.0219842376889656</v>
      </c>
      <c r="AW530">
        <f t="shared" si="460"/>
        <v>530.2321776496334</v>
      </c>
      <c r="AX530">
        <f t="shared" si="461"/>
        <v>-2658.2377178721499</v>
      </c>
      <c r="AY530">
        <f t="shared" si="469"/>
        <v>-1.3739127858701936</v>
      </c>
      <c r="BA530">
        <f t="shared" si="450"/>
        <v>0.77807570556007366</v>
      </c>
      <c r="BB530">
        <f t="shared" si="462"/>
        <v>-2.1795628954909612</v>
      </c>
      <c r="BC530">
        <f t="shared" si="463"/>
        <v>-1.648071451818772</v>
      </c>
      <c r="BD530">
        <f t="shared" si="451"/>
        <v>-274.42753863311304</v>
      </c>
      <c r="BF530">
        <f t="shared" si="452"/>
        <v>-58.67079219229251</v>
      </c>
      <c r="BG530">
        <f t="shared" si="453"/>
        <v>-188.73196542169987</v>
      </c>
      <c r="BH530">
        <f t="shared" si="464"/>
        <v>-8.7319654216998686</v>
      </c>
      <c r="BI530">
        <f t="shared" si="465"/>
        <v>-8.7319654216998686</v>
      </c>
      <c r="BJ530">
        <f t="shared" si="454"/>
        <v>0</v>
      </c>
      <c r="BK530">
        <f t="shared" si="466"/>
        <v>0</v>
      </c>
      <c r="BM530">
        <f t="shared" si="467"/>
        <v>-56.491229296801549</v>
      </c>
      <c r="BN530">
        <f t="shared" si="455"/>
        <v>-94.304426788586838</v>
      </c>
      <c r="BQ530" s="56">
        <f t="shared" si="468"/>
        <v>14.722397904794175</v>
      </c>
    </row>
    <row r="531" spans="1:69" x14ac:dyDescent="0.25">
      <c r="A531">
        <f t="shared" si="420"/>
        <v>1585000</v>
      </c>
      <c r="B531">
        <f t="shared" si="456"/>
        <v>1585</v>
      </c>
      <c r="C531">
        <f t="shared" si="425"/>
        <v>13.183660726311894</v>
      </c>
      <c r="D531">
        <f t="shared" si="426"/>
        <v>1.4948719367889514</v>
      </c>
      <c r="F531">
        <f t="shared" si="427"/>
        <v>7.5497251148000058E-6</v>
      </c>
      <c r="G531">
        <f t="shared" si="428"/>
        <v>1.0340365202245966E-3</v>
      </c>
      <c r="H531">
        <f t="shared" si="429"/>
        <v>-3.1405586134797758</v>
      </c>
      <c r="J531">
        <f t="shared" si="430"/>
        <v>15</v>
      </c>
      <c r="M531">
        <f t="shared" si="431"/>
        <v>1.1502086302626381E-3</v>
      </c>
      <c r="N531">
        <f t="shared" si="432"/>
        <v>-1.5707963250000001</v>
      </c>
      <c r="O531">
        <f t="shared" si="433"/>
        <v>262.11880533606671</v>
      </c>
      <c r="P531">
        <f t="shared" si="434"/>
        <v>1.5669812536088303</v>
      </c>
      <c r="Q531">
        <f t="shared" si="435"/>
        <v>407.51731576803599</v>
      </c>
      <c r="R531">
        <f t="shared" si="436"/>
        <v>1.5683424408742241</v>
      </c>
      <c r="S531">
        <f t="shared" si="437"/>
        <v>7.5851466505369364E-2</v>
      </c>
      <c r="T531">
        <f t="shared" si="438"/>
        <v>-1.4948719367889514</v>
      </c>
      <c r="U531">
        <f t="shared" si="439"/>
        <v>0.12242670337090786</v>
      </c>
      <c r="V531">
        <f t="shared" si="440"/>
        <v>-1.4480617141235776</v>
      </c>
      <c r="X531">
        <f t="shared" si="457"/>
        <v>-55.373611552676124</v>
      </c>
      <c r="Y531">
        <f t="shared" si="441"/>
        <v>-173.26776355351282</v>
      </c>
      <c r="Z531">
        <f t="shared" si="458"/>
        <v>6.7322364464871782</v>
      </c>
      <c r="AC531">
        <v>1</v>
      </c>
      <c r="AD531">
        <f t="shared" si="442"/>
        <v>262.11689779715999</v>
      </c>
      <c r="AE531">
        <f t="shared" si="443"/>
        <v>-0.39155737905095073</v>
      </c>
      <c r="AF531">
        <f t="shared" si="444"/>
        <v>4.8300416197424999E-2</v>
      </c>
      <c r="AG531">
        <f t="shared" si="421"/>
        <v>78.822930320611249</v>
      </c>
      <c r="AH531">
        <f t="shared" si="422"/>
        <v>-659.69824929071694</v>
      </c>
      <c r="AJ531">
        <f t="shared" si="445"/>
        <v>18000</v>
      </c>
      <c r="AK531">
        <f t="shared" si="446"/>
        <v>236622.24512388001</v>
      </c>
      <c r="AL531">
        <v>1</v>
      </c>
      <c r="AM531">
        <f t="shared" si="447"/>
        <v>407.51608882445998</v>
      </c>
      <c r="AN531">
        <f t="shared" si="423"/>
        <v>580.75005270237637</v>
      </c>
      <c r="AO531">
        <f t="shared" si="424"/>
        <v>-42.744937991395652</v>
      </c>
      <c r="AQ531">
        <f t="shared" si="448"/>
        <v>9.9513369670971991E-4</v>
      </c>
      <c r="AR531">
        <f t="shared" si="449"/>
        <v>-3.1545738185698116</v>
      </c>
      <c r="AT531">
        <f t="shared" si="418"/>
        <v>-2080.9883860148011</v>
      </c>
      <c r="AU531">
        <f t="shared" si="419"/>
        <v>-249.30924024988241</v>
      </c>
      <c r="AV531">
        <f t="shared" si="459"/>
        <v>-3.0223576567017552</v>
      </c>
      <c r="AW531">
        <f t="shared" si="460"/>
        <v>530.55772934250172</v>
      </c>
      <c r="AX531">
        <f t="shared" si="461"/>
        <v>-2649.9145675108684</v>
      </c>
      <c r="AY531">
        <f t="shared" si="469"/>
        <v>-1.3731922000416754</v>
      </c>
      <c r="BA531">
        <f t="shared" si="450"/>
        <v>0.77552804983515455</v>
      </c>
      <c r="BB531">
        <f t="shared" si="462"/>
        <v>-2.2080497940591877</v>
      </c>
      <c r="BC531">
        <f t="shared" si="463"/>
        <v>-1.6491654566600797</v>
      </c>
      <c r="BD531">
        <f t="shared" si="451"/>
        <v>-274.49022049335849</v>
      </c>
      <c r="BF531">
        <f t="shared" si="452"/>
        <v>-58.726881463791337</v>
      </c>
      <c r="BG531">
        <f t="shared" si="453"/>
        <v>-188.7811215763962</v>
      </c>
      <c r="BH531">
        <f t="shared" si="464"/>
        <v>-8.7811215763962025</v>
      </c>
      <c r="BI531">
        <f t="shared" si="465"/>
        <v>-8.7811215763962025</v>
      </c>
      <c r="BJ531">
        <f t="shared" si="454"/>
        <v>0</v>
      </c>
      <c r="BK531">
        <f t="shared" si="466"/>
        <v>0</v>
      </c>
      <c r="BM531">
        <f t="shared" si="467"/>
        <v>-56.518831669732151</v>
      </c>
      <c r="BN531">
        <f t="shared" si="455"/>
        <v>-94.290901083037724</v>
      </c>
      <c r="BQ531" s="56">
        <f t="shared" si="468"/>
        <v>14.693911006225949</v>
      </c>
    </row>
    <row r="532" spans="1:69" x14ac:dyDescent="0.25">
      <c r="A532">
        <f t="shared" si="420"/>
        <v>1590000</v>
      </c>
      <c r="B532">
        <f t="shared" si="456"/>
        <v>1590</v>
      </c>
      <c r="C532">
        <f t="shared" si="425"/>
        <v>13.225010656403654</v>
      </c>
      <c r="D532">
        <f t="shared" si="426"/>
        <v>1.4951097805471876</v>
      </c>
      <c r="F532">
        <f t="shared" si="427"/>
        <v>7.5023168924271172E-6</v>
      </c>
      <c r="G532">
        <f t="shared" si="428"/>
        <v>1.0307847862062384E-3</v>
      </c>
      <c r="H532">
        <f t="shared" si="429"/>
        <v>-3.1405618652137939</v>
      </c>
      <c r="J532">
        <f t="shared" si="430"/>
        <v>15</v>
      </c>
      <c r="M532">
        <f t="shared" si="431"/>
        <v>1.1465916219913722E-3</v>
      </c>
      <c r="N532">
        <f t="shared" si="432"/>
        <v>-1.5707963250000001</v>
      </c>
      <c r="O532">
        <f t="shared" si="433"/>
        <v>262.94566652304013</v>
      </c>
      <c r="P532">
        <f t="shared" si="434"/>
        <v>1.5669932505784601</v>
      </c>
      <c r="Q532">
        <f t="shared" si="435"/>
        <v>408.80285162211442</v>
      </c>
      <c r="R532">
        <f t="shared" si="436"/>
        <v>1.568350157465785</v>
      </c>
      <c r="S532">
        <f t="shared" si="437"/>
        <v>7.5614305801394013E-2</v>
      </c>
      <c r="T532">
        <f t="shared" si="438"/>
        <v>-1.4951097805471876</v>
      </c>
      <c r="U532">
        <f t="shared" si="439"/>
        <v>0.12204745729228077</v>
      </c>
      <c r="V532">
        <f t="shared" si="440"/>
        <v>-1.4484438256859438</v>
      </c>
      <c r="X532">
        <f t="shared" si="457"/>
        <v>-55.427918041849168</v>
      </c>
      <c r="Y532">
        <f t="shared" si="441"/>
        <v>-173.28871374014346</v>
      </c>
      <c r="Z532">
        <f t="shared" si="458"/>
        <v>6.7112862598565357</v>
      </c>
      <c r="AC532">
        <v>1</v>
      </c>
      <c r="AD532">
        <f t="shared" si="442"/>
        <v>262.94376498264</v>
      </c>
      <c r="AE532">
        <f t="shared" si="443"/>
        <v>-0.39403166912944043</v>
      </c>
      <c r="AF532">
        <f t="shared" si="444"/>
        <v>4.8452783440949998E-2</v>
      </c>
      <c r="AG532">
        <f t="shared" si="421"/>
        <v>78.335340838994583</v>
      </c>
      <c r="AH532">
        <f t="shared" si="422"/>
        <v>-657.68368377533716</v>
      </c>
      <c r="AJ532">
        <f t="shared" si="445"/>
        <v>18000</v>
      </c>
      <c r="AK532">
        <f t="shared" si="446"/>
        <v>237368.68753752002</v>
      </c>
      <c r="AL532">
        <v>1</v>
      </c>
      <c r="AM532">
        <f t="shared" si="447"/>
        <v>408.80162853683998</v>
      </c>
      <c r="AN532">
        <f t="shared" si="423"/>
        <v>580.74939404915744</v>
      </c>
      <c r="AO532">
        <f t="shared" si="424"/>
        <v>-42.610521558578064</v>
      </c>
      <c r="AQ532">
        <f t="shared" si="448"/>
        <v>9.8888483555982401E-4</v>
      </c>
      <c r="AR532">
        <f t="shared" si="449"/>
        <v>-3.1446537770802405</v>
      </c>
      <c r="AT532">
        <f t="shared" si="418"/>
        <v>-2068.1100156775165</v>
      </c>
      <c r="AU532">
        <f t="shared" si="419"/>
        <v>-246.98789886969288</v>
      </c>
      <c r="AV532">
        <f t="shared" si="459"/>
        <v>-3.0227287632988373</v>
      </c>
      <c r="AW532">
        <f t="shared" si="460"/>
        <v>530.88011623604768</v>
      </c>
      <c r="AX532">
        <f t="shared" si="461"/>
        <v>-2641.6431896690483</v>
      </c>
      <c r="AY532">
        <f t="shared" si="469"/>
        <v>-1.3724722205701485</v>
      </c>
      <c r="BA532">
        <f t="shared" si="450"/>
        <v>0.77299593137846234</v>
      </c>
      <c r="BB532">
        <f t="shared" si="462"/>
        <v>-2.2364558392152083</v>
      </c>
      <c r="BC532">
        <f t="shared" si="463"/>
        <v>-1.6502565427286888</v>
      </c>
      <c r="BD532">
        <f t="shared" si="451"/>
        <v>-274.55273512024672</v>
      </c>
      <c r="BF532">
        <f t="shared" si="452"/>
        <v>-58.782801955343267</v>
      </c>
      <c r="BG532">
        <f t="shared" si="453"/>
        <v>-188.83019507037395</v>
      </c>
      <c r="BH532">
        <f t="shared" si="464"/>
        <v>-8.8301950703739465</v>
      </c>
      <c r="BI532">
        <f t="shared" si="465"/>
        <v>-8.8301950703739465</v>
      </c>
      <c r="BJ532">
        <f t="shared" si="454"/>
        <v>0</v>
      </c>
      <c r="BK532">
        <f t="shared" si="466"/>
        <v>0</v>
      </c>
      <c r="BM532">
        <f t="shared" si="467"/>
        <v>-56.546346116128063</v>
      </c>
      <c r="BN532">
        <f t="shared" si="455"/>
        <v>-94.277459950127238</v>
      </c>
      <c r="BQ532" s="56">
        <f t="shared" si="468"/>
        <v>14.665504961069928</v>
      </c>
    </row>
    <row r="533" spans="1:69" x14ac:dyDescent="0.25">
      <c r="A533">
        <f t="shared" si="420"/>
        <v>1595000</v>
      </c>
      <c r="B533">
        <f t="shared" si="456"/>
        <v>1595</v>
      </c>
      <c r="C533">
        <f t="shared" si="425"/>
        <v>13.266361329965935</v>
      </c>
      <c r="D533">
        <f t="shared" si="426"/>
        <v>1.4953461416213436</v>
      </c>
      <c r="F533">
        <f t="shared" si="427"/>
        <v>7.4553538203658661E-6</v>
      </c>
      <c r="G533">
        <f t="shared" si="428"/>
        <v>1.0275534396735264E-3</v>
      </c>
      <c r="H533">
        <f t="shared" si="429"/>
        <v>-3.1405650965603269</v>
      </c>
      <c r="J533">
        <f t="shared" si="430"/>
        <v>15</v>
      </c>
      <c r="M533">
        <f t="shared" si="431"/>
        <v>1.1429972908879509E-3</v>
      </c>
      <c r="N533">
        <f t="shared" si="432"/>
        <v>-1.5707963250000001</v>
      </c>
      <c r="O533">
        <f t="shared" si="433"/>
        <v>263.77252774762133</v>
      </c>
      <c r="P533">
        <f t="shared" si="434"/>
        <v>1.5670051723330636</v>
      </c>
      <c r="Q533">
        <f t="shared" si="435"/>
        <v>410.08838750038274</v>
      </c>
      <c r="R533">
        <f t="shared" si="436"/>
        <v>1.5683578256777497</v>
      </c>
      <c r="S533">
        <f t="shared" si="437"/>
        <v>7.5378619285848159E-2</v>
      </c>
      <c r="T533">
        <f t="shared" si="438"/>
        <v>-1.4953461416213434</v>
      </c>
      <c r="U533">
        <f t="shared" si="439"/>
        <v>0.12167053596825682</v>
      </c>
      <c r="V533">
        <f t="shared" si="440"/>
        <v>-1.4488235771396603</v>
      </c>
      <c r="X533">
        <f t="shared" si="457"/>
        <v>-55.482056534624711</v>
      </c>
      <c r="Y533">
        <f t="shared" si="441"/>
        <v>-173.30953461584247</v>
      </c>
      <c r="Z533">
        <f t="shared" si="458"/>
        <v>6.6904653841575339</v>
      </c>
      <c r="AC533">
        <v>1</v>
      </c>
      <c r="AD533">
        <f t="shared" si="442"/>
        <v>263.77063216812002</v>
      </c>
      <c r="AE533">
        <f t="shared" si="443"/>
        <v>-0.39651375224754748</v>
      </c>
      <c r="AF533">
        <f t="shared" si="444"/>
        <v>4.8605150684474997E-2</v>
      </c>
      <c r="AG533">
        <f t="shared" si="421"/>
        <v>77.852239137336952</v>
      </c>
      <c r="AH533">
        <f t="shared" si="422"/>
        <v>-655.68119864708683</v>
      </c>
      <c r="AJ533">
        <f t="shared" si="445"/>
        <v>18000</v>
      </c>
      <c r="AK533">
        <f t="shared" si="446"/>
        <v>238115.12995115999</v>
      </c>
      <c r="AL533">
        <v>1</v>
      </c>
      <c r="AM533">
        <f t="shared" si="447"/>
        <v>410.08716824921999</v>
      </c>
      <c r="AN533">
        <f t="shared" si="423"/>
        <v>580.74874158040643</v>
      </c>
      <c r="AO533">
        <f t="shared" si="424"/>
        <v>-42.476947846935538</v>
      </c>
      <c r="AQ533">
        <f t="shared" si="448"/>
        <v>9.8269464896230891E-4</v>
      </c>
      <c r="AR533">
        <f t="shared" si="449"/>
        <v>-3.1347959301897652</v>
      </c>
      <c r="AT533">
        <f t="shared" si="418"/>
        <v>-2055.3502480420248</v>
      </c>
      <c r="AU533">
        <f t="shared" si="419"/>
        <v>-244.69521680921991</v>
      </c>
      <c r="AV533">
        <f t="shared" si="459"/>
        <v>-3.0230975787828336</v>
      </c>
      <c r="AW533">
        <f t="shared" si="460"/>
        <v>531.19937945721222</v>
      </c>
      <c r="AX533">
        <f t="shared" si="461"/>
        <v>-2633.4231044410367</v>
      </c>
      <c r="AY533">
        <f t="shared" si="469"/>
        <v>-1.371752843636719</v>
      </c>
      <c r="BA533">
        <f t="shared" si="450"/>
        <v>0.77047920674708237</v>
      </c>
      <c r="BB533">
        <f t="shared" si="462"/>
        <v>-2.2647815455784777</v>
      </c>
      <c r="BC533">
        <f t="shared" si="463"/>
        <v>-1.6513447351461146</v>
      </c>
      <c r="BD533">
        <f t="shared" si="451"/>
        <v>-274.61508395313462</v>
      </c>
      <c r="BF533">
        <f t="shared" si="452"/>
        <v>-58.838554742906695</v>
      </c>
      <c r="BG533">
        <f t="shared" si="453"/>
        <v>-188.87918655377473</v>
      </c>
      <c r="BH533">
        <f t="shared" si="464"/>
        <v>-8.8791865537747299</v>
      </c>
      <c r="BI533">
        <f t="shared" si="465"/>
        <v>-8.8791865537747299</v>
      </c>
      <c r="BJ533">
        <f t="shared" si="454"/>
        <v>0</v>
      </c>
      <c r="BK533">
        <f t="shared" si="466"/>
        <v>0</v>
      </c>
      <c r="BM533">
        <f t="shared" si="467"/>
        <v>-56.573773197328222</v>
      </c>
      <c r="BN533">
        <f t="shared" si="455"/>
        <v>-94.264102600640143</v>
      </c>
      <c r="BQ533" s="56">
        <f t="shared" si="468"/>
        <v>14.637179254706659</v>
      </c>
    </row>
    <row r="534" spans="1:69" x14ac:dyDescent="0.25">
      <c r="A534">
        <f t="shared" si="420"/>
        <v>1600000</v>
      </c>
      <c r="B534">
        <f t="shared" si="456"/>
        <v>1600</v>
      </c>
      <c r="C534">
        <f t="shared" si="425"/>
        <v>13.307712740068245</v>
      </c>
      <c r="D534">
        <f t="shared" si="426"/>
        <v>1.495581033806437</v>
      </c>
      <c r="F534">
        <f t="shared" si="427"/>
        <v>7.4088303428764617E-6</v>
      </c>
      <c r="G534">
        <f t="shared" si="428"/>
        <v>1.0243422894883273E-3</v>
      </c>
      <c r="H534">
        <f t="shared" si="429"/>
        <v>-3.1405683077105118</v>
      </c>
      <c r="J534">
        <f t="shared" si="430"/>
        <v>15</v>
      </c>
      <c r="M534">
        <f t="shared" si="431"/>
        <v>1.139425424353926E-3</v>
      </c>
      <c r="N534">
        <f t="shared" si="432"/>
        <v>-1.5707963250000001</v>
      </c>
      <c r="O534">
        <f t="shared" si="433"/>
        <v>264.59938900945775</v>
      </c>
      <c r="P534">
        <f t="shared" si="434"/>
        <v>1.5670170195777684</v>
      </c>
      <c r="Q534">
        <f t="shared" si="435"/>
        <v>411.37392340261408</v>
      </c>
      <c r="R534">
        <f t="shared" si="436"/>
        <v>1.568365445963674</v>
      </c>
      <c r="S534">
        <f t="shared" si="437"/>
        <v>7.5144393295257739E-2</v>
      </c>
      <c r="T534">
        <f t="shared" si="438"/>
        <v>-1.4955810338064368</v>
      </c>
      <c r="U534">
        <f t="shared" si="439"/>
        <v>0.12129591825105102</v>
      </c>
      <c r="V534">
        <f t="shared" si="440"/>
        <v>-1.4492009901746719</v>
      </c>
      <c r="X534">
        <f t="shared" si="457"/>
        <v>-55.536028059623348</v>
      </c>
      <c r="Y534">
        <f t="shared" si="441"/>
        <v>-173.33022736791585</v>
      </c>
      <c r="Z534">
        <f t="shared" si="458"/>
        <v>6.6697726320841468</v>
      </c>
      <c r="AC534">
        <v>1</v>
      </c>
      <c r="AD534">
        <f t="shared" si="442"/>
        <v>264.59749935359997</v>
      </c>
      <c r="AE534">
        <f t="shared" si="443"/>
        <v>-0.39900362840527176</v>
      </c>
      <c r="AF534">
        <f t="shared" si="444"/>
        <v>4.8757517928000003E-2</v>
      </c>
      <c r="AG534">
        <f t="shared" si="421"/>
        <v>77.37357058667952</v>
      </c>
      <c r="AH534">
        <f t="shared" si="422"/>
        <v>-653.69068732789606</v>
      </c>
      <c r="AJ534">
        <f t="shared" si="445"/>
        <v>18000</v>
      </c>
      <c r="AK534">
        <f t="shared" si="446"/>
        <v>238861.57236480003</v>
      </c>
      <c r="AL534">
        <v>1</v>
      </c>
      <c r="AM534">
        <f t="shared" si="447"/>
        <v>411.37270796159999</v>
      </c>
      <c r="AN534">
        <f t="shared" si="423"/>
        <v>580.7480952189394</v>
      </c>
      <c r="AO534">
        <f t="shared" si="424"/>
        <v>-42.344208956144655</v>
      </c>
      <c r="AQ534">
        <f t="shared" si="448"/>
        <v>9.7656240463257771E-4</v>
      </c>
      <c r="AR534">
        <f t="shared" si="449"/>
        <v>-3.1249996948242487</v>
      </c>
      <c r="AT534">
        <f t="shared" ref="AT534:AT597" si="470">-AR534*AH534+AG534*AQ534</f>
        <v>-2042.7076382889813</v>
      </c>
      <c r="AU534">
        <f t="shared" ref="AU534:AU597" si="471">AQ534*AH534+AG534*AR534</f>
        <v>-242.43075422033883</v>
      </c>
      <c r="AV534">
        <f t="shared" si="459"/>
        <v>-3.0234641241968689</v>
      </c>
      <c r="AW534">
        <f t="shared" si="460"/>
        <v>531.51555946386895</v>
      </c>
      <c r="AX534">
        <f t="shared" si="461"/>
        <v>-2625.2538378147574</v>
      </c>
      <c r="AY534">
        <f t="shared" si="469"/>
        <v>-1.3710340654814992</v>
      </c>
      <c r="BA534">
        <f t="shared" si="450"/>
        <v>0.76797773425696136</v>
      </c>
      <c r="BB534">
        <f t="shared" si="462"/>
        <v>-2.2930274230550172</v>
      </c>
      <c r="BC534">
        <f t="shared" si="463"/>
        <v>-1.6524300587153697</v>
      </c>
      <c r="BD534">
        <f t="shared" si="451"/>
        <v>-274.67726841313004</v>
      </c>
      <c r="BF534">
        <f t="shared" si="452"/>
        <v>-58.894140892342122</v>
      </c>
      <c r="BG534">
        <f t="shared" si="453"/>
        <v>-188.92809666826153</v>
      </c>
      <c r="BH534">
        <f t="shared" si="464"/>
        <v>-8.9280966682615315</v>
      </c>
      <c r="BI534">
        <f t="shared" si="465"/>
        <v>-8.9280966682615315</v>
      </c>
      <c r="BJ534">
        <f t="shared" si="454"/>
        <v>0</v>
      </c>
      <c r="BK534">
        <f t="shared" si="466"/>
        <v>0</v>
      </c>
      <c r="BM534">
        <f t="shared" si="467"/>
        <v>-56.601113469287114</v>
      </c>
      <c r="BN534">
        <f t="shared" si="455"/>
        <v>-94.250828255131495</v>
      </c>
      <c r="BQ534" s="56">
        <f t="shared" si="468"/>
        <v>14.60893337723012</v>
      </c>
    </row>
    <row r="535" spans="1:69" x14ac:dyDescent="0.25">
      <c r="A535">
        <f t="shared" si="420"/>
        <v>1605000</v>
      </c>
      <c r="B535">
        <f t="shared" si="456"/>
        <v>1605</v>
      </c>
      <c r="C535">
        <f t="shared" si="425"/>
        <v>13.349064879865844</v>
      </c>
      <c r="D535">
        <f t="shared" si="426"/>
        <v>1.4958144707272043</v>
      </c>
      <c r="F535">
        <f t="shared" si="427"/>
        <v>7.3627409906233049E-6</v>
      </c>
      <c r="G535">
        <f t="shared" si="428"/>
        <v>1.0211511468943757E-3</v>
      </c>
      <c r="H535">
        <f t="shared" si="429"/>
        <v>-3.1405714988531059</v>
      </c>
      <c r="J535">
        <f t="shared" si="430"/>
        <v>15</v>
      </c>
      <c r="M535">
        <f t="shared" si="431"/>
        <v>1.1358758124400507E-3</v>
      </c>
      <c r="N535">
        <f t="shared" si="432"/>
        <v>-1.5707963250000001</v>
      </c>
      <c r="O535">
        <f t="shared" si="433"/>
        <v>265.42625030820125</v>
      </c>
      <c r="P535">
        <f t="shared" si="434"/>
        <v>1.5670287930089157</v>
      </c>
      <c r="Q535">
        <f t="shared" si="435"/>
        <v>412.65945932858466</v>
      </c>
      <c r="R535">
        <f t="shared" si="436"/>
        <v>1.5683730187714608</v>
      </c>
      <c r="S535">
        <f t="shared" si="437"/>
        <v>7.4911614333995957E-2</v>
      </c>
      <c r="T535">
        <f t="shared" si="438"/>
        <v>-1.4958144707272043</v>
      </c>
      <c r="U535">
        <f t="shared" si="439"/>
        <v>0.12092358324659572</v>
      </c>
      <c r="V535">
        <f t="shared" si="440"/>
        <v>-1.4495760862172848</v>
      </c>
      <c r="X535">
        <f t="shared" si="457"/>
        <v>-55.589833636116104</v>
      </c>
      <c r="Y535">
        <f t="shared" si="441"/>
        <v>-173.35079316925524</v>
      </c>
      <c r="Z535">
        <f t="shared" si="458"/>
        <v>6.6492068307447596</v>
      </c>
      <c r="AC535">
        <v>1</v>
      </c>
      <c r="AD535">
        <f t="shared" si="442"/>
        <v>265.42436653908004</v>
      </c>
      <c r="AE535">
        <f t="shared" si="443"/>
        <v>-0.40150129760261338</v>
      </c>
      <c r="AF535">
        <f t="shared" si="444"/>
        <v>4.8909885171525003E-2</v>
      </c>
      <c r="AG535">
        <f t="shared" si="421"/>
        <v>76.899281382537225</v>
      </c>
      <c r="AH535">
        <f t="shared" si="422"/>
        <v>-651.71204446733566</v>
      </c>
      <c r="AJ535">
        <f t="shared" si="445"/>
        <v>18000</v>
      </c>
      <c r="AK535">
        <f t="shared" si="446"/>
        <v>239608.01477844003</v>
      </c>
      <c r="AL535">
        <v>1</v>
      </c>
      <c r="AM535">
        <f t="shared" si="447"/>
        <v>412.65824767397999</v>
      </c>
      <c r="AN535">
        <f t="shared" si="423"/>
        <v>580.74745488877193</v>
      </c>
      <c r="AO535">
        <f t="shared" si="424"/>
        <v>-42.212297084325535</v>
      </c>
      <c r="AQ535">
        <f t="shared" si="448"/>
        <v>9.7048738167453911E-4</v>
      </c>
      <c r="AR535">
        <f t="shared" si="449"/>
        <v>-3.1152644951752704</v>
      </c>
      <c r="AT535">
        <f t="shared" si="470"/>
        <v>-2030.1807634249362</v>
      </c>
      <c r="AU535">
        <f t="shared" si="471"/>
        <v>-240.19407931115177</v>
      </c>
      <c r="AV535">
        <f t="shared" si="459"/>
        <v>-3.0238284203284893</v>
      </c>
      <c r="AW535">
        <f t="shared" si="460"/>
        <v>531.82869605788824</v>
      </c>
      <c r="AX535">
        <f t="shared" si="461"/>
        <v>-2617.1349215817977</v>
      </c>
      <c r="AY535">
        <f t="shared" si="469"/>
        <v>-1.3703158824025612</v>
      </c>
      <c r="BA535">
        <f t="shared" si="450"/>
        <v>0.76549137395615685</v>
      </c>
      <c r="BB535">
        <f t="shared" si="462"/>
        <v>-2.321193976893742</v>
      </c>
      <c r="BC535">
        <f t="shared" si="463"/>
        <v>-1.6535125379259281</v>
      </c>
      <c r="BD535">
        <f t="shared" si="451"/>
        <v>-274.73928990337657</v>
      </c>
      <c r="BF535">
        <f t="shared" si="452"/>
        <v>-58.949561459537428</v>
      </c>
      <c r="BG535">
        <f t="shared" si="453"/>
        <v>-188.97692604715294</v>
      </c>
      <c r="BH535">
        <f t="shared" si="464"/>
        <v>-8.9769260471529435</v>
      </c>
      <c r="BI535">
        <f t="shared" si="465"/>
        <v>-8.9769260471529435</v>
      </c>
      <c r="BJ535">
        <f t="shared" si="454"/>
        <v>0</v>
      </c>
      <c r="BK535">
        <f t="shared" si="466"/>
        <v>0</v>
      </c>
      <c r="BM535">
        <f t="shared" si="467"/>
        <v>-56.628367482643689</v>
      </c>
      <c r="BN535">
        <f t="shared" si="455"/>
        <v>-94.237636143776399</v>
      </c>
      <c r="BQ535" s="56">
        <f t="shared" si="468"/>
        <v>14.580766823391397</v>
      </c>
    </row>
    <row r="536" spans="1:69" x14ac:dyDescent="0.25">
      <c r="A536">
        <f t="shared" si="420"/>
        <v>1610000</v>
      </c>
      <c r="B536">
        <f t="shared" si="456"/>
        <v>1610</v>
      </c>
      <c r="C536">
        <f t="shared" si="425"/>
        <v>13.390417742598419</v>
      </c>
      <c r="D536">
        <f t="shared" si="426"/>
        <v>1.4960464658407153</v>
      </c>
      <c r="F536">
        <f t="shared" si="427"/>
        <v>7.3170803790674576E-6</v>
      </c>
      <c r="G536">
        <f t="shared" si="428"/>
        <v>1.0179798254802864E-3</v>
      </c>
      <c r="H536">
        <f t="shared" si="429"/>
        <v>-3.1405746701745199</v>
      </c>
      <c r="J536">
        <f t="shared" si="430"/>
        <v>15</v>
      </c>
      <c r="M536">
        <f t="shared" si="431"/>
        <v>1.1323482478051438E-3</v>
      </c>
      <c r="N536">
        <f t="shared" si="432"/>
        <v>-1.5707963250000001</v>
      </c>
      <c r="O536">
        <f t="shared" si="433"/>
        <v>266.25311164350785</v>
      </c>
      <c r="P536">
        <f t="shared" si="434"/>
        <v>1.5670404933141961</v>
      </c>
      <c r="Q536">
        <f t="shared" si="435"/>
        <v>413.94499527807318</v>
      </c>
      <c r="R536">
        <f t="shared" si="436"/>
        <v>1.5683805445434498</v>
      </c>
      <c r="S536">
        <f t="shared" si="437"/>
        <v>7.4680269071721248E-2</v>
      </c>
      <c r="T536">
        <f t="shared" si="438"/>
        <v>-1.4960464658407151</v>
      </c>
      <c r="U536">
        <f t="shared" si="439"/>
        <v>0.12055351031077836</v>
      </c>
      <c r="V536">
        <f t="shared" si="440"/>
        <v>-1.449948886434141</v>
      </c>
      <c r="X536">
        <f t="shared" si="457"/>
        <v>-55.643474274136565</v>
      </c>
      <c r="Y536">
        <f t="shared" si="441"/>
        <v>-173.37123317855438</v>
      </c>
      <c r="Z536">
        <f t="shared" si="458"/>
        <v>6.6287668214456232</v>
      </c>
      <c r="AC536">
        <v>1</v>
      </c>
      <c r="AD536">
        <f t="shared" si="442"/>
        <v>266.25123372456</v>
      </c>
      <c r="AE536">
        <f t="shared" si="443"/>
        <v>-0.40400675983957224</v>
      </c>
      <c r="AF536">
        <f t="shared" si="444"/>
        <v>4.9062252415050002E-2</v>
      </c>
      <c r="AG536">
        <f t="shared" si="421"/>
        <v>76.429318530089745</v>
      </c>
      <c r="AH536">
        <f t="shared" si="422"/>
        <v>-649.74516592535144</v>
      </c>
      <c r="AJ536">
        <f t="shared" si="445"/>
        <v>18000</v>
      </c>
      <c r="AK536">
        <f t="shared" si="446"/>
        <v>240354.45719208001</v>
      </c>
      <c r="AL536">
        <v>1</v>
      </c>
      <c r="AM536">
        <f t="shared" si="447"/>
        <v>413.94378738635999</v>
      </c>
      <c r="AN536">
        <f t="shared" si="423"/>
        <v>580.74682051509853</v>
      </c>
      <c r="AO536">
        <f t="shared" si="424"/>
        <v>-42.081204526513183</v>
      </c>
      <c r="AQ536">
        <f t="shared" si="448"/>
        <v>9.6446887036872903E-4</v>
      </c>
      <c r="AR536">
        <f t="shared" si="449"/>
        <v>-3.1055897625873072</v>
      </c>
      <c r="AT536">
        <f t="shared" si="470"/>
        <v>-2017.7682218898569</v>
      </c>
      <c r="AU536">
        <f t="shared" si="471"/>
        <v>-237.98476817477865</v>
      </c>
      <c r="AV536">
        <f t="shared" si="459"/>
        <v>-3.0241904877135108</v>
      </c>
      <c r="AW536">
        <f t="shared" si="460"/>
        <v>532.13882839791074</v>
      </c>
      <c r="AX536">
        <f t="shared" si="461"/>
        <v>-2609.0658932491351</v>
      </c>
      <c r="AY536">
        <f t="shared" si="469"/>
        <v>-1.3695982907549145</v>
      </c>
      <c r="BA536">
        <f t="shared" si="450"/>
        <v>0.76301998759856793</v>
      </c>
      <c r="BB536">
        <f t="shared" si="462"/>
        <v>-2.3492817077419974</v>
      </c>
      <c r="BC536">
        <f t="shared" si="463"/>
        <v>-1.6545921969585964</v>
      </c>
      <c r="BD536">
        <f t="shared" si="451"/>
        <v>-274.80114980933229</v>
      </c>
      <c r="BF536">
        <f t="shared" si="452"/>
        <v>-59.004817490531238</v>
      </c>
      <c r="BG536">
        <f t="shared" si="453"/>
        <v>-189.02567531555439</v>
      </c>
      <c r="BH536">
        <f t="shared" si="464"/>
        <v>-9.0256753155543947</v>
      </c>
      <c r="BI536">
        <f t="shared" si="465"/>
        <v>-9.0256753155543947</v>
      </c>
      <c r="BJ536">
        <f t="shared" si="454"/>
        <v>0</v>
      </c>
      <c r="BK536">
        <f t="shared" si="466"/>
        <v>0</v>
      </c>
      <c r="BM536">
        <f t="shared" si="467"/>
        <v>-56.655535782789244</v>
      </c>
      <c r="BN536">
        <f t="shared" si="455"/>
        <v>-94.224525506222079</v>
      </c>
      <c r="BQ536" s="56">
        <f t="shared" si="468"/>
        <v>14.552679092543139</v>
      </c>
    </row>
    <row r="537" spans="1:69" x14ac:dyDescent="0.25">
      <c r="A537">
        <f t="shared" si="420"/>
        <v>1615000</v>
      </c>
      <c r="B537">
        <f t="shared" si="456"/>
        <v>1615</v>
      </c>
      <c r="C537">
        <f t="shared" si="425"/>
        <v>13.431771321588794</v>
      </c>
      <c r="D537">
        <f t="shared" si="426"/>
        <v>1.4962770324389381</v>
      </c>
      <c r="F537">
        <f t="shared" si="427"/>
        <v>7.2718432068938813E-6</v>
      </c>
      <c r="G537">
        <f t="shared" si="428"/>
        <v>1.014828141143257E-3</v>
      </c>
      <c r="H537">
        <f t="shared" si="429"/>
        <v>-3.1405778218588569</v>
      </c>
      <c r="J537">
        <f t="shared" si="430"/>
        <v>15</v>
      </c>
      <c r="M537">
        <f t="shared" si="431"/>
        <v>1.1288425256757162E-3</v>
      </c>
      <c r="N537">
        <f t="shared" si="432"/>
        <v>-1.5707963250000001</v>
      </c>
      <c r="O537">
        <f t="shared" si="433"/>
        <v>267.07997301503815</v>
      </c>
      <c r="P537">
        <f t="shared" si="434"/>
        <v>1.5670521211727846</v>
      </c>
      <c r="Q537">
        <f t="shared" si="435"/>
        <v>415.23053125086119</v>
      </c>
      <c r="R537">
        <f t="shared" si="436"/>
        <v>1.5683880237165027</v>
      </c>
      <c r="S537">
        <f t="shared" si="437"/>
        <v>7.4450344340861951E-2</v>
      </c>
      <c r="T537">
        <f t="shared" si="438"/>
        <v>-1.4962770324389381</v>
      </c>
      <c r="U537">
        <f t="shared" si="439"/>
        <v>0.12018567904574511</v>
      </c>
      <c r="V537">
        <f t="shared" si="440"/>
        <v>-1.4503194117361184</v>
      </c>
      <c r="X537">
        <f t="shared" si="457"/>
        <v>-55.696950974591282</v>
      </c>
      <c r="Y537">
        <f t="shared" si="441"/>
        <v>-173.39154854052251</v>
      </c>
      <c r="Z537">
        <f t="shared" si="458"/>
        <v>6.608451459477493</v>
      </c>
      <c r="AC537">
        <v>1</v>
      </c>
      <c r="AD537">
        <f t="shared" si="442"/>
        <v>267.07810091004001</v>
      </c>
      <c r="AE537">
        <f t="shared" si="443"/>
        <v>-0.40652001511614838</v>
      </c>
      <c r="AF537">
        <f t="shared" si="444"/>
        <v>4.9214619658575001E-2</v>
      </c>
      <c r="AG537">
        <f t="shared" si="421"/>
        <v>75.963629829680329</v>
      </c>
      <c r="AH537">
        <f t="shared" si="422"/>
        <v>-647.78994875528508</v>
      </c>
      <c r="AJ537">
        <f t="shared" si="445"/>
        <v>18000</v>
      </c>
      <c r="AK537">
        <f t="shared" si="446"/>
        <v>241100.89960572001</v>
      </c>
      <c r="AL537">
        <v>1</v>
      </c>
      <c r="AM537">
        <f t="shared" si="447"/>
        <v>415.22932709873999</v>
      </c>
      <c r="AN537">
        <f t="shared" si="423"/>
        <v>580.7461920242697</v>
      </c>
      <c r="AO537">
        <f t="shared" si="424"/>
        <v>-41.950923673157355</v>
      </c>
      <c r="AQ537">
        <f t="shared" si="448"/>
        <v>9.5850617196501723E-4</v>
      </c>
      <c r="AR537">
        <f t="shared" si="449"/>
        <v>-3.0959749354470056</v>
      </c>
      <c r="AT537">
        <f t="shared" si="470"/>
        <v>-2005.4686331728262</v>
      </c>
      <c r="AU537">
        <f t="shared" si="471"/>
        <v>-235.80240462228363</v>
      </c>
      <c r="AV537">
        <f t="shared" si="459"/>
        <v>-3.0245503466397987</v>
      </c>
      <c r="AW537">
        <f t="shared" si="460"/>
        <v>532.44599501182597</v>
      </c>
      <c r="AX537">
        <f t="shared" si="461"/>
        <v>-2601.046295952458</v>
      </c>
      <c r="AY537">
        <f t="shared" si="469"/>
        <v>-1.3688812869495022</v>
      </c>
      <c r="BA537">
        <f t="shared" si="450"/>
        <v>0.76056343861814768</v>
      </c>
      <c r="BB537">
        <f t="shared" si="462"/>
        <v>-2.3772911117001931</v>
      </c>
      <c r="BC537">
        <f t="shared" si="463"/>
        <v>-1.6556690596902965</v>
      </c>
      <c r="BD537">
        <f t="shared" si="451"/>
        <v>-274.86284949904416</v>
      </c>
      <c r="BF537">
        <f t="shared" si="452"/>
        <v>-59.059910021634316</v>
      </c>
      <c r="BG537">
        <f t="shared" si="453"/>
        <v>-189.07434509048736</v>
      </c>
      <c r="BH537">
        <f t="shared" si="464"/>
        <v>-9.0743450904873555</v>
      </c>
      <c r="BI537">
        <f t="shared" si="465"/>
        <v>-9.0743450904873555</v>
      </c>
      <c r="BJ537">
        <f t="shared" si="454"/>
        <v>0</v>
      </c>
      <c r="BK537">
        <f t="shared" si="466"/>
        <v>0</v>
      </c>
      <c r="BM537">
        <f t="shared" si="467"/>
        <v>-56.682618909934128</v>
      </c>
      <c r="BN537">
        <f t="shared" si="455"/>
        <v>-94.21149559144321</v>
      </c>
      <c r="BQ537" s="56">
        <f t="shared" si="468"/>
        <v>14.524669688584943</v>
      </c>
    </row>
    <row r="538" spans="1:69" x14ac:dyDescent="0.25">
      <c r="A538">
        <f t="shared" ref="A538:A591" si="472">A537+5000</f>
        <v>1620000</v>
      </c>
      <c r="B538">
        <f t="shared" si="456"/>
        <v>1620</v>
      </c>
      <c r="C538">
        <f t="shared" si="425"/>
        <v>13.473125610241661</v>
      </c>
      <c r="D538">
        <f t="shared" si="426"/>
        <v>1.4965061836512605</v>
      </c>
      <c r="F538">
        <f t="shared" si="427"/>
        <v>7.2270242544726195E-6</v>
      </c>
      <c r="G538">
        <f t="shared" si="428"/>
        <v>1.0116959120534369E-3</v>
      </c>
      <c r="H538">
        <f t="shared" si="429"/>
        <v>-3.1405809540879468</v>
      </c>
      <c r="J538">
        <f t="shared" si="430"/>
        <v>15</v>
      </c>
      <c r="M538">
        <f t="shared" si="431"/>
        <v>1.1253584438063466E-3</v>
      </c>
      <c r="N538">
        <f t="shared" si="432"/>
        <v>-1.5707963250000001</v>
      </c>
      <c r="O538">
        <f t="shared" si="433"/>
        <v>267.90683442245665</v>
      </c>
      <c r="P538">
        <f t="shared" si="434"/>
        <v>1.5670636772554714</v>
      </c>
      <c r="Q538">
        <f t="shared" si="435"/>
        <v>416.51606724673303</v>
      </c>
      <c r="R538">
        <f t="shared" si="436"/>
        <v>1.5683954567220875</v>
      </c>
      <c r="S538">
        <f t="shared" si="437"/>
        <v>7.4221827134146615E-2</v>
      </c>
      <c r="T538">
        <f t="shared" si="438"/>
        <v>-1.4965061836512605</v>
      </c>
      <c r="U538">
        <f t="shared" si="439"/>
        <v>0.11982006929626916</v>
      </c>
      <c r="V538">
        <f t="shared" si="440"/>
        <v>-1.450687682782164</v>
      </c>
      <c r="X538">
        <f t="shared" si="457"/>
        <v>-55.750264729368702</v>
      </c>
      <c r="Y538">
        <f t="shared" si="441"/>
        <v>-173.41174038609344</v>
      </c>
      <c r="Z538">
        <f t="shared" si="458"/>
        <v>6.5882596139065583</v>
      </c>
      <c r="AC538">
        <v>1</v>
      </c>
      <c r="AD538">
        <f t="shared" si="442"/>
        <v>267.90496809552002</v>
      </c>
      <c r="AE538">
        <f t="shared" si="443"/>
        <v>-0.40904106343234187</v>
      </c>
      <c r="AF538">
        <f t="shared" si="444"/>
        <v>4.93669869021E-2</v>
      </c>
      <c r="AG538">
        <f t="shared" si="421"/>
        <v>75.502163862614822</v>
      </c>
      <c r="AH538">
        <f t="shared" si="422"/>
        <v>-645.84629118717044</v>
      </c>
      <c r="AJ538">
        <f t="shared" si="445"/>
        <v>18000</v>
      </c>
      <c r="AK538">
        <f t="shared" si="446"/>
        <v>241847.34201935999</v>
      </c>
      <c r="AL538">
        <v>1</v>
      </c>
      <c r="AM538">
        <f t="shared" si="447"/>
        <v>416.51486681111999</v>
      </c>
      <c r="AN538">
        <f t="shared" si="423"/>
        <v>580.74556934377063</v>
      </c>
      <c r="AO538">
        <f t="shared" si="424"/>
        <v>-41.821447008650146</v>
      </c>
      <c r="AQ538">
        <f t="shared" si="448"/>
        <v>9.5259859847978605E-4</v>
      </c>
      <c r="AR538">
        <f t="shared" si="449"/>
        <v>-3.0864194590745067</v>
      </c>
      <c r="AT538">
        <f t="shared" si="470"/>
        <v>-1993.2806374357051</v>
      </c>
      <c r="AU538">
        <f t="shared" si="471"/>
        <v>-233.64658001962465</v>
      </c>
      <c r="AV538">
        <f t="shared" si="459"/>
        <v>-3.0249080171509775</v>
      </c>
      <c r="AW538">
        <f t="shared" si="460"/>
        <v>532.7502338089696</v>
      </c>
      <c r="AX538">
        <f t="shared" si="461"/>
        <v>-2593.0756783710594</v>
      </c>
      <c r="AY538">
        <f t="shared" si="469"/>
        <v>-1.3681648674522195</v>
      </c>
      <c r="BA538">
        <f t="shared" si="450"/>
        <v>0.75812159210357366</v>
      </c>
      <c r="BB538">
        <f t="shared" si="462"/>
        <v>-2.4052226803757084</v>
      </c>
      <c r="BC538">
        <f t="shared" si="463"/>
        <v>-1.6567431496987579</v>
      </c>
      <c r="BD538">
        <f t="shared" si="451"/>
        <v>-274.9243903234165</v>
      </c>
      <c r="BF538">
        <f t="shared" si="452"/>
        <v>-59.114840079549168</v>
      </c>
      <c r="BG538">
        <f t="shared" si="453"/>
        <v>-189.12293598101584</v>
      </c>
      <c r="BH538">
        <f t="shared" si="464"/>
        <v>-9.1229359810158428</v>
      </c>
      <c r="BI538">
        <f t="shared" si="465"/>
        <v>-9.1229359810158428</v>
      </c>
      <c r="BJ538">
        <f t="shared" si="454"/>
        <v>0</v>
      </c>
      <c r="BK538">
        <f t="shared" si="466"/>
        <v>0</v>
      </c>
      <c r="BM538">
        <f t="shared" si="467"/>
        <v>-56.70961739917346</v>
      </c>
      <c r="BN538">
        <f t="shared" si="455"/>
        <v>-94.19854565759934</v>
      </c>
      <c r="BQ538" s="56">
        <f t="shared" si="468"/>
        <v>14.496738119909429</v>
      </c>
    </row>
    <row r="539" spans="1:69" x14ac:dyDescent="0.25">
      <c r="A539">
        <f t="shared" si="472"/>
        <v>1625000</v>
      </c>
      <c r="B539">
        <f t="shared" si="456"/>
        <v>1625</v>
      </c>
      <c r="C539">
        <f t="shared" si="425"/>
        <v>13.514480602042315</v>
      </c>
      <c r="D539">
        <f t="shared" si="426"/>
        <v>1.4967339324469626</v>
      </c>
      <c r="F539">
        <f t="shared" si="427"/>
        <v>7.1826183823530624E-6</v>
      </c>
      <c r="G539">
        <f t="shared" si="428"/>
        <v>1.0085829586189594E-3</v>
      </c>
      <c r="H539">
        <f t="shared" si="429"/>
        <v>-3.1405840670413814</v>
      </c>
      <c r="J539">
        <f t="shared" si="430"/>
        <v>15</v>
      </c>
      <c r="M539">
        <f t="shared" si="431"/>
        <v>1.1218958024407887E-3</v>
      </c>
      <c r="N539">
        <f t="shared" si="432"/>
        <v>-1.5707963250000001</v>
      </c>
      <c r="O539">
        <f t="shared" si="433"/>
        <v>268.73369586543208</v>
      </c>
      <c r="P539">
        <f t="shared" si="434"/>
        <v>1.5670751622247909</v>
      </c>
      <c r="Q539">
        <f t="shared" si="435"/>
        <v>417.80160326547559</v>
      </c>
      <c r="R539">
        <f t="shared" si="436"/>
        <v>1.5684028439863624</v>
      </c>
      <c r="S539">
        <f t="shared" si="437"/>
        <v>7.3994704602179065E-2</v>
      </c>
      <c r="T539">
        <f t="shared" si="438"/>
        <v>-1.4967339324469624</v>
      </c>
      <c r="U539">
        <f t="shared" si="439"/>
        <v>0.1194566611461831</v>
      </c>
      <c r="V539">
        <f t="shared" si="440"/>
        <v>-1.4510537199830575</v>
      </c>
      <c r="X539">
        <f t="shared" si="457"/>
        <v>-55.803416521446323</v>
      </c>
      <c r="Y539">
        <f t="shared" si="441"/>
        <v>-173.43180983263102</v>
      </c>
      <c r="Z539">
        <f t="shared" si="458"/>
        <v>6.5681901673689822</v>
      </c>
      <c r="AC539">
        <v>1</v>
      </c>
      <c r="AD539">
        <f t="shared" si="442"/>
        <v>268.73183528099997</v>
      </c>
      <c r="AE539">
        <f t="shared" si="443"/>
        <v>-0.41156990478815264</v>
      </c>
      <c r="AF539">
        <f t="shared" si="444"/>
        <v>4.9519354145625E-2</v>
      </c>
      <c r="AG539">
        <f t="shared" si="421"/>
        <v>75.044869977254478</v>
      </c>
      <c r="AH539">
        <f t="shared" si="422"/>
        <v>-643.91409261130366</v>
      </c>
      <c r="AJ539">
        <f t="shared" si="445"/>
        <v>18000</v>
      </c>
      <c r="AK539">
        <f t="shared" si="446"/>
        <v>242593.78443300002</v>
      </c>
      <c r="AL539">
        <v>1</v>
      </c>
      <c r="AM539">
        <f t="shared" si="447"/>
        <v>417.80040652349999</v>
      </c>
      <c r="AN539">
        <f t="shared" si="423"/>
        <v>580.74495240220017</v>
      </c>
      <c r="AO539">
        <f t="shared" si="424"/>
        <v>-41.692767109880776</v>
      </c>
      <c r="AQ539">
        <f t="shared" si="448"/>
        <v>9.4674547249747011E-4</v>
      </c>
      <c r="AR539">
        <f t="shared" si="449"/>
        <v>-3.0769227856167776</v>
      </c>
      <c r="AT539">
        <f t="shared" si="470"/>
        <v>-1981.202895144587</v>
      </c>
      <c r="AU539">
        <f t="shared" si="471"/>
        <v>-231.5168931285198</v>
      </c>
      <c r="AV539">
        <f t="shared" si="459"/>
        <v>-3.0252635190500774</v>
      </c>
      <c r="AW539">
        <f t="shared" si="460"/>
        <v>533.05158209204694</v>
      </c>
      <c r="AX539">
        <f t="shared" si="461"/>
        <v>-2585.1535946442659</v>
      </c>
      <c r="AY539">
        <f t="shared" si="469"/>
        <v>-1.3674490287829528</v>
      </c>
      <c r="BA539">
        <f t="shared" si="450"/>
        <v>0.75569431477337556</v>
      </c>
      <c r="BB539">
        <f t="shared" si="462"/>
        <v>-2.4330769009359803</v>
      </c>
      <c r="BC539">
        <f t="shared" si="463"/>
        <v>-1.6578144902671246</v>
      </c>
      <c r="BD539">
        <f t="shared" si="451"/>
        <v>-274.98577361647517</v>
      </c>
      <c r="BF539">
        <f t="shared" si="452"/>
        <v>-59.169608681487802</v>
      </c>
      <c r="BG539">
        <f t="shared" si="453"/>
        <v>-189.17144858837054</v>
      </c>
      <c r="BH539">
        <f t="shared" si="464"/>
        <v>-9.1714485883705379</v>
      </c>
      <c r="BI539">
        <f t="shared" si="465"/>
        <v>-9.1714485883705379</v>
      </c>
      <c r="BJ539">
        <f t="shared" si="454"/>
        <v>0</v>
      </c>
      <c r="BK539">
        <f t="shared" si="466"/>
        <v>0</v>
      </c>
      <c r="BM539">
        <f t="shared" si="467"/>
        <v>-56.736531780551822</v>
      </c>
      <c r="BN539">
        <f t="shared" si="455"/>
        <v>-94.185674971895338</v>
      </c>
      <c r="BQ539" s="56">
        <f t="shared" si="468"/>
        <v>14.468883899349157</v>
      </c>
    </row>
    <row r="540" spans="1:69" x14ac:dyDescent="0.25">
      <c r="A540">
        <f t="shared" si="472"/>
        <v>1630000</v>
      </c>
      <c r="B540">
        <f t="shared" si="456"/>
        <v>1630</v>
      </c>
      <c r="C540">
        <f t="shared" si="425"/>
        <v>13.555836290555451</v>
      </c>
      <c r="D540">
        <f t="shared" si="426"/>
        <v>1.4969602916376448</v>
      </c>
      <c r="F540">
        <f t="shared" si="427"/>
        <v>7.1386205297904977E-6</v>
      </c>
      <c r="G540">
        <f t="shared" si="428"/>
        <v>1.0054891034516158E-3</v>
      </c>
      <c r="H540">
        <f t="shared" si="429"/>
        <v>-3.1405871608965485</v>
      </c>
      <c r="J540">
        <f t="shared" si="430"/>
        <v>15</v>
      </c>
      <c r="M540">
        <f t="shared" si="431"/>
        <v>1.1184544042737925E-3</v>
      </c>
      <c r="N540">
        <f t="shared" si="432"/>
        <v>-1.5707963250000001</v>
      </c>
      <c r="O540">
        <f t="shared" si="433"/>
        <v>269.56055734363719</v>
      </c>
      <c r="P540">
        <f t="shared" si="434"/>
        <v>1.5670865767351485</v>
      </c>
      <c r="Q540">
        <f t="shared" si="435"/>
        <v>419.08713930687838</v>
      </c>
      <c r="R540">
        <f t="shared" si="436"/>
        <v>1.5684101859302564</v>
      </c>
      <c r="S540">
        <f t="shared" si="437"/>
        <v>7.3768964051057082E-2</v>
      </c>
      <c r="T540">
        <f t="shared" si="438"/>
        <v>-1.4969602916376448</v>
      </c>
      <c r="U540">
        <f t="shared" si="439"/>
        <v>0.11909543491487289</v>
      </c>
      <c r="V540">
        <f t="shared" si="440"/>
        <v>-1.451417543505108</v>
      </c>
      <c r="X540">
        <f t="shared" si="457"/>
        <v>-55.856407324996411</v>
      </c>
      <c r="Y540">
        <f t="shared" si="441"/>
        <v>-173.45175798413115</v>
      </c>
      <c r="Z540">
        <f t="shared" si="458"/>
        <v>6.5482420158688512</v>
      </c>
      <c r="AC540">
        <v>1</v>
      </c>
      <c r="AD540">
        <f t="shared" si="442"/>
        <v>269.55870246647999</v>
      </c>
      <c r="AE540">
        <f t="shared" si="443"/>
        <v>-0.41410653918358065</v>
      </c>
      <c r="AF540">
        <f t="shared" si="444"/>
        <v>4.9671721389149999E-2</v>
      </c>
      <c r="AG540">
        <f t="shared" si="421"/>
        <v>74.591698275395046</v>
      </c>
      <c r="AH540">
        <f t="shared" si="422"/>
        <v>-641.99325356208271</v>
      </c>
      <c r="AJ540">
        <f t="shared" si="445"/>
        <v>18000</v>
      </c>
      <c r="AK540">
        <f t="shared" si="446"/>
        <v>243340.22684664003</v>
      </c>
      <c r="AL540">
        <v>1</v>
      </c>
      <c r="AM540">
        <f t="shared" si="447"/>
        <v>419.08594623587999</v>
      </c>
      <c r="AN540">
        <f t="shared" si="423"/>
        <v>580.74434112925098</v>
      </c>
      <c r="AO540">
        <f t="shared" si="424"/>
        <v>-41.56487664481697</v>
      </c>
      <c r="AQ540">
        <f t="shared" si="448"/>
        <v>9.4094612697635143E-4</v>
      </c>
      <c r="AR540">
        <f t="shared" si="449"/>
        <v>-3.0674843739429059</v>
      </c>
      <c r="AT540">
        <f t="shared" si="470"/>
        <v>-1969.2340867088576</v>
      </c>
      <c r="AU540">
        <f t="shared" si="471"/>
        <v>-229.4129499511225</v>
      </c>
      <c r="AV540">
        <f t="shared" si="459"/>
        <v>-3.0256168719031158</v>
      </c>
      <c r="AW540">
        <f t="shared" si="460"/>
        <v>533.3500765687877</v>
      </c>
      <c r="AX540">
        <f t="shared" si="461"/>
        <v>-2577.2796042893697</v>
      </c>
      <c r="AY540">
        <f t="shared" si="469"/>
        <v>-1.3667337675146369</v>
      </c>
      <c r="BA540">
        <f t="shared" si="450"/>
        <v>0.75328147495150799</v>
      </c>
      <c r="BB540">
        <f t="shared" si="462"/>
        <v>-2.46085425616082</v>
      </c>
      <c r="BC540">
        <f t="shared" si="463"/>
        <v>-1.6588831043884789</v>
      </c>
      <c r="BD540">
        <f t="shared" si="451"/>
        <v>-275.04700069562682</v>
      </c>
      <c r="BF540">
        <f t="shared" si="452"/>
        <v>-59.224216835287642</v>
      </c>
      <c r="BG540">
        <f t="shared" si="453"/>
        <v>-189.219883506071</v>
      </c>
      <c r="BH540">
        <f t="shared" si="464"/>
        <v>-9.2198835060709996</v>
      </c>
      <c r="BI540">
        <f t="shared" si="465"/>
        <v>-9.2198835060709996</v>
      </c>
      <c r="BJ540">
        <f t="shared" si="454"/>
        <v>0</v>
      </c>
      <c r="BK540">
        <f t="shared" si="466"/>
        <v>0</v>
      </c>
      <c r="BM540">
        <f t="shared" si="467"/>
        <v>-56.76336257912682</v>
      </c>
      <c r="BN540">
        <f t="shared" si="455"/>
        <v>-94.17288281044415</v>
      </c>
      <c r="BQ540" s="56">
        <f t="shared" si="468"/>
        <v>14.441106544124318</v>
      </c>
    </row>
    <row r="541" spans="1:69" x14ac:dyDescent="0.25">
      <c r="A541">
        <f t="shared" si="472"/>
        <v>1635000</v>
      </c>
      <c r="B541">
        <f t="shared" si="456"/>
        <v>1635</v>
      </c>
      <c r="C541">
        <f t="shared" si="425"/>
        <v>13.597192669423944</v>
      </c>
      <c r="D541">
        <f t="shared" si="426"/>
        <v>1.4971852738796136</v>
      </c>
      <c r="F541">
        <f t="shared" si="427"/>
        <v>7.095025713304163E-6</v>
      </c>
      <c r="G541">
        <f t="shared" si="428"/>
        <v>1.0024141713331561E-3</v>
      </c>
      <c r="H541">
        <f t="shared" si="429"/>
        <v>-3.1405902358286673</v>
      </c>
      <c r="J541">
        <f t="shared" si="430"/>
        <v>15</v>
      </c>
      <c r="M541">
        <f t="shared" si="431"/>
        <v>1.1150340544136279E-3</v>
      </c>
      <c r="N541">
        <f t="shared" si="432"/>
        <v>-1.5707963250000001</v>
      </c>
      <c r="O541">
        <f t="shared" si="433"/>
        <v>270.38741885674881</v>
      </c>
      <c r="P541">
        <f t="shared" si="434"/>
        <v>1.5670979214329452</v>
      </c>
      <c r="Q541">
        <f t="shared" si="435"/>
        <v>420.37267537073359</v>
      </c>
      <c r="R541">
        <f t="shared" si="436"/>
        <v>1.5684174829695496</v>
      </c>
      <c r="S541">
        <f t="shared" si="437"/>
        <v>7.3544592940034154E-2</v>
      </c>
      <c r="T541">
        <f t="shared" si="438"/>
        <v>-1.4971852738796136</v>
      </c>
      <c r="U541">
        <f t="shared" si="439"/>
        <v>0.11873637115383334</v>
      </c>
      <c r="V541">
        <f t="shared" si="440"/>
        <v>-1.451779173273785</v>
      </c>
      <c r="X541">
        <f t="shared" si="457"/>
        <v>-55.909238105490083</v>
      </c>
      <c r="Y541">
        <f t="shared" si="441"/>
        <v>-173.47158593141995</v>
      </c>
      <c r="Z541">
        <f t="shared" si="458"/>
        <v>6.528414068580048</v>
      </c>
      <c r="AC541">
        <v>1</v>
      </c>
      <c r="AD541">
        <f t="shared" si="442"/>
        <v>270.38556965196</v>
      </c>
      <c r="AE541">
        <f t="shared" si="443"/>
        <v>-0.41665096661862605</v>
      </c>
      <c r="AF541">
        <f t="shared" si="444"/>
        <v>4.9824088632674998E-2</v>
      </c>
      <c r="AG541">
        <f t="shared" si="421"/>
        <v>74.142599598925813</v>
      </c>
      <c r="AH541">
        <f t="shared" si="422"/>
        <v>-640.08367570210726</v>
      </c>
      <c r="AJ541">
        <f t="shared" si="445"/>
        <v>18000</v>
      </c>
      <c r="AK541">
        <f t="shared" si="446"/>
        <v>244086.66926028</v>
      </c>
      <c r="AL541">
        <v>1</v>
      </c>
      <c r="AM541">
        <f t="shared" si="447"/>
        <v>420.37148594825993</v>
      </c>
      <c r="AN541">
        <f t="shared" si="423"/>
        <v>580.74373545568892</v>
      </c>
      <c r="AO541">
        <f t="shared" si="424"/>
        <v>-41.437768371112362</v>
      </c>
      <c r="AQ541">
        <f t="shared" si="448"/>
        <v>9.3519990505850563E-4</v>
      </c>
      <c r="AR541">
        <f t="shared" si="449"/>
        <v>-3.0581036895413134</v>
      </c>
      <c r="AT541">
        <f t="shared" si="470"/>
        <v>-1957.372912127674</v>
      </c>
      <c r="AU541">
        <f t="shared" si="471"/>
        <v>-227.33436357840543</v>
      </c>
      <c r="AV541">
        <f t="shared" si="459"/>
        <v>-3.0259680950426127</v>
      </c>
      <c r="AW541">
        <f t="shared" si="460"/>
        <v>533.64575336333905</v>
      </c>
      <c r="AX541">
        <f t="shared" si="461"/>
        <v>-2569.4532721210262</v>
      </c>
      <c r="AY541">
        <f t="shared" si="469"/>
        <v>-1.3660190802723327</v>
      </c>
      <c r="BA541">
        <f t="shared" si="450"/>
        <v>0.75088294254335886</v>
      </c>
      <c r="BB541">
        <f t="shared" si="462"/>
        <v>-2.4885552244939708</v>
      </c>
      <c r="BC541">
        <f t="shared" si="463"/>
        <v>-1.65994901477028</v>
      </c>
      <c r="BD541">
        <f t="shared" si="451"/>
        <v>-275.108072861913</v>
      </c>
      <c r="BF541">
        <f t="shared" si="452"/>
        <v>-59.278665539525754</v>
      </c>
      <c r="BG541">
        <f t="shared" si="453"/>
        <v>-189.26824132004509</v>
      </c>
      <c r="BH541">
        <f t="shared" si="464"/>
        <v>-9.2682413200450924</v>
      </c>
      <c r="BI541">
        <f t="shared" si="465"/>
        <v>-9.2682413200450924</v>
      </c>
      <c r="BJ541">
        <f t="shared" si="454"/>
        <v>0</v>
      </c>
      <c r="BK541">
        <f t="shared" si="466"/>
        <v>0</v>
      </c>
      <c r="BM541">
        <f t="shared" si="467"/>
        <v>-56.790110315031782</v>
      </c>
      <c r="BN541">
        <f t="shared" si="455"/>
        <v>-94.160168458132105</v>
      </c>
      <c r="BQ541" s="56">
        <f t="shared" si="468"/>
        <v>14.413405575791165</v>
      </c>
    </row>
    <row r="542" spans="1:69" x14ac:dyDescent="0.25">
      <c r="A542">
        <f t="shared" si="472"/>
        <v>1640000</v>
      </c>
      <c r="B542">
        <f t="shared" si="456"/>
        <v>1640</v>
      </c>
      <c r="C542">
        <f t="shared" si="425"/>
        <v>13.638549732367663</v>
      </c>
      <c r="D542">
        <f t="shared" si="426"/>
        <v>1.4974088916762234</v>
      </c>
      <c r="F542">
        <f t="shared" si="427"/>
        <v>7.0518290252660104E-6</v>
      </c>
      <c r="G542">
        <f t="shared" si="428"/>
        <v>9.9935798918221247E-4</v>
      </c>
      <c r="H542">
        <f t="shared" si="429"/>
        <v>-3.1405932920108182</v>
      </c>
      <c r="J542">
        <f t="shared" si="430"/>
        <v>15</v>
      </c>
      <c r="M542">
        <f t="shared" si="431"/>
        <v>1.1116345603452936E-3</v>
      </c>
      <c r="N542">
        <f t="shared" si="432"/>
        <v>-1.5707963250000001</v>
      </c>
      <c r="O542">
        <f t="shared" si="433"/>
        <v>271.21428040444772</v>
      </c>
      <c r="P542">
        <f t="shared" si="434"/>
        <v>1.5671091969566986</v>
      </c>
      <c r="Q542">
        <f t="shared" si="435"/>
        <v>421.65821145683572</v>
      </c>
      <c r="R542">
        <f t="shared" si="436"/>
        <v>1.5684247355149519</v>
      </c>
      <c r="S542">
        <f t="shared" si="437"/>
        <v>7.3321578879222929E-2</v>
      </c>
      <c r="T542">
        <f t="shared" si="438"/>
        <v>-1.4974088916762234</v>
      </c>
      <c r="U542">
        <f t="shared" si="439"/>
        <v>0.11837945064328312</v>
      </c>
      <c r="V542">
        <f t="shared" si="440"/>
        <v>-1.4521386289772857</v>
      </c>
      <c r="X542">
        <f t="shared" si="457"/>
        <v>-55.961909819799871</v>
      </c>
      <c r="Y542">
        <f t="shared" si="441"/>
        <v>-173.49129475234847</v>
      </c>
      <c r="Z542">
        <f t="shared" si="458"/>
        <v>6.5087052476515339</v>
      </c>
      <c r="AC542">
        <v>1</v>
      </c>
      <c r="AD542">
        <f t="shared" si="442"/>
        <v>271.21243683744001</v>
      </c>
      <c r="AE542">
        <f t="shared" si="443"/>
        <v>-0.41920318709328869</v>
      </c>
      <c r="AF542">
        <f t="shared" si="444"/>
        <v>4.9976455876199997E-2</v>
      </c>
      <c r="AG542">
        <f t="shared" si="421"/>
        <v>73.697525516762227</v>
      </c>
      <c r="AH542">
        <f t="shared" si="422"/>
        <v>-638.18526180653998</v>
      </c>
      <c r="AJ542">
        <f t="shared" si="445"/>
        <v>18000</v>
      </c>
      <c r="AK542">
        <f t="shared" si="446"/>
        <v>244833.11167392004</v>
      </c>
      <c r="AL542">
        <v>1</v>
      </c>
      <c r="AM542">
        <f t="shared" si="447"/>
        <v>421.65702566063993</v>
      </c>
      <c r="AN542">
        <f t="shared" si="423"/>
        <v>580.7431353133336</v>
      </c>
      <c r="AO542">
        <f t="shared" si="424"/>
        <v>-41.311435134739384</v>
      </c>
      <c r="AQ542">
        <f t="shared" si="448"/>
        <v>9.2950615988379682E-4</v>
      </c>
      <c r="AR542">
        <f t="shared" si="449"/>
        <v>-3.0487802044188537</v>
      </c>
      <c r="AT542">
        <f t="shared" si="470"/>
        <v>-1945.6180906437066</v>
      </c>
      <c r="AU542">
        <f t="shared" si="471"/>
        <v>-225.28075404215426</v>
      </c>
      <c r="AV542">
        <f t="shared" si="459"/>
        <v>-3.0263172075710458</v>
      </c>
      <c r="AW542">
        <f t="shared" si="460"/>
        <v>533.93864802740552</v>
      </c>
      <c r="AX542">
        <f t="shared" si="461"/>
        <v>-2561.6741681721037</v>
      </c>
      <c r="AY542">
        <f t="shared" si="469"/>
        <v>-1.3653049637323236</v>
      </c>
      <c r="BA542">
        <f t="shared" si="450"/>
        <v>0.74849858901218524</v>
      </c>
      <c r="BB542">
        <f t="shared" si="462"/>
        <v>-2.5161802800939159</v>
      </c>
      <c r="BC542">
        <f t="shared" si="463"/>
        <v>-1.6610122438387223</v>
      </c>
      <c r="BD542">
        <f t="shared" si="451"/>
        <v>-275.16899140025998</v>
      </c>
      <c r="BF542">
        <f t="shared" si="452"/>
        <v>-59.332955783631256</v>
      </c>
      <c r="BG542">
        <f t="shared" si="453"/>
        <v>-189.31652260874654</v>
      </c>
      <c r="BH542">
        <f t="shared" si="464"/>
        <v>-9.3165226087465385</v>
      </c>
      <c r="BI542">
        <f t="shared" si="465"/>
        <v>-9.3165226087465385</v>
      </c>
      <c r="BJ542">
        <f t="shared" si="454"/>
        <v>0</v>
      </c>
      <c r="BK542">
        <f t="shared" si="466"/>
        <v>0</v>
      </c>
      <c r="BM542">
        <f t="shared" si="467"/>
        <v>-56.816775503537343</v>
      </c>
      <c r="BN542">
        <f t="shared" si="455"/>
        <v>-94.147531208486583</v>
      </c>
      <c r="BQ542" s="56">
        <f t="shared" si="468"/>
        <v>14.38578052019122</v>
      </c>
    </row>
    <row r="543" spans="1:69" x14ac:dyDescent="0.25">
      <c r="A543">
        <f t="shared" si="472"/>
        <v>1645000</v>
      </c>
      <c r="B543">
        <f t="shared" si="456"/>
        <v>1645</v>
      </c>
      <c r="C543">
        <f t="shared" si="425"/>
        <v>13.679907473182327</v>
      </c>
      <c r="D543">
        <f t="shared" si="426"/>
        <v>1.4976311573801739</v>
      </c>
      <c r="F543">
        <f t="shared" si="427"/>
        <v>7.0090256325194632E-6</v>
      </c>
      <c r="G543">
        <f t="shared" si="428"/>
        <v>9.9632038602182039E-4</v>
      </c>
      <c r="H543">
        <f t="shared" si="429"/>
        <v>-3.1405963296139783</v>
      </c>
      <c r="J543">
        <f t="shared" si="430"/>
        <v>15</v>
      </c>
      <c r="M543">
        <f t="shared" si="431"/>
        <v>1.108255731894396E-3</v>
      </c>
      <c r="N543">
        <f t="shared" si="432"/>
        <v>-1.5707963250000001</v>
      </c>
      <c r="O543">
        <f t="shared" si="433"/>
        <v>272.04114198641849</v>
      </c>
      <c r="P543">
        <f t="shared" si="434"/>
        <v>1.5671204039371636</v>
      </c>
      <c r="Q543">
        <f t="shared" si="435"/>
        <v>422.94374756498212</v>
      </c>
      <c r="R543">
        <f t="shared" si="436"/>
        <v>1.5684319439721794</v>
      </c>
      <c r="S543">
        <f t="shared" si="437"/>
        <v>7.3099909627339935E-2</v>
      </c>
      <c r="T543">
        <f t="shared" si="438"/>
        <v>-1.4976311573801739</v>
      </c>
      <c r="U543">
        <f t="shared" si="439"/>
        <v>0.11802465438883836</v>
      </c>
      <c r="V543">
        <f t="shared" si="440"/>
        <v>-1.4524959300700393</v>
      </c>
      <c r="X543">
        <f t="shared" si="457"/>
        <v>-56.014423416300843</v>
      </c>
      <c r="Y543">
        <f t="shared" si="441"/>
        <v>-173.5108855119843</v>
      </c>
      <c r="Z543">
        <f t="shared" si="458"/>
        <v>6.4891144880157015</v>
      </c>
      <c r="AC543">
        <v>1</v>
      </c>
      <c r="AD543">
        <f t="shared" si="442"/>
        <v>272.03930402292002</v>
      </c>
      <c r="AE543">
        <f t="shared" si="443"/>
        <v>-0.42176320060756861</v>
      </c>
      <c r="AF543">
        <f t="shared" si="444"/>
        <v>5.0128823119724997E-2</v>
      </c>
      <c r="AG543">
        <f t="shared" si="421"/>
        <v>73.256428312045117</v>
      </c>
      <c r="AH543">
        <f t="shared" si="422"/>
        <v>-636.29791574771832</v>
      </c>
      <c r="AJ543">
        <f t="shared" si="445"/>
        <v>18000</v>
      </c>
      <c r="AK543">
        <f t="shared" si="446"/>
        <v>245579.55408755998</v>
      </c>
      <c r="AL543">
        <v>1</v>
      </c>
      <c r="AM543">
        <f t="shared" si="447"/>
        <v>422.94256537301993</v>
      </c>
      <c r="AN543">
        <f t="shared" si="423"/>
        <v>580.74254063503895</v>
      </c>
      <c r="AO543">
        <f t="shared" si="424"/>
        <v>-41.185869868647089</v>
      </c>
      <c r="AQ543">
        <f t="shared" si="448"/>
        <v>9.2386425440782569E-4</v>
      </c>
      <c r="AR543">
        <f t="shared" si="449"/>
        <v>-3.0395133970017465</v>
      </c>
      <c r="AT543">
        <f t="shared" si="470"/>
        <v>-1933.9683604039553</v>
      </c>
      <c r="AU543">
        <f t="shared" si="471"/>
        <v>-223.25174817047267</v>
      </c>
      <c r="AV543">
        <f t="shared" si="459"/>
        <v>-3.0266642283642482</v>
      </c>
      <c r="AW543">
        <f t="shared" si="460"/>
        <v>534.22879555113877</v>
      </c>
      <c r="AX543">
        <f t="shared" si="461"/>
        <v>-2553.9418676159344</v>
      </c>
      <c r="AY543">
        <f t="shared" si="469"/>
        <v>-1.3645914146212306</v>
      </c>
      <c r="BA543">
        <f t="shared" si="450"/>
        <v>0.74612828735596604</v>
      </c>
      <c r="BB543">
        <f t="shared" si="462"/>
        <v>-2.5437298928839649</v>
      </c>
      <c r="BC543">
        <f t="shared" si="463"/>
        <v>-1.6620728137430176</v>
      </c>
      <c r="BD543">
        <f t="shared" si="451"/>
        <v>-275.22975757972415</v>
      </c>
      <c r="BF543">
        <f t="shared" si="452"/>
        <v>-59.38708854799615</v>
      </c>
      <c r="BG543">
        <f t="shared" si="453"/>
        <v>-189.3647279432704</v>
      </c>
      <c r="BH543">
        <f t="shared" si="464"/>
        <v>-9.3647279432703954</v>
      </c>
      <c r="BI543">
        <f t="shared" si="465"/>
        <v>-9.3647279432703954</v>
      </c>
      <c r="BJ543">
        <f t="shared" si="454"/>
        <v>0</v>
      </c>
      <c r="BK543">
        <f t="shared" si="466"/>
        <v>0</v>
      </c>
      <c r="BM543">
        <f t="shared" si="467"/>
        <v>-56.843358655112183</v>
      </c>
      <c r="BN543">
        <f t="shared" si="455"/>
        <v>-94.134970363546259</v>
      </c>
      <c r="BQ543" s="56">
        <f t="shared" si="468"/>
        <v>14.358230907401172</v>
      </c>
    </row>
    <row r="544" spans="1:69" x14ac:dyDescent="0.25">
      <c r="A544">
        <f t="shared" si="472"/>
        <v>1650000</v>
      </c>
      <c r="B544">
        <f t="shared" si="456"/>
        <v>1650</v>
      </c>
      <c r="C544">
        <f t="shared" si="425"/>
        <v>13.721265885738354</v>
      </c>
      <c r="D544">
        <f t="shared" si="426"/>
        <v>1.4978520831957711</v>
      </c>
      <c r="F544">
        <f t="shared" si="427"/>
        <v>6.9666107750274228E-6</v>
      </c>
      <c r="G544">
        <f t="shared" si="428"/>
        <v>9.9330119294753277E-4</v>
      </c>
      <c r="H544">
        <f t="shared" si="429"/>
        <v>-3.1405993488070525</v>
      </c>
      <c r="J544">
        <f t="shared" si="430"/>
        <v>15</v>
      </c>
      <c r="M544">
        <f t="shared" si="431"/>
        <v>1.1048973811916859E-3</v>
      </c>
      <c r="N544">
        <f t="shared" si="432"/>
        <v>-1.5707963250000001</v>
      </c>
      <c r="O544">
        <f t="shared" si="433"/>
        <v>272.86800360234963</v>
      </c>
      <c r="P544">
        <f t="shared" si="434"/>
        <v>1.5671315429974497</v>
      </c>
      <c r="Q544">
        <f t="shared" si="435"/>
        <v>424.22928369497214</v>
      </c>
      <c r="R544">
        <f t="shared" si="436"/>
        <v>1.5684391087420309</v>
      </c>
      <c r="S544">
        <f t="shared" si="437"/>
        <v>7.2879573089490432E-2</v>
      </c>
      <c r="T544">
        <f t="shared" si="438"/>
        <v>-1.4978520831957711</v>
      </c>
      <c r="U544">
        <f t="shared" si="439"/>
        <v>0.11767196361824371</v>
      </c>
      <c r="V544">
        <f t="shared" si="440"/>
        <v>-1.4528510957761489</v>
      </c>
      <c r="X544">
        <f t="shared" si="457"/>
        <v>-56.066779834970212</v>
      </c>
      <c r="Y544">
        <f t="shared" si="441"/>
        <v>-173.53035926279927</v>
      </c>
      <c r="Z544">
        <f t="shared" si="458"/>
        <v>6.4696407372007343</v>
      </c>
      <c r="AC544">
        <v>1</v>
      </c>
      <c r="AD544">
        <f t="shared" si="442"/>
        <v>272.86617120839998</v>
      </c>
      <c r="AE544">
        <f t="shared" si="443"/>
        <v>-0.42433100716146582</v>
      </c>
      <c r="AF544">
        <f t="shared" si="444"/>
        <v>5.0281190363249996E-2</v>
      </c>
      <c r="AG544">
        <f t="shared" si="421"/>
        <v>72.819260969601046</v>
      </c>
      <c r="AH544">
        <f t="shared" si="422"/>
        <v>-634.42154248001702</v>
      </c>
      <c r="AJ544">
        <f t="shared" si="445"/>
        <v>18000</v>
      </c>
      <c r="AK544">
        <f t="shared" si="446"/>
        <v>246325.99650120002</v>
      </c>
      <c r="AL544">
        <v>1</v>
      </c>
      <c r="AM544">
        <f t="shared" si="447"/>
        <v>424.22810508539993</v>
      </c>
      <c r="AN544">
        <f t="shared" si="423"/>
        <v>580.74195135467539</v>
      </c>
      <c r="AO544">
        <f t="shared" si="424"/>
        <v>-41.061065591443338</v>
      </c>
      <c r="AQ544">
        <f t="shared" si="448"/>
        <v>9.1827356122373171E-4</v>
      </c>
      <c r="AR544">
        <f t="shared" si="449"/>
        <v>-3.0303027520383146</v>
      </c>
      <c r="AT544">
        <f t="shared" si="470"/>
        <v>-1922.4224781274918</v>
      </c>
      <c r="AU544">
        <f t="shared" si="471"/>
        <v>-221.24697944670845</v>
      </c>
      <c r="AV544">
        <f t="shared" si="459"/>
        <v>-3.0270091760747375</v>
      </c>
      <c r="AW544">
        <f t="shared" si="460"/>
        <v>534.51623037378977</v>
      </c>
      <c r="AX544">
        <f t="shared" si="461"/>
        <v>-2546.255950689952</v>
      </c>
      <c r="AY544">
        <f t="shared" si="469"/>
        <v>-1.3638784297151434</v>
      </c>
      <c r="BA544">
        <f t="shared" si="450"/>
        <v>0.74377191208466564</v>
      </c>
      <c r="BB544">
        <f t="shared" si="462"/>
        <v>-2.5712045286016014</v>
      </c>
      <c r="BC544">
        <f t="shared" si="463"/>
        <v>-1.6631307463595941</v>
      </c>
      <c r="BD544">
        <f t="shared" si="451"/>
        <v>-275.29037265373245</v>
      </c>
      <c r="BF544">
        <f t="shared" si="452"/>
        <v>-59.441064804084327</v>
      </c>
      <c r="BG544">
        <f t="shared" si="453"/>
        <v>-189.41285788746595</v>
      </c>
      <c r="BH544">
        <f t="shared" si="464"/>
        <v>-9.4128578874659468</v>
      </c>
      <c r="BI544">
        <f t="shared" si="465"/>
        <v>-9.4128578874659468</v>
      </c>
      <c r="BJ544">
        <f t="shared" si="454"/>
        <v>0</v>
      </c>
      <c r="BK544">
        <f t="shared" si="466"/>
        <v>0</v>
      </c>
      <c r="BM544">
        <f t="shared" si="467"/>
        <v>-56.869860275482722</v>
      </c>
      <c r="BN544">
        <f t="shared" si="455"/>
        <v>-94.122485233733471</v>
      </c>
      <c r="BQ544" s="56">
        <f t="shared" si="468"/>
        <v>14.330756271683535</v>
      </c>
    </row>
    <row r="545" spans="1:69" x14ac:dyDescent="0.25">
      <c r="A545">
        <f t="shared" si="472"/>
        <v>1655000</v>
      </c>
      <c r="B545">
        <f t="shared" si="456"/>
        <v>1655</v>
      </c>
      <c r="C545">
        <f t="shared" si="425"/>
        <v>13.762624963979746</v>
      </c>
      <c r="D545">
        <f t="shared" si="426"/>
        <v>1.4980716811811425</v>
      </c>
      <c r="F545">
        <f t="shared" si="427"/>
        <v>6.9245797645488236E-6</v>
      </c>
      <c r="G545">
        <f t="shared" si="428"/>
        <v>9.9030024309611242E-4</v>
      </c>
      <c r="H545">
        <f t="shared" si="429"/>
        <v>-3.1406023497569042</v>
      </c>
      <c r="J545">
        <f t="shared" si="430"/>
        <v>15</v>
      </c>
      <c r="M545">
        <f t="shared" si="431"/>
        <v>1.1015593226382367E-3</v>
      </c>
      <c r="N545">
        <f t="shared" si="432"/>
        <v>-1.5707963250000001</v>
      </c>
      <c r="O545">
        <f t="shared" si="433"/>
        <v>273.69486525193327</v>
      </c>
      <c r="P545">
        <f t="shared" si="434"/>
        <v>1.5671426147531371</v>
      </c>
      <c r="Q545">
        <f t="shared" si="435"/>
        <v>425.51481984660802</v>
      </c>
      <c r="R545">
        <f t="shared" si="436"/>
        <v>1.5684462302204614</v>
      </c>
      <c r="S545">
        <f t="shared" si="437"/>
        <v>7.2660557314992741E-2</v>
      </c>
      <c r="T545">
        <f t="shared" si="438"/>
        <v>-1.4980716811811425</v>
      </c>
      <c r="U545">
        <f t="shared" si="439"/>
        <v>0.11732135977815966</v>
      </c>
      <c r="V545">
        <f t="shared" si="440"/>
        <v>-1.4532041450927744</v>
      </c>
      <c r="X545">
        <f t="shared" si="457"/>
        <v>-56.118980007485476</v>
      </c>
      <c r="Y545">
        <f t="shared" si="441"/>
        <v>-173.54971704485442</v>
      </c>
      <c r="Z545">
        <f t="shared" si="458"/>
        <v>6.4502829551455818</v>
      </c>
      <c r="AC545">
        <v>1</v>
      </c>
      <c r="AD545">
        <f t="shared" si="442"/>
        <v>273.69303839387999</v>
      </c>
      <c r="AE545">
        <f t="shared" si="443"/>
        <v>-0.42690660675498032</v>
      </c>
      <c r="AF545">
        <f t="shared" si="444"/>
        <v>5.0433557606774995E-2</v>
      </c>
      <c r="AG545">
        <f t="shared" si="421"/>
        <v>72.385977163657486</v>
      </c>
      <c r="AH545">
        <f t="shared" si="422"/>
        <v>-632.5560480249552</v>
      </c>
      <c r="AJ545">
        <f t="shared" si="445"/>
        <v>18000</v>
      </c>
      <c r="AK545">
        <f t="shared" si="446"/>
        <v>247072.43891484002</v>
      </c>
      <c r="AL545">
        <v>1</v>
      </c>
      <c r="AM545">
        <f t="shared" si="447"/>
        <v>425.51364479777993</v>
      </c>
      <c r="AN545">
        <f t="shared" si="423"/>
        <v>580.74136740711026</v>
      </c>
      <c r="AO545">
        <f t="shared" si="424"/>
        <v>-40.937015406100961</v>
      </c>
      <c r="AQ545">
        <f t="shared" si="448"/>
        <v>9.1273346238776002E-4</v>
      </c>
      <c r="AR545">
        <f t="shared" si="449"/>
        <v>-3.0211477605034855</v>
      </c>
      <c r="AT545">
        <f t="shared" si="470"/>
        <v>-1910.979218779964</v>
      </c>
      <c r="AU545">
        <f t="shared" si="471"/>
        <v>-219.26608787170841</v>
      </c>
      <c r="AV545">
        <f t="shared" si="459"/>
        <v>-3.0273520691349969</v>
      </c>
      <c r="AW545">
        <f t="shared" si="460"/>
        <v>534.80098639411972</v>
      </c>
      <c r="AX545">
        <f t="shared" si="461"/>
        <v>-2538.616002620683</v>
      </c>
      <c r="AY545">
        <f t="shared" si="469"/>
        <v>-1.3631660058387727</v>
      </c>
      <c r="BA545">
        <f t="shared" si="450"/>
        <v>0.74142933919789922</v>
      </c>
      <c r="BB545">
        <f t="shared" si="462"/>
        <v>-2.5986046488471222</v>
      </c>
      <c r="BC545">
        <f t="shared" si="463"/>
        <v>-1.6641860632962242</v>
      </c>
      <c r="BD545">
        <f t="shared" si="451"/>
        <v>-275.35083786031913</v>
      </c>
      <c r="BF545">
        <f t="shared" si="452"/>
        <v>-59.49488551453905</v>
      </c>
      <c r="BG545">
        <f t="shared" si="453"/>
        <v>-189.46091299804812</v>
      </c>
      <c r="BH545">
        <f t="shared" si="464"/>
        <v>-9.4609129980481157</v>
      </c>
      <c r="BI545">
        <f t="shared" si="465"/>
        <v>-9.4609129980481157</v>
      </c>
      <c r="BJ545">
        <f t="shared" si="454"/>
        <v>0</v>
      </c>
      <c r="BK545">
        <f t="shared" si="466"/>
        <v>0</v>
      </c>
      <c r="BM545">
        <f t="shared" si="467"/>
        <v>-56.896280865691928</v>
      </c>
      <c r="BN545">
        <f t="shared" si="455"/>
        <v>-94.11007513772897</v>
      </c>
      <c r="BQ545" s="56">
        <f t="shared" si="468"/>
        <v>14.303356151438013</v>
      </c>
    </row>
    <row r="546" spans="1:69" x14ac:dyDescent="0.25">
      <c r="A546">
        <f t="shared" si="472"/>
        <v>1660000</v>
      </c>
      <c r="B546">
        <f t="shared" si="456"/>
        <v>1660</v>
      </c>
      <c r="C546">
        <f t="shared" si="425"/>
        <v>13.80398470192298</v>
      </c>
      <c r="D546">
        <f t="shared" si="426"/>
        <v>1.4982899632504165</v>
      </c>
      <c r="F546">
        <f t="shared" si="427"/>
        <v>6.8829279833430621E-6</v>
      </c>
      <c r="G546">
        <f t="shared" si="428"/>
        <v>9.8731737161478921E-4</v>
      </c>
      <c r="H546">
        <f t="shared" si="429"/>
        <v>-3.1406053326283856</v>
      </c>
      <c r="J546">
        <f t="shared" si="430"/>
        <v>15</v>
      </c>
      <c r="M546">
        <f t="shared" si="431"/>
        <v>1.0982413728712539E-3</v>
      </c>
      <c r="N546">
        <f t="shared" si="432"/>
        <v>-1.5707963250000001</v>
      </c>
      <c r="O546">
        <f t="shared" si="433"/>
        <v>274.52172693486523</v>
      </c>
      <c r="P546">
        <f t="shared" si="434"/>
        <v>1.5671536198123885</v>
      </c>
      <c r="Q546">
        <f t="shared" si="435"/>
        <v>426.80035601969405</v>
      </c>
      <c r="R546">
        <f t="shared" si="436"/>
        <v>1.5684533087986559</v>
      </c>
      <c r="S546">
        <f t="shared" si="437"/>
        <v>7.244285049524099E-2</v>
      </c>
      <c r="T546">
        <f t="shared" si="438"/>
        <v>-1.4982899632504165</v>
      </c>
      <c r="U546">
        <f t="shared" si="439"/>
        <v>0.11697282453100497</v>
      </c>
      <c r="V546">
        <f t="shared" si="440"/>
        <v>-1.4535550967934552</v>
      </c>
      <c r="X546">
        <f t="shared" si="457"/>
        <v>-56.171024857321243</v>
      </c>
      <c r="Y546">
        <f t="shared" si="441"/>
        <v>-173.56895988598117</v>
      </c>
      <c r="Z546">
        <f t="shared" si="458"/>
        <v>6.4310401140188276</v>
      </c>
      <c r="AC546">
        <v>1</v>
      </c>
      <c r="AD546">
        <f t="shared" si="442"/>
        <v>274.51990557936</v>
      </c>
      <c r="AE546">
        <f t="shared" si="443"/>
        <v>-0.42948999938811211</v>
      </c>
      <c r="AF546">
        <f t="shared" si="444"/>
        <v>5.0585924850299994E-2</v>
      </c>
      <c r="AG546">
        <f t="shared" si="421"/>
        <v>71.956531245806573</v>
      </c>
      <c r="AH546">
        <f t="shared" si="422"/>
        <v>-630.70133945654118</v>
      </c>
      <c r="AJ546">
        <f t="shared" si="445"/>
        <v>18000</v>
      </c>
      <c r="AK546">
        <f t="shared" si="446"/>
        <v>247818.88132848</v>
      </c>
      <c r="AL546">
        <v>1</v>
      </c>
      <c r="AM546">
        <f t="shared" si="447"/>
        <v>426.79918451015993</v>
      </c>
      <c r="AN546">
        <f t="shared" si="423"/>
        <v>580.74078872819018</v>
      </c>
      <c r="AO546">
        <f t="shared" si="424"/>
        <v>-40.813712498687174</v>
      </c>
      <c r="AQ546">
        <f t="shared" si="448"/>
        <v>9.0724334924849857E-4</v>
      </c>
      <c r="AR546">
        <f t="shared" si="449"/>
        <v>-3.0120479195050152</v>
      </c>
      <c r="AT546">
        <f t="shared" si="470"/>
        <v>-1899.6373752546936</v>
      </c>
      <c r="AU546">
        <f t="shared" si="471"/>
        <v>-217.30871982931336</v>
      </c>
      <c r="AV546">
        <f t="shared" si="459"/>
        <v>-3.0276929257606913</v>
      </c>
      <c r="AW546">
        <f t="shared" si="460"/>
        <v>535.08309698058679</v>
      </c>
      <c r="AX546">
        <f t="shared" si="461"/>
        <v>-2531.0216135500591</v>
      </c>
      <c r="AY546">
        <f t="shared" si="469"/>
        <v>-1.3624541398646148</v>
      </c>
      <c r="BA546">
        <f t="shared" si="450"/>
        <v>0.73910044616298864</v>
      </c>
      <c r="BB546">
        <f t="shared" si="462"/>
        <v>-2.6259307111315926</v>
      </c>
      <c r="BC546">
        <f t="shared" si="463"/>
        <v>-1.6652387858960764</v>
      </c>
      <c r="BD546">
        <f t="shared" si="451"/>
        <v>-275.41115442235764</v>
      </c>
      <c r="BF546">
        <f t="shared" si="452"/>
        <v>-59.548551633288831</v>
      </c>
      <c r="BG546">
        <f t="shared" si="453"/>
        <v>-189.50889382470643</v>
      </c>
      <c r="BH546">
        <f t="shared" si="464"/>
        <v>-9.5088938247064334</v>
      </c>
      <c r="BI546">
        <f t="shared" si="465"/>
        <v>-9.5088938247064334</v>
      </c>
      <c r="BJ546">
        <f t="shared" si="454"/>
        <v>0</v>
      </c>
      <c r="BK546">
        <f t="shared" si="466"/>
        <v>0</v>
      </c>
      <c r="BM546">
        <f t="shared" si="467"/>
        <v>-56.922620922157236</v>
      </c>
      <c r="BN546">
        <f t="shared" si="455"/>
        <v>-94.097739402348807</v>
      </c>
      <c r="BQ546" s="56">
        <f t="shared" si="468"/>
        <v>14.276030089153544</v>
      </c>
    </row>
    <row r="547" spans="1:69" x14ac:dyDescent="0.25">
      <c r="A547">
        <f t="shared" si="472"/>
        <v>1665000</v>
      </c>
      <c r="B547">
        <f t="shared" si="456"/>
        <v>1665</v>
      </c>
      <c r="C547">
        <f t="shared" si="425"/>
        <v>13.845345093655942</v>
      </c>
      <c r="D547">
        <f t="shared" si="426"/>
        <v>1.4985069411758618</v>
      </c>
      <c r="F547">
        <f t="shared" si="427"/>
        <v>6.8416508829016035E-6</v>
      </c>
      <c r="G547">
        <f t="shared" si="428"/>
        <v>9.8435241563107185E-4</v>
      </c>
      <c r="H547">
        <f t="shared" si="429"/>
        <v>-3.140608297584369</v>
      </c>
      <c r="J547">
        <f t="shared" si="430"/>
        <v>15</v>
      </c>
      <c r="M547">
        <f t="shared" si="431"/>
        <v>1.0949433507304995E-3</v>
      </c>
      <c r="N547">
        <f t="shared" si="432"/>
        <v>-1.5707963250000001</v>
      </c>
      <c r="O547">
        <f t="shared" si="433"/>
        <v>275.34858865084539</v>
      </c>
      <c r="P547">
        <f t="shared" si="434"/>
        <v>1.5671645587760628</v>
      </c>
      <c r="Q547">
        <f t="shared" si="435"/>
        <v>428.08589221403702</v>
      </c>
      <c r="R547">
        <f t="shared" si="436"/>
        <v>1.5684603448630996</v>
      </c>
      <c r="S547">
        <f t="shared" si="437"/>
        <v>7.2226440961605853E-2</v>
      </c>
      <c r="T547">
        <f t="shared" si="438"/>
        <v>-1.4985069411758618</v>
      </c>
      <c r="U547">
        <f t="shared" si="439"/>
        <v>0.1166263397518532</v>
      </c>
      <c r="V547">
        <f t="shared" si="440"/>
        <v>-1.4539039694313751</v>
      </c>
      <c r="X547">
        <f t="shared" si="457"/>
        <v>-56.222915299844459</v>
      </c>
      <c r="Y547">
        <f t="shared" si="441"/>
        <v>-173.58808880195994</v>
      </c>
      <c r="Z547">
        <f t="shared" si="458"/>
        <v>6.4119111980400589</v>
      </c>
      <c r="AC547">
        <v>1</v>
      </c>
      <c r="AD547">
        <f t="shared" si="442"/>
        <v>275.34677276484001</v>
      </c>
      <c r="AE547">
        <f t="shared" si="443"/>
        <v>-0.43208118506086118</v>
      </c>
      <c r="AF547">
        <f t="shared" si="444"/>
        <v>5.0738292093825001E-2</v>
      </c>
      <c r="AG547">
        <f t="shared" si="421"/>
        <v>71.530878233212633</v>
      </c>
      <c r="AH547">
        <f t="shared" si="422"/>
        <v>-628.85732488685539</v>
      </c>
      <c r="AJ547">
        <f t="shared" si="445"/>
        <v>18000</v>
      </c>
      <c r="AK547">
        <f t="shared" si="446"/>
        <v>248565.32374212003</v>
      </c>
      <c r="AL547">
        <v>1</v>
      </c>
      <c r="AM547">
        <f t="shared" si="447"/>
        <v>428.08472422253993</v>
      </c>
      <c r="AN547">
        <f t="shared" si="423"/>
        <v>580.74021525472438</v>
      </c>
      <c r="AO547">
        <f t="shared" si="424"/>
        <v>-40.691150137116011</v>
      </c>
      <c r="AQ547">
        <f t="shared" si="448"/>
        <v>9.0180262227970113E-4</v>
      </c>
      <c r="AR547">
        <f t="shared" si="449"/>
        <v>-3.0030027321914048</v>
      </c>
      <c r="AT547">
        <f t="shared" si="470"/>
        <v>-1888.39575806024</v>
      </c>
      <c r="AU547">
        <f t="shared" si="471"/>
        <v>-215.37452795501099</v>
      </c>
      <c r="AV547">
        <f t="shared" si="459"/>
        <v>-3.0280317639538321</v>
      </c>
      <c r="AW547">
        <f t="shared" si="460"/>
        <v>535.36259498130619</v>
      </c>
      <c r="AX547">
        <f t="shared" si="461"/>
        <v>-2523.472378463036</v>
      </c>
      <c r="AY547">
        <f t="shared" si="469"/>
        <v>-1.3617428287121378</v>
      </c>
      <c r="BA547">
        <f t="shared" si="450"/>
        <v>0.73678511189340656</v>
      </c>
      <c r="BB547">
        <f t="shared" si="462"/>
        <v>-2.6531831689240963</v>
      </c>
      <c r="BC547">
        <f t="shared" si="463"/>
        <v>-1.6662889352416943</v>
      </c>
      <c r="BD547">
        <f t="shared" si="451"/>
        <v>-275.4713235477887</v>
      </c>
      <c r="BF547">
        <f t="shared" si="452"/>
        <v>-59.6020641056516</v>
      </c>
      <c r="BG547">
        <f t="shared" si="453"/>
        <v>-189.55680091021227</v>
      </c>
      <c r="BH547">
        <f t="shared" si="464"/>
        <v>-9.5568009102122744</v>
      </c>
      <c r="BI547">
        <f t="shared" si="465"/>
        <v>-9.5568009102122744</v>
      </c>
      <c r="BJ547">
        <f t="shared" si="454"/>
        <v>0</v>
      </c>
      <c r="BK547">
        <f t="shared" si="466"/>
        <v>0</v>
      </c>
      <c r="BM547">
        <f t="shared" si="467"/>
        <v>-56.948880936727505</v>
      </c>
      <c r="BN547">
        <f t="shared" si="455"/>
        <v>-94.085477362423561</v>
      </c>
      <c r="BQ547" s="56">
        <f t="shared" si="468"/>
        <v>14.24877763136104</v>
      </c>
    </row>
    <row r="548" spans="1:69" x14ac:dyDescent="0.25">
      <c r="A548">
        <f t="shared" si="472"/>
        <v>1670000</v>
      </c>
      <c r="B548">
        <f t="shared" si="456"/>
        <v>1670</v>
      </c>
      <c r="C548">
        <f t="shared" si="425"/>
        <v>13.886706133336856</v>
      </c>
      <c r="D548">
        <f t="shared" si="426"/>
        <v>1.4987226265899884</v>
      </c>
      <c r="F548">
        <f t="shared" si="427"/>
        <v>6.8007439827061329E-6</v>
      </c>
      <c r="G548">
        <f t="shared" si="428"/>
        <v>9.814052142231018E-4</v>
      </c>
      <c r="H548">
        <f t="shared" si="429"/>
        <v>-3.1406112447857772</v>
      </c>
      <c r="J548">
        <f t="shared" si="430"/>
        <v>15</v>
      </c>
      <c r="M548">
        <f t="shared" si="431"/>
        <v>1.0916650772253183E-3</v>
      </c>
      <c r="N548">
        <f t="shared" si="432"/>
        <v>-1.5707963250000001</v>
      </c>
      <c r="O548">
        <f t="shared" si="433"/>
        <v>276.17545039957662</v>
      </c>
      <c r="P548">
        <f t="shared" si="434"/>
        <v>1.5671754322378215</v>
      </c>
      <c r="Q548">
        <f t="shared" si="435"/>
        <v>429.37142842944598</v>
      </c>
      <c r="R548">
        <f t="shared" si="436"/>
        <v>1.5684673387956503</v>
      </c>
      <c r="S548">
        <f t="shared" si="437"/>
        <v>7.2011317183372184E-2</v>
      </c>
      <c r="T548">
        <f t="shared" si="438"/>
        <v>-1.4987226265899884</v>
      </c>
      <c r="U548">
        <f t="shared" si="439"/>
        <v>0.1162818875253822</v>
      </c>
      <c r="V548">
        <f t="shared" si="440"/>
        <v>-1.4542507813425711</v>
      </c>
      <c r="X548">
        <f t="shared" si="457"/>
        <v>-56.274652242408571</v>
      </c>
      <c r="Y548">
        <f t="shared" si="441"/>
        <v>-173.60710479669532</v>
      </c>
      <c r="Z548">
        <f t="shared" si="458"/>
        <v>6.3928952033046755</v>
      </c>
      <c r="AC548">
        <v>1</v>
      </c>
      <c r="AD548">
        <f t="shared" si="442"/>
        <v>276.17363995032002</v>
      </c>
      <c r="AE548">
        <f t="shared" si="443"/>
        <v>-0.43468016377322755</v>
      </c>
      <c r="AF548">
        <f t="shared" si="444"/>
        <v>5.089065933735E-2</v>
      </c>
      <c r="AG548">
        <f t="shared" si="421"/>
        <v>71.108973797056677</v>
      </c>
      <c r="AH548">
        <f t="shared" si="422"/>
        <v>-627.02391345186197</v>
      </c>
      <c r="AJ548">
        <f t="shared" si="445"/>
        <v>18000</v>
      </c>
      <c r="AK548">
        <f t="shared" si="446"/>
        <v>249311.76615576001</v>
      </c>
      <c r="AL548">
        <v>1</v>
      </c>
      <c r="AM548">
        <f t="shared" si="447"/>
        <v>429.37026393491999</v>
      </c>
      <c r="AN548">
        <f t="shared" si="423"/>
        <v>580.73964692446532</v>
      </c>
      <c r="AO548">
        <f t="shared" si="424"/>
        <v>-40.569321669923063</v>
      </c>
      <c r="AQ548">
        <f t="shared" si="448"/>
        <v>8.9641069091660772E-4</v>
      </c>
      <c r="AR548">
        <f t="shared" si="449"/>
        <v>-2.9940117076614698</v>
      </c>
      <c r="AT548">
        <f t="shared" si="470"/>
        <v>-1877.2531950142552</v>
      </c>
      <c r="AU548">
        <f t="shared" si="471"/>
        <v>-213.46317100765899</v>
      </c>
      <c r="AV548">
        <f t="shared" si="459"/>
        <v>-3.0283686015058842</v>
      </c>
      <c r="AW548">
        <f t="shared" si="460"/>
        <v>535.63951273379109</v>
      </c>
      <c r="AX548">
        <f t="shared" si="461"/>
        <v>-2515.9678971164722</v>
      </c>
      <c r="AY548">
        <f t="shared" si="469"/>
        <v>-1.3610320693469808</v>
      </c>
      <c r="BA548">
        <f t="shared" si="450"/>
        <v>0.73448321672759465</v>
      </c>
      <c r="BB548">
        <f t="shared" si="462"/>
        <v>-2.6803624716983308</v>
      </c>
      <c r="BC548">
        <f t="shared" si="463"/>
        <v>-1.6673365321589033</v>
      </c>
      <c r="BD548">
        <f t="shared" si="451"/>
        <v>-275.53134642984429</v>
      </c>
      <c r="BF548">
        <f t="shared" si="452"/>
        <v>-59.655423868437495</v>
      </c>
      <c r="BG548">
        <f t="shared" si="453"/>
        <v>-189.60463479052399</v>
      </c>
      <c r="BH548">
        <f t="shared" si="464"/>
        <v>-9.6046347905239884</v>
      </c>
      <c r="BI548">
        <f t="shared" si="465"/>
        <v>-9.6046347905239884</v>
      </c>
      <c r="BJ548">
        <f t="shared" si="454"/>
        <v>0</v>
      </c>
      <c r="BK548">
        <f t="shared" si="466"/>
        <v>0</v>
      </c>
      <c r="BM548">
        <f t="shared" si="467"/>
        <v>-56.975061396739157</v>
      </c>
      <c r="BN548">
        <f t="shared" si="455"/>
        <v>-94.073288360679726</v>
      </c>
      <c r="BQ548" s="56">
        <f t="shared" si="468"/>
        <v>14.221598328586804</v>
      </c>
    </row>
    <row r="549" spans="1:69" x14ac:dyDescent="0.25">
      <c r="A549">
        <f t="shared" si="472"/>
        <v>1675000</v>
      </c>
      <c r="B549">
        <f t="shared" si="456"/>
        <v>1675</v>
      </c>
      <c r="C549">
        <f t="shared" si="425"/>
        <v>13.92806781519325</v>
      </c>
      <c r="D549">
        <f t="shared" si="426"/>
        <v>1.498937030987612</v>
      </c>
      <c r="F549">
        <f t="shared" si="427"/>
        <v>6.7602028690126371E-6</v>
      </c>
      <c r="G549">
        <f t="shared" si="428"/>
        <v>9.7847560839053774E-4</v>
      </c>
      <c r="H549">
        <f t="shared" si="429"/>
        <v>-3.1406141743916098</v>
      </c>
      <c r="J549">
        <f t="shared" si="430"/>
        <v>15</v>
      </c>
      <c r="M549">
        <f t="shared" si="431"/>
        <v>1.0884063755022576E-3</v>
      </c>
      <c r="N549">
        <f t="shared" si="432"/>
        <v>-1.5707963250000001</v>
      </c>
      <c r="O549">
        <f t="shared" si="433"/>
        <v>277.00231218076573</v>
      </c>
      <c r="P549">
        <f t="shared" si="434"/>
        <v>1.5671862407842394</v>
      </c>
      <c r="Q549">
        <f t="shared" si="435"/>
        <v>430.65696466573235</v>
      </c>
      <c r="R549">
        <f t="shared" si="436"/>
        <v>1.5684742909736056</v>
      </c>
      <c r="S549">
        <f t="shared" si="437"/>
        <v>7.1797467765712858E-2</v>
      </c>
      <c r="T549">
        <f t="shared" si="438"/>
        <v>-1.498937030987612</v>
      </c>
      <c r="U549">
        <f t="shared" si="439"/>
        <v>0.11593945014287553</v>
      </c>
      <c r="V549">
        <f t="shared" si="440"/>
        <v>-1.4545955506490857</v>
      </c>
      <c r="X549">
        <f t="shared" si="457"/>
        <v>-56.326236584445972</v>
      </c>
      <c r="Y549">
        <f t="shared" si="441"/>
        <v>-173.62600886238803</v>
      </c>
      <c r="Z549">
        <f t="shared" si="458"/>
        <v>6.3739911376119665</v>
      </c>
      <c r="AC549">
        <v>1</v>
      </c>
      <c r="AD549">
        <f t="shared" si="442"/>
        <v>277.00050713580004</v>
      </c>
      <c r="AE549">
        <f t="shared" si="443"/>
        <v>-0.4372869355252112</v>
      </c>
      <c r="AF549">
        <f t="shared" si="444"/>
        <v>5.1043026580874999E-2</v>
      </c>
      <c r="AG549">
        <f t="shared" si="421"/>
        <v>70.690774251213796</v>
      </c>
      <c r="AH549">
        <f t="shared" si="422"/>
        <v>-625.20101529745023</v>
      </c>
      <c r="AJ549">
        <f t="shared" si="445"/>
        <v>18000</v>
      </c>
      <c r="AK549">
        <f t="shared" si="446"/>
        <v>250058.20856940001</v>
      </c>
      <c r="AL549">
        <v>1</v>
      </c>
      <c r="AM549">
        <f t="shared" si="447"/>
        <v>430.65580364729999</v>
      </c>
      <c r="AN549">
        <f t="shared" si="423"/>
        <v>580.73908367609442</v>
      </c>
      <c r="AO549">
        <f t="shared" si="424"/>
        <v>-40.448220525062261</v>
      </c>
      <c r="AQ549">
        <f t="shared" si="448"/>
        <v>8.9106697339568072E-4</v>
      </c>
      <c r="AR549">
        <f t="shared" si="449"/>
        <v>-2.9850743608755304</v>
      </c>
      <c r="AT549">
        <f t="shared" si="470"/>
        <v>-1866.2085309435097</v>
      </c>
      <c r="AU549">
        <f t="shared" si="471"/>
        <v>-211.57431374420344</v>
      </c>
      <c r="AV549">
        <f t="shared" si="459"/>
        <v>-3.0287034560008195</v>
      </c>
      <c r="AW549">
        <f t="shared" si="460"/>
        <v>535.91388207448529</v>
      </c>
      <c r="AX549">
        <f t="shared" si="461"/>
        <v>-2508.5077739692711</v>
      </c>
      <c r="AY549">
        <f t="shared" si="469"/>
        <v>-1.36032185878017</v>
      </c>
      <c r="BA549">
        <f t="shared" si="450"/>
        <v>0.73219464240815346</v>
      </c>
      <c r="BB549">
        <f t="shared" si="462"/>
        <v>-2.7074690649785262</v>
      </c>
      <c r="BC549">
        <f t="shared" si="463"/>
        <v>-1.6683815972206495</v>
      </c>
      <c r="BD549">
        <f t="shared" si="451"/>
        <v>-275.59122424726735</v>
      </c>
      <c r="BF549">
        <f t="shared" si="452"/>
        <v>-59.708631850049997</v>
      </c>
      <c r="BG549">
        <f t="shared" si="453"/>
        <v>-189.65239599489018</v>
      </c>
      <c r="BH549">
        <f t="shared" si="464"/>
        <v>-9.6523959948901847</v>
      </c>
      <c r="BI549">
        <f t="shared" si="465"/>
        <v>-9.6523959948901847</v>
      </c>
      <c r="BJ549">
        <f t="shared" si="454"/>
        <v>0</v>
      </c>
      <c r="BK549">
        <f t="shared" si="466"/>
        <v>0</v>
      </c>
      <c r="BM549">
        <f t="shared" si="467"/>
        <v>-57.001162785071465</v>
      </c>
      <c r="BN549">
        <f t="shared" si="455"/>
        <v>-94.061171747622836</v>
      </c>
      <c r="BQ549" s="56">
        <f t="shared" si="468"/>
        <v>14.194491735306611</v>
      </c>
    </row>
    <row r="550" spans="1:69" x14ac:dyDescent="0.25">
      <c r="A550">
        <f t="shared" si="472"/>
        <v>1680000</v>
      </c>
      <c r="B550">
        <f t="shared" si="456"/>
        <v>1680</v>
      </c>
      <c r="C550">
        <f t="shared" si="425"/>
        <v>13.969430133520929</v>
      </c>
      <c r="D550">
        <f t="shared" si="426"/>
        <v>1.4991501657278816</v>
      </c>
      <c r="F550">
        <f t="shared" si="427"/>
        <v>6.7200231936607575E-6</v>
      </c>
      <c r="G550">
        <f t="shared" si="428"/>
        <v>9.7556344102596145E-4</v>
      </c>
      <c r="H550">
        <f t="shared" si="429"/>
        <v>-3.1406170865589744</v>
      </c>
      <c r="J550">
        <f t="shared" si="430"/>
        <v>15</v>
      </c>
      <c r="M550">
        <f t="shared" si="431"/>
        <v>1.0851670708132628E-3</v>
      </c>
      <c r="N550">
        <f t="shared" si="432"/>
        <v>-1.5707963250000001</v>
      </c>
      <c r="O550">
        <f t="shared" si="433"/>
        <v>277.82917399412298</v>
      </c>
      <c r="P550">
        <f t="shared" si="434"/>
        <v>1.5671969849949074</v>
      </c>
      <c r="Q550">
        <f t="shared" si="435"/>
        <v>431.94250092270954</v>
      </c>
      <c r="R550">
        <f t="shared" si="436"/>
        <v>1.5684812017697718</v>
      </c>
      <c r="S550">
        <f t="shared" si="437"/>
        <v>7.1584881447698312E-2</v>
      </c>
      <c r="T550">
        <f t="shared" si="438"/>
        <v>-1.4991501657278816</v>
      </c>
      <c r="U550">
        <f t="shared" si="439"/>
        <v>0.11559901009927488</v>
      </c>
      <c r="V550">
        <f t="shared" si="440"/>
        <v>-1.4549382952620658</v>
      </c>
      <c r="X550">
        <f t="shared" si="457"/>
        <v>-56.377669217559465</v>
      </c>
      <c r="Y550">
        <f t="shared" si="441"/>
        <v>-173.64480197970443</v>
      </c>
      <c r="Z550">
        <f t="shared" si="458"/>
        <v>6.3551980202955747</v>
      </c>
      <c r="AC550">
        <v>1</v>
      </c>
      <c r="AD550">
        <f t="shared" si="442"/>
        <v>277.82737432127999</v>
      </c>
      <c r="AE550">
        <f t="shared" si="443"/>
        <v>-0.43990150031681219</v>
      </c>
      <c r="AF550">
        <f t="shared" si="444"/>
        <v>5.1195393824399998E-2</v>
      </c>
      <c r="AG550">
        <f t="shared" si="421"/>
        <v>70.276236541156948</v>
      </c>
      <c r="AH550">
        <f t="shared" si="422"/>
        <v>-623.38854156569528</v>
      </c>
      <c r="AJ550">
        <f t="shared" si="445"/>
        <v>18000</v>
      </c>
      <c r="AK550">
        <f t="shared" si="446"/>
        <v>250804.65098304005</v>
      </c>
      <c r="AL550">
        <v>1</v>
      </c>
      <c r="AM550">
        <f t="shared" si="447"/>
        <v>431.94134335967999</v>
      </c>
      <c r="AN550">
        <f t="shared" si="423"/>
        <v>580.73852544920385</v>
      </c>
      <c r="AO550">
        <f t="shared" si="424"/>
        <v>-40.327840208724083</v>
      </c>
      <c r="AQ550">
        <f t="shared" si="448"/>
        <v>8.8577089659767428E-4</v>
      </c>
      <c r="AR550">
        <f t="shared" si="449"/>
        <v>-2.9761902125681856</v>
      </c>
      <c r="AT550">
        <f t="shared" si="470"/>
        <v>-1855.2606273899271</v>
      </c>
      <c r="AU550">
        <f t="shared" si="471"/>
        <v>-209.70762679730936</v>
      </c>
      <c r="AV550">
        <f t="shared" si="459"/>
        <v>-3.0290363448181199</v>
      </c>
      <c r="AW550">
        <f t="shared" si="460"/>
        <v>536.18573434808263</v>
      </c>
      <c r="AX550">
        <f t="shared" si="461"/>
        <v>-2501.0916181137245</v>
      </c>
      <c r="AY550">
        <f t="shared" si="469"/>
        <v>-1.3596121940673505</v>
      </c>
      <c r="BA550">
        <f t="shared" si="450"/>
        <v>0.72991927206139284</v>
      </c>
      <c r="BB550">
        <f t="shared" si="462"/>
        <v>-2.7345033903847216</v>
      </c>
      <c r="BC550">
        <f t="shared" si="463"/>
        <v>-1.6694241507507694</v>
      </c>
      <c r="BD550">
        <f t="shared" si="451"/>
        <v>-275.65095816452794</v>
      </c>
      <c r="BF550">
        <f t="shared" si="452"/>
        <v>-59.76168897058561</v>
      </c>
      <c r="BG550">
        <f t="shared" si="453"/>
        <v>-189.70008504595117</v>
      </c>
      <c r="BH550">
        <f t="shared" si="464"/>
        <v>-9.7000850459511696</v>
      </c>
      <c r="BI550">
        <f t="shared" si="465"/>
        <v>-9.7000850459511696</v>
      </c>
      <c r="BJ550">
        <f t="shared" si="454"/>
        <v>0</v>
      </c>
      <c r="BK550">
        <f t="shared" si="466"/>
        <v>0</v>
      </c>
      <c r="BM550">
        <f t="shared" si="467"/>
        <v>-57.027185580200893</v>
      </c>
      <c r="BN550">
        <f t="shared" si="455"/>
        <v>-94.049126881423248</v>
      </c>
      <c r="BQ550" s="56">
        <f t="shared" si="468"/>
        <v>14.167457409900415</v>
      </c>
    </row>
    <row r="551" spans="1:69" x14ac:dyDescent="0.25">
      <c r="A551">
        <f t="shared" si="472"/>
        <v>1685000</v>
      </c>
      <c r="B551">
        <f t="shared" si="456"/>
        <v>1685</v>
      </c>
      <c r="C551">
        <f t="shared" si="425"/>
        <v>14.010793082682968</v>
      </c>
      <c r="D551">
        <f t="shared" si="426"/>
        <v>1.4993620420362725</v>
      </c>
      <c r="F551">
        <f t="shared" si="427"/>
        <v>6.6802006729078498E-6</v>
      </c>
      <c r="G551">
        <f t="shared" si="428"/>
        <v>9.7266855688679134E-4</v>
      </c>
      <c r="H551">
        <f t="shared" si="429"/>
        <v>-3.1406199814431135</v>
      </c>
      <c r="J551">
        <f t="shared" si="430"/>
        <v>15</v>
      </c>
      <c r="M551">
        <f t="shared" si="431"/>
        <v>1.08194699048444E-3</v>
      </c>
      <c r="N551">
        <f t="shared" si="432"/>
        <v>-1.5707963250000001</v>
      </c>
      <c r="O551">
        <f t="shared" si="433"/>
        <v>278.65603583936189</v>
      </c>
      <c r="P551">
        <f t="shared" si="434"/>
        <v>1.5672076654425375</v>
      </c>
      <c r="Q551">
        <f t="shared" si="435"/>
        <v>433.22803720019363</v>
      </c>
      <c r="R551">
        <f t="shared" si="436"/>
        <v>1.5684880715525298</v>
      </c>
      <c r="S551">
        <f t="shared" si="437"/>
        <v>7.1373547100340676E-2</v>
      </c>
      <c r="T551">
        <f t="shared" si="438"/>
        <v>-1.4993620420362723</v>
      </c>
      <c r="U551">
        <f t="shared" si="439"/>
        <v>0.11526055009028234</v>
      </c>
      <c r="V551">
        <f t="shared" si="440"/>
        <v>-1.4552790328848064</v>
      </c>
      <c r="X551">
        <f t="shared" si="457"/>
        <v>-56.428951025612136</v>
      </c>
      <c r="Y551">
        <f t="shared" si="441"/>
        <v>-173.66348511794277</v>
      </c>
      <c r="Z551">
        <f t="shared" si="458"/>
        <v>6.3365148820572301</v>
      </c>
      <c r="AC551">
        <v>1</v>
      </c>
      <c r="AD551">
        <f t="shared" si="442"/>
        <v>278.65424150676</v>
      </c>
      <c r="AE551">
        <f t="shared" si="443"/>
        <v>-0.44252385814803047</v>
      </c>
      <c r="AF551">
        <f t="shared" si="444"/>
        <v>5.1347761067924998E-2</v>
      </c>
      <c r="AG551">
        <f t="shared" si="421"/>
        <v>69.865318233082803</v>
      </c>
      <c r="AH551">
        <f t="shared" si="422"/>
        <v>-621.58640438134171</v>
      </c>
      <c r="AJ551">
        <f t="shared" si="445"/>
        <v>18000</v>
      </c>
      <c r="AK551">
        <f t="shared" si="446"/>
        <v>251551.09339667999</v>
      </c>
      <c r="AL551">
        <v>1</v>
      </c>
      <c r="AM551">
        <f t="shared" si="447"/>
        <v>433.22688307205999</v>
      </c>
      <c r="AN551">
        <f t="shared" si="423"/>
        <v>580.73797218427967</v>
      </c>
      <c r="AO551">
        <f t="shared" si="424"/>
        <v>-40.208174304174754</v>
      </c>
      <c r="AQ551">
        <f t="shared" si="448"/>
        <v>8.8052189589395906E-4</v>
      </c>
      <c r="AR551">
        <f t="shared" si="449"/>
        <v>-2.9673587891626423</v>
      </c>
      <c r="AT551">
        <f t="shared" si="470"/>
        <v>-1844.4083623225108</v>
      </c>
      <c r="AU551">
        <f t="shared" si="471"/>
        <v>-207.86278655583101</v>
      </c>
      <c r="AV551">
        <f t="shared" si="459"/>
        <v>-3.0293672851357267</v>
      </c>
      <c r="AW551">
        <f t="shared" si="460"/>
        <v>536.45510041664795</v>
      </c>
      <c r="AX551">
        <f t="shared" si="461"/>
        <v>-2493.7190432080642</v>
      </c>
      <c r="AY551">
        <f t="shared" si="469"/>
        <v>-1.3589030723080335</v>
      </c>
      <c r="BA551">
        <f t="shared" si="450"/>
        <v>0.72765699017723984</v>
      </c>
      <c r="BB551">
        <f t="shared" si="462"/>
        <v>-2.7614658856773779</v>
      </c>
      <c r="BC551">
        <f t="shared" si="463"/>
        <v>-1.6704642128276932</v>
      </c>
      <c r="BD551">
        <f t="shared" si="451"/>
        <v>-275.71054933203538</v>
      </c>
      <c r="BF551">
        <f t="shared" si="452"/>
        <v>-59.814596141932114</v>
      </c>
      <c r="BG551">
        <f t="shared" si="453"/>
        <v>-189.74770245983865</v>
      </c>
      <c r="BH551">
        <f t="shared" si="464"/>
        <v>-9.7477024598386492</v>
      </c>
      <c r="BI551">
        <f t="shared" si="465"/>
        <v>-9.7477024598386492</v>
      </c>
      <c r="BJ551">
        <f t="shared" si="454"/>
        <v>0</v>
      </c>
      <c r="BK551">
        <f t="shared" si="466"/>
        <v>0</v>
      </c>
      <c r="BM551">
        <f t="shared" si="467"/>
        <v>-57.053130256254732</v>
      </c>
      <c r="BN551">
        <f t="shared" si="455"/>
        <v>-94.037153127803293</v>
      </c>
      <c r="BQ551" s="56">
        <f t="shared" si="468"/>
        <v>14.140494914607761</v>
      </c>
    </row>
    <row r="552" spans="1:69" x14ac:dyDescent="0.25">
      <c r="A552">
        <f t="shared" si="472"/>
        <v>1690000</v>
      </c>
      <c r="B552">
        <f t="shared" si="456"/>
        <v>1690</v>
      </c>
      <c r="C552">
        <f t="shared" si="425"/>
        <v>14.052156657108725</v>
      </c>
      <c r="D552">
        <f t="shared" si="426"/>
        <v>1.499572671006542</v>
      </c>
      <c r="F552">
        <f t="shared" si="427"/>
        <v>6.6407310862871502E-6</v>
      </c>
      <c r="G552">
        <f t="shared" si="428"/>
        <v>9.6979080256769437E-4</v>
      </c>
      <c r="H552">
        <f t="shared" si="429"/>
        <v>-3.1406228591974323</v>
      </c>
      <c r="J552">
        <f t="shared" si="430"/>
        <v>15</v>
      </c>
      <c r="M552">
        <f t="shared" si="431"/>
        <v>1.0787459638853737E-3</v>
      </c>
      <c r="N552">
        <f t="shared" si="432"/>
        <v>-1.5707963250000001</v>
      </c>
      <c r="O552">
        <f t="shared" si="433"/>
        <v>279.4828977161996</v>
      </c>
      <c r="P552">
        <f t="shared" si="434"/>
        <v>1.5672182826930643</v>
      </c>
      <c r="Q552">
        <f t="shared" si="435"/>
        <v>434.51357349800236</v>
      </c>
      <c r="R552">
        <f t="shared" si="436"/>
        <v>1.5684949006859019</v>
      </c>
      <c r="S552">
        <f t="shared" si="437"/>
        <v>7.1163453724672143E-2</v>
      </c>
      <c r="T552">
        <f t="shared" si="438"/>
        <v>-1.499572671006542</v>
      </c>
      <c r="U552">
        <f t="shared" si="439"/>
        <v>0.11492405300951163</v>
      </c>
      <c r="V552">
        <f t="shared" si="440"/>
        <v>-1.4556177810157438</v>
      </c>
      <c r="X552">
        <f t="shared" si="457"/>
        <v>-56.480082884816234</v>
      </c>
      <c r="Y552">
        <f t="shared" si="441"/>
        <v>-173.68205923519642</v>
      </c>
      <c r="Z552">
        <f t="shared" si="458"/>
        <v>6.3179407648035806</v>
      </c>
      <c r="AC552">
        <v>1</v>
      </c>
      <c r="AD552">
        <f t="shared" si="442"/>
        <v>279.48110869224001</v>
      </c>
      <c r="AE552">
        <f t="shared" si="443"/>
        <v>-0.44515400901886598</v>
      </c>
      <c r="AF552">
        <f t="shared" si="444"/>
        <v>5.1500128311449997E-2</v>
      </c>
      <c r="AG552">
        <f t="shared" ref="AG552:AG615" si="473">AC552*AE552/(AE552^2+AF552^2)+AD552*AF552/(AE552^2+AF552^2)</f>
        <v>69.457977503254227</v>
      </c>
      <c r="AH552">
        <f t="shared" ref="AH552:AH615" si="474">AD552*AE552/(AE552^2+AF552^2)-AC552*AF552/(AE552^2+AF552^2)</f>
        <v>-619.79451683849834</v>
      </c>
      <c r="AJ552">
        <f t="shared" si="445"/>
        <v>18000</v>
      </c>
      <c r="AK552">
        <f t="shared" si="446"/>
        <v>252297.53581032003</v>
      </c>
      <c r="AL552">
        <v>1</v>
      </c>
      <c r="AM552">
        <f t="shared" si="447"/>
        <v>434.51242278443999</v>
      </c>
      <c r="AN552">
        <f t="shared" ref="AN552:AN615" si="475">AJ552*AL552/(AL552^2+AM552^2)+AK552*AM552/(AL552^2+AM552^2)</f>
        <v>580.73742382268881</v>
      </c>
      <c r="AO552">
        <f t="shared" ref="AO552:AO615" si="476">AK552*AL552/(AL552^2+AM552^2)-AJ552*AM552/(AL552^2+AM552^2)</f>
        <v>-40.089216470616179</v>
      </c>
      <c r="AQ552">
        <f t="shared" si="448"/>
        <v>8.7531941499602469E-4</v>
      </c>
      <c r="AR552">
        <f t="shared" si="449"/>
        <v>-2.9585796226865635</v>
      </c>
      <c r="AT552">
        <f t="shared" si="470"/>
        <v>-1833.6506298550103</v>
      </c>
      <c r="AU552">
        <f t="shared" si="471"/>
        <v>-206.03947504804651</v>
      </c>
      <c r="AV552">
        <f t="shared" si="459"/>
        <v>-3.0296962939329393</v>
      </c>
      <c r="AW552">
        <f t="shared" si="460"/>
        <v>536.72201066854132</v>
      </c>
      <c r="AX552">
        <f t="shared" si="461"/>
        <v>-2486.3896674101857</v>
      </c>
      <c r="AY552">
        <f t="shared" si="469"/>
        <v>-1.358194490644858</v>
      </c>
      <c r="BA552">
        <f t="shared" si="450"/>
        <v>0.72540768258948873</v>
      </c>
      <c r="BB552">
        <f t="shared" si="462"/>
        <v>-2.7883569848014162</v>
      </c>
      <c r="BC552">
        <f t="shared" si="463"/>
        <v>-1.6715018032880813</v>
      </c>
      <c r="BD552">
        <f t="shared" si="451"/>
        <v>-275.76999888634657</v>
      </c>
      <c r="BF552">
        <f t="shared" si="452"/>
        <v>-59.867354267865267</v>
      </c>
      <c r="BG552">
        <f t="shared" si="453"/>
        <v>-189.79524874627359</v>
      </c>
      <c r="BH552">
        <f t="shared" si="464"/>
        <v>-9.795248746273586</v>
      </c>
      <c r="BI552">
        <f t="shared" si="465"/>
        <v>-9.795248746273586</v>
      </c>
      <c r="BJ552">
        <f t="shared" si="454"/>
        <v>0</v>
      </c>
      <c r="BK552">
        <f t="shared" si="466"/>
        <v>0</v>
      </c>
      <c r="BM552">
        <f t="shared" si="467"/>
        <v>-57.078997283063842</v>
      </c>
      <c r="BN552">
        <f t="shared" si="455"/>
        <v>-94.025249859927015</v>
      </c>
      <c r="BQ552" s="56">
        <f t="shared" si="468"/>
        <v>14.113603815483721</v>
      </c>
    </row>
    <row r="553" spans="1:69" x14ac:dyDescent="0.25">
      <c r="A553">
        <f t="shared" si="472"/>
        <v>1695000</v>
      </c>
      <c r="B553">
        <f t="shared" si="456"/>
        <v>1695</v>
      </c>
      <c r="C553">
        <f t="shared" si="425"/>
        <v>14.093520851292874</v>
      </c>
      <c r="D553">
        <f t="shared" si="426"/>
        <v>1.499782063602654</v>
      </c>
      <c r="F553">
        <f t="shared" si="427"/>
        <v>6.6016102754894882E-6</v>
      </c>
      <c r="G553">
        <f t="shared" si="428"/>
        <v>9.6693002647348775E-4</v>
      </c>
      <c r="H553">
        <f t="shared" si="429"/>
        <v>-3.1406257199735266</v>
      </c>
      <c r="J553">
        <f t="shared" si="430"/>
        <v>15</v>
      </c>
      <c r="M553">
        <f t="shared" si="431"/>
        <v>1.0755638223989862E-3</v>
      </c>
      <c r="N553">
        <f t="shared" si="432"/>
        <v>-1.5707963250000001</v>
      </c>
      <c r="O553">
        <f t="shared" si="433"/>
        <v>280.30975962435639</v>
      </c>
      <c r="P553">
        <f t="shared" si="434"/>
        <v>1.5672288373057444</v>
      </c>
      <c r="Q553">
        <f t="shared" si="435"/>
        <v>435.79910981595606</v>
      </c>
      <c r="R553">
        <f t="shared" si="436"/>
        <v>1.5685016895296142</v>
      </c>
      <c r="S553">
        <f t="shared" si="437"/>
        <v>7.0954590449856594E-2</v>
      </c>
      <c r="T553">
        <f t="shared" si="438"/>
        <v>-1.499782063602654</v>
      </c>
      <c r="U553">
        <f t="shared" si="439"/>
        <v>0.1145895019456874</v>
      </c>
      <c r="V553">
        <f t="shared" si="440"/>
        <v>-1.4559545569513968</v>
      </c>
      <c r="X553">
        <f t="shared" si="457"/>
        <v>-56.531065663820485</v>
      </c>
      <c r="Y553">
        <f t="shared" si="441"/>
        <v>-173.70052527851487</v>
      </c>
      <c r="Z553">
        <f t="shared" si="458"/>
        <v>6.2994747214851259</v>
      </c>
      <c r="AC553">
        <v>1</v>
      </c>
      <c r="AD553">
        <f t="shared" si="442"/>
        <v>280.30797587772003</v>
      </c>
      <c r="AE553">
        <f t="shared" si="443"/>
        <v>-0.44779195292931878</v>
      </c>
      <c r="AF553">
        <f t="shared" si="444"/>
        <v>5.1652495554974996E-2</v>
      </c>
      <c r="AG553">
        <f t="shared" si="473"/>
        <v>69.054173127554606</v>
      </c>
      <c r="AH553">
        <f t="shared" si="474"/>
        <v>-618.0127929875473</v>
      </c>
      <c r="AJ553">
        <f t="shared" si="445"/>
        <v>18000</v>
      </c>
      <c r="AK553">
        <f t="shared" si="446"/>
        <v>253043.97822396</v>
      </c>
      <c r="AL553">
        <v>1</v>
      </c>
      <c r="AM553">
        <f t="shared" si="447"/>
        <v>435.79796249681999</v>
      </c>
      <c r="AN553">
        <f t="shared" si="475"/>
        <v>580.73688030665994</v>
      </c>
      <c r="AO553">
        <f t="shared" si="476"/>
        <v>-39.970960442065973</v>
      </c>
      <c r="AQ553">
        <f t="shared" si="448"/>
        <v>8.7016290580808507E-4</v>
      </c>
      <c r="AR553">
        <f t="shared" si="449"/>
        <v>-2.9498522506894083</v>
      </c>
      <c r="AT553">
        <f t="shared" si="470"/>
        <v>-1822.9863399692169</v>
      </c>
      <c r="AU553">
        <f t="shared" si="471"/>
        <v>-204.23737982758564</v>
      </c>
      <c r="AV553">
        <f t="shared" si="459"/>
        <v>-3.0300233879932641</v>
      </c>
      <c r="AW553">
        <f t="shared" si="460"/>
        <v>536.98649502714511</v>
      </c>
      <c r="AX553">
        <f t="shared" si="461"/>
        <v>-2479.1031133125093</v>
      </c>
      <c r="AY553">
        <f t="shared" si="469"/>
        <v>-1.3574864462628671</v>
      </c>
      <c r="BA553">
        <f t="shared" si="450"/>
        <v>0.72317123645640002</v>
      </c>
      <c r="BB553">
        <f t="shared" si="462"/>
        <v>-2.8151771179295442</v>
      </c>
      <c r="BC553">
        <f t="shared" si="463"/>
        <v>-1.672536941730397</v>
      </c>
      <c r="BD553">
        <f t="shared" si="451"/>
        <v>-275.82930795037078</v>
      </c>
      <c r="BF553">
        <f t="shared" si="452"/>
        <v>-59.919964244144182</v>
      </c>
      <c r="BG553">
        <f t="shared" si="453"/>
        <v>-189.84272440866209</v>
      </c>
      <c r="BH553">
        <f t="shared" si="464"/>
        <v>-9.8427244086620931</v>
      </c>
      <c r="BI553">
        <f t="shared" si="465"/>
        <v>-9.8427244086620931</v>
      </c>
      <c r="BJ553">
        <f t="shared" si="454"/>
        <v>0</v>
      </c>
      <c r="BK553">
        <f t="shared" si="466"/>
        <v>0</v>
      </c>
      <c r="BM553">
        <f t="shared" si="467"/>
        <v>-57.104787126214646</v>
      </c>
      <c r="BN553">
        <f t="shared" si="455"/>
        <v>-94.013416458291331</v>
      </c>
      <c r="BQ553" s="56">
        <f t="shared" si="468"/>
        <v>14.086783682355593</v>
      </c>
    </row>
    <row r="554" spans="1:69" x14ac:dyDescent="0.25">
      <c r="A554">
        <f t="shared" si="472"/>
        <v>1700000</v>
      </c>
      <c r="B554">
        <f t="shared" si="456"/>
        <v>1700</v>
      </c>
      <c r="C554">
        <f t="shared" si="425"/>
        <v>14.134885659794453</v>
      </c>
      <c r="D554">
        <f t="shared" si="426"/>
        <v>1.4999902306606672</v>
      </c>
      <c r="F554">
        <f t="shared" si="427"/>
        <v>6.5628341432679978E-6</v>
      </c>
      <c r="G554">
        <f t="shared" si="428"/>
        <v>9.6408607879251815E-4</v>
      </c>
      <c r="H554">
        <f t="shared" si="429"/>
        <v>-3.1406285639212075</v>
      </c>
      <c r="J554">
        <f t="shared" si="430"/>
        <v>15</v>
      </c>
      <c r="M554">
        <f t="shared" si="431"/>
        <v>1.0724003993919304E-3</v>
      </c>
      <c r="N554">
        <f t="shared" si="432"/>
        <v>-1.5707963250000001</v>
      </c>
      <c r="O554">
        <f t="shared" si="433"/>
        <v>281.13662156355599</v>
      </c>
      <c r="P554">
        <f t="shared" si="434"/>
        <v>1.5672393298332552</v>
      </c>
      <c r="Q554">
        <f t="shared" si="435"/>
        <v>437.08464615387686</v>
      </c>
      <c r="R554">
        <f t="shared" si="436"/>
        <v>1.5685084384391614</v>
      </c>
      <c r="S554">
        <f t="shared" si="437"/>
        <v>7.0746946531334176E-2</v>
      </c>
      <c r="T554">
        <f t="shared" si="438"/>
        <v>-1.4999902306606672</v>
      </c>
      <c r="U554">
        <f t="shared" si="439"/>
        <v>0.11425688017989151</v>
      </c>
      <c r="V554">
        <f t="shared" si="440"/>
        <v>-1.4562893777892569</v>
      </c>
      <c r="X554">
        <f t="shared" si="457"/>
        <v>-56.581900223796396</v>
      </c>
      <c r="Y554">
        <f t="shared" si="441"/>
        <v>-173.71888418406141</v>
      </c>
      <c r="Z554">
        <f t="shared" si="458"/>
        <v>6.2811158159385911</v>
      </c>
      <c r="AC554">
        <v>1</v>
      </c>
      <c r="AD554">
        <f t="shared" si="442"/>
        <v>281.13484306320004</v>
      </c>
      <c r="AE554">
        <f t="shared" si="443"/>
        <v>-0.45043768987938887</v>
      </c>
      <c r="AF554">
        <f t="shared" si="444"/>
        <v>5.1804862798499995E-2</v>
      </c>
      <c r="AG554">
        <f t="shared" si="473"/>
        <v>68.653864471249221</v>
      </c>
      <c r="AH554">
        <f t="shared" si="474"/>
        <v>-616.24114782225638</v>
      </c>
      <c r="AJ554">
        <f t="shared" si="445"/>
        <v>18000</v>
      </c>
      <c r="AK554">
        <f t="shared" si="446"/>
        <v>253790.42063760001</v>
      </c>
      <c r="AL554">
        <v>1</v>
      </c>
      <c r="AM554">
        <f t="shared" si="447"/>
        <v>437.08350220919999</v>
      </c>
      <c r="AN554">
        <f t="shared" si="475"/>
        <v>580.73634157927154</v>
      </c>
      <c r="AO554">
        <f t="shared" si="476"/>
        <v>-39.853400026257219</v>
      </c>
      <c r="AQ554">
        <f t="shared" si="448"/>
        <v>8.6505182828271383E-4</v>
      </c>
      <c r="AR554">
        <f t="shared" si="449"/>
        <v>-2.9411762161612272</v>
      </c>
      <c r="AT554">
        <f t="shared" si="470"/>
        <v>-1812.414418243736</v>
      </c>
      <c r="AU554">
        <f t="shared" si="471"/>
        <v>-202.45619386198118</v>
      </c>
      <c r="AV554">
        <f t="shared" si="459"/>
        <v>-3.0303485839072168</v>
      </c>
      <c r="AW554">
        <f t="shared" si="460"/>
        <v>537.24858295941033</v>
      </c>
      <c r="AX554">
        <f t="shared" si="461"/>
        <v>-2471.8590078779794</v>
      </c>
      <c r="AY554">
        <f t="shared" si="469"/>
        <v>-1.3567789363887985</v>
      </c>
      <c r="BA554">
        <f t="shared" si="450"/>
        <v>0.72094754024162344</v>
      </c>
      <c r="BB554">
        <f t="shared" si="462"/>
        <v>-2.8419267115050917</v>
      </c>
      <c r="BC554">
        <f t="shared" si="463"/>
        <v>-1.6735696475184183</v>
      </c>
      <c r="BD554">
        <f t="shared" si="451"/>
        <v>-275.88847763357074</v>
      </c>
      <c r="BF554">
        <f t="shared" si="452"/>
        <v>-59.972426958605297</v>
      </c>
      <c r="BG554">
        <f t="shared" si="453"/>
        <v>-189.89012994419008</v>
      </c>
      <c r="BH554">
        <f t="shared" si="464"/>
        <v>-9.890129944190079</v>
      </c>
      <c r="BI554">
        <f t="shared" si="465"/>
        <v>-9.890129944190079</v>
      </c>
      <c r="BJ554">
        <f t="shared" si="454"/>
        <v>0</v>
      </c>
      <c r="BK554">
        <f t="shared" si="466"/>
        <v>0</v>
      </c>
      <c r="BM554">
        <f t="shared" si="467"/>
        <v>-57.130500247100215</v>
      </c>
      <c r="BN554">
        <f t="shared" si="455"/>
        <v>-94.001652310619349</v>
      </c>
      <c r="BQ554" s="56">
        <f t="shared" si="468"/>
        <v>14.060034088780045</v>
      </c>
    </row>
    <row r="555" spans="1:69" x14ac:dyDescent="0.25">
      <c r="A555">
        <f t="shared" si="472"/>
        <v>1705000</v>
      </c>
      <c r="B555">
        <f t="shared" si="456"/>
        <v>1705</v>
      </c>
      <c r="C555">
        <f t="shared" si="425"/>
        <v>14.176251077235916</v>
      </c>
      <c r="D555">
        <f t="shared" si="426"/>
        <v>1.5001971828905925</v>
      </c>
      <c r="F555">
        <f t="shared" si="427"/>
        <v>6.5243986523652554E-6</v>
      </c>
      <c r="G555">
        <f t="shared" si="428"/>
        <v>9.6125881147050873E-4</v>
      </c>
      <c r="H555">
        <f t="shared" si="429"/>
        <v>-3.1406313911885295</v>
      </c>
      <c r="J555">
        <f t="shared" si="430"/>
        <v>15</v>
      </c>
      <c r="M555">
        <f t="shared" si="431"/>
        <v>1.0692555301855023E-3</v>
      </c>
      <c r="N555">
        <f t="shared" si="432"/>
        <v>-1.5707963250000001</v>
      </c>
      <c r="O555">
        <f t="shared" si="433"/>
        <v>281.96348353352533</v>
      </c>
      <c r="P555">
        <f t="shared" si="434"/>
        <v>1.5672497608217917</v>
      </c>
      <c r="Q555">
        <f t="shared" si="435"/>
        <v>438.37018251158912</v>
      </c>
      <c r="R555">
        <f t="shared" si="436"/>
        <v>1.5685151477658681</v>
      </c>
      <c r="S555">
        <f t="shared" si="437"/>
        <v>7.054051134899765E-2</v>
      </c>
      <c r="T555">
        <f t="shared" si="438"/>
        <v>-1.5001971828905925</v>
      </c>
      <c r="U555">
        <f t="shared" si="439"/>
        <v>0.1139261711828554</v>
      </c>
      <c r="V555">
        <f t="shared" si="440"/>
        <v>-1.4566222604306311</v>
      </c>
      <c r="X555">
        <f t="shared" si="457"/>
        <v>-56.632587418523286</v>
      </c>
      <c r="Y555">
        <f t="shared" si="441"/>
        <v>-173.73713687726831</v>
      </c>
      <c r="Z555">
        <f t="shared" si="458"/>
        <v>6.2628631227316873</v>
      </c>
      <c r="AC555">
        <v>1</v>
      </c>
      <c r="AD555">
        <f t="shared" si="442"/>
        <v>281.96171024867999</v>
      </c>
      <c r="AE555">
        <f t="shared" si="443"/>
        <v>-0.45309121986907619</v>
      </c>
      <c r="AF555">
        <f t="shared" si="444"/>
        <v>5.1957230042024995E-2</v>
      </c>
      <c r="AG555">
        <f t="shared" si="473"/>
        <v>68.257011478949124</v>
      </c>
      <c r="AH555">
        <f t="shared" si="474"/>
        <v>-614.47949726710021</v>
      </c>
      <c r="AJ555">
        <f t="shared" si="445"/>
        <v>18000</v>
      </c>
      <c r="AK555">
        <f t="shared" si="446"/>
        <v>254536.86305124004</v>
      </c>
      <c r="AL555">
        <v>1</v>
      </c>
      <c r="AM555">
        <f t="shared" si="447"/>
        <v>438.36904192157999</v>
      </c>
      <c r="AN555">
        <f t="shared" si="475"/>
        <v>580.73580758443461</v>
      </c>
      <c r="AO555">
        <f t="shared" si="476"/>
        <v>-39.736529103557693</v>
      </c>
      <c r="AQ555">
        <f t="shared" si="448"/>
        <v>8.5998565027943941E-4</v>
      </c>
      <c r="AR555">
        <f t="shared" si="449"/>
        <v>-2.9325510674528883</v>
      </c>
      <c r="AT555">
        <f t="shared" si="470"/>
        <v>-1801.933805588146</v>
      </c>
      <c r="AU555">
        <f t="shared" si="471"/>
        <v>-200.69561542377693</v>
      </c>
      <c r="AV555">
        <f t="shared" si="459"/>
        <v>-3.0306718980750742</v>
      </c>
      <c r="AW555">
        <f t="shared" si="460"/>
        <v>537.50830348421323</v>
      </c>
      <c r="AX555">
        <f t="shared" si="461"/>
        <v>-2464.6569823771583</v>
      </c>
      <c r="AY555">
        <f t="shared" si="469"/>
        <v>-1.3560719582903888</v>
      </c>
      <c r="BA555">
        <f t="shared" si="450"/>
        <v>0.71873648369545751</v>
      </c>
      <c r="BB555">
        <f t="shared" si="462"/>
        <v>-2.8686061882841276</v>
      </c>
      <c r="BC555">
        <f t="shared" si="463"/>
        <v>-1.6745999397846854</v>
      </c>
      <c r="BD555">
        <f t="shared" si="451"/>
        <v>-275.94750903216027</v>
      </c>
      <c r="BF555">
        <f t="shared" si="452"/>
        <v>-60.024743291254936</v>
      </c>
      <c r="BG555">
        <f t="shared" si="453"/>
        <v>-189.93746584391582</v>
      </c>
      <c r="BH555">
        <f t="shared" si="464"/>
        <v>-9.9374658439158168</v>
      </c>
      <c r="BI555">
        <f t="shared" si="465"/>
        <v>-9.9374658439158168</v>
      </c>
      <c r="BJ555">
        <f t="shared" si="454"/>
        <v>0</v>
      </c>
      <c r="BK555">
        <f t="shared" si="466"/>
        <v>0</v>
      </c>
      <c r="BM555">
        <f t="shared" si="467"/>
        <v>-57.156137102970803</v>
      </c>
      <c r="BN555">
        <f t="shared" si="455"/>
        <v>-93.989956811755548</v>
      </c>
      <c r="BQ555" s="56">
        <f t="shared" si="468"/>
        <v>14.033354612001009</v>
      </c>
    </row>
    <row r="556" spans="1:69" x14ac:dyDescent="0.25">
      <c r="A556">
        <f t="shared" si="472"/>
        <v>1710000</v>
      </c>
      <c r="B556">
        <f t="shared" si="456"/>
        <v>1710</v>
      </c>
      <c r="C556">
        <f t="shared" si="425"/>
        <v>14.217617098302231</v>
      </c>
      <c r="D556">
        <f t="shared" si="426"/>
        <v>1.500402930878217</v>
      </c>
      <c r="F556">
        <f t="shared" si="427"/>
        <v>6.4862998244623625E-6</v>
      </c>
      <c r="G556">
        <f t="shared" si="428"/>
        <v>9.5844807818486622E-4</v>
      </c>
      <c r="H556">
        <f t="shared" si="429"/>
        <v>-3.1406342019218152</v>
      </c>
      <c r="J556">
        <f t="shared" si="430"/>
        <v>15</v>
      </c>
      <c r="M556">
        <f t="shared" si="431"/>
        <v>1.0661290520270652E-3</v>
      </c>
      <c r="N556">
        <f t="shared" si="432"/>
        <v>-1.5707963250000001</v>
      </c>
      <c r="O556">
        <f t="shared" si="433"/>
        <v>282.79034553399435</v>
      </c>
      <c r="P556">
        <f t="shared" si="434"/>
        <v>1.5672601308111602</v>
      </c>
      <c r="Q556">
        <f t="shared" si="435"/>
        <v>439.65571888891924</v>
      </c>
      <c r="R556">
        <f t="shared" si="436"/>
        <v>1.5685218178569498</v>
      </c>
      <c r="S556">
        <f t="shared" si="437"/>
        <v>7.0335274405400411E-2</v>
      </c>
      <c r="T556">
        <f t="shared" si="438"/>
        <v>-1.500402930878217</v>
      </c>
      <c r="U556">
        <f t="shared" si="439"/>
        <v>0.1135973586122981</v>
      </c>
      <c r="V556">
        <f t="shared" si="440"/>
        <v>-1.4569532215834338</v>
      </c>
      <c r="X556">
        <f t="shared" si="457"/>
        <v>-56.683128094472053</v>
      </c>
      <c r="Y556">
        <f t="shared" si="441"/>
        <v>-173.75528427298966</v>
      </c>
      <c r="Z556">
        <f t="shared" si="458"/>
        <v>6.2447157270103446</v>
      </c>
      <c r="AC556">
        <v>1</v>
      </c>
      <c r="AD556">
        <f t="shared" si="442"/>
        <v>282.78857743416</v>
      </c>
      <c r="AE556">
        <f t="shared" si="443"/>
        <v>-0.45575254289838085</v>
      </c>
      <c r="AF556">
        <f t="shared" si="444"/>
        <v>5.2109597285549994E-2</v>
      </c>
      <c r="AG556">
        <f t="shared" si="473"/>
        <v>67.863574664772841</v>
      </c>
      <c r="AH556">
        <f t="shared" si="474"/>
        <v>-612.72775816477611</v>
      </c>
      <c r="AJ556">
        <f t="shared" si="445"/>
        <v>18000</v>
      </c>
      <c r="AK556">
        <f t="shared" si="446"/>
        <v>255283.30546488002</v>
      </c>
      <c r="AL556">
        <v>1</v>
      </c>
      <c r="AM556">
        <f t="shared" si="447"/>
        <v>439.65458163395999</v>
      </c>
      <c r="AN556">
        <f t="shared" si="475"/>
        <v>580.73527826687882</v>
      </c>
      <c r="AO556">
        <f t="shared" si="476"/>
        <v>-39.620341625907926</v>
      </c>
      <c r="AQ556">
        <f t="shared" si="448"/>
        <v>8.549638474262297E-4</v>
      </c>
      <c r="AR556">
        <f t="shared" si="449"/>
        <v>-2.9239763581977054</v>
      </c>
      <c r="AT556">
        <f t="shared" si="470"/>
        <v>-1791.5434579823909</v>
      </c>
      <c r="AU556">
        <f t="shared" si="471"/>
        <v>-198.95534798412595</v>
      </c>
      <c r="AV556">
        <f t="shared" si="459"/>
        <v>-3.0309933467095806</v>
      </c>
      <c r="AW556">
        <f t="shared" si="460"/>
        <v>537.76568518053728</v>
      </c>
      <c r="AX556">
        <f t="shared" si="461"/>
        <v>-2457.4966723264006</v>
      </c>
      <c r="AY556">
        <f t="shared" si="469"/>
        <v>-1.355365509275692</v>
      </c>
      <c r="BA556">
        <f t="shared" si="450"/>
        <v>0.7165379578364236</v>
      </c>
      <c r="BB556">
        <f t="shared" si="462"/>
        <v>-2.895215967377073</v>
      </c>
      <c r="BC556">
        <f t="shared" si="463"/>
        <v>-1.6756278374338887</v>
      </c>
      <c r="BD556">
        <f t="shared" si="451"/>
        <v>-276.00640322929837</v>
      </c>
      <c r="BF556">
        <f t="shared" si="452"/>
        <v>-60.076914114360484</v>
      </c>
      <c r="BG556">
        <f t="shared" si="453"/>
        <v>-189.98473259286101</v>
      </c>
      <c r="BH556">
        <f t="shared" si="464"/>
        <v>-9.9847325928610076</v>
      </c>
      <c r="BI556">
        <f t="shared" si="465"/>
        <v>-9.9847325928610076</v>
      </c>
      <c r="BJ556">
        <f t="shared" si="454"/>
        <v>0</v>
      </c>
      <c r="BK556">
        <f t="shared" si="466"/>
        <v>0</v>
      </c>
      <c r="BM556">
        <f t="shared" si="467"/>
        <v>-57.181698146983415</v>
      </c>
      <c r="BN556">
        <f t="shared" si="455"/>
        <v>-93.978329363562665</v>
      </c>
      <c r="BQ556" s="56">
        <f t="shared" si="468"/>
        <v>14.006744832908065</v>
      </c>
    </row>
    <row r="557" spans="1:69" x14ac:dyDescent="0.25">
      <c r="A557">
        <f t="shared" si="472"/>
        <v>1715000</v>
      </c>
      <c r="B557">
        <f t="shared" si="456"/>
        <v>1715</v>
      </c>
      <c r="C557">
        <f t="shared" si="425"/>
        <v>14.258983717739959</v>
      </c>
      <c r="D557">
        <f t="shared" si="426"/>
        <v>1.5006074850868969</v>
      </c>
      <c r="F557">
        <f t="shared" si="427"/>
        <v>6.448533739149458E-6</v>
      </c>
      <c r="G557">
        <f t="shared" si="428"/>
        <v>9.5565373431943511E-4</v>
      </c>
      <c r="H557">
        <f t="shared" si="429"/>
        <v>-3.1406369962656808</v>
      </c>
      <c r="J557">
        <f t="shared" si="430"/>
        <v>15</v>
      </c>
      <c r="M557">
        <f t="shared" si="431"/>
        <v>1.0630208040619718E-3</v>
      </c>
      <c r="N557">
        <f t="shared" si="432"/>
        <v>-1.5707963250000001</v>
      </c>
      <c r="O557">
        <f t="shared" si="433"/>
        <v>283.6172075646964</v>
      </c>
      <c r="P557">
        <f t="shared" si="434"/>
        <v>1.5672704403348725</v>
      </c>
      <c r="Q557">
        <f t="shared" si="435"/>
        <v>440.94125528569566</v>
      </c>
      <c r="R557">
        <f t="shared" si="436"/>
        <v>1.5685284490555724</v>
      </c>
      <c r="S557">
        <f t="shared" si="437"/>
        <v>7.0131225323995225E-2</v>
      </c>
      <c r="T557">
        <f t="shared" si="438"/>
        <v>-1.5006074850868969</v>
      </c>
      <c r="U557">
        <f t="shared" si="439"/>
        <v>0.1132704263103079</v>
      </c>
      <c r="V557">
        <f t="shared" si="440"/>
        <v>-1.4572822777649328</v>
      </c>
      <c r="X557">
        <f t="shared" si="457"/>
        <v>-56.733523090887815</v>
      </c>
      <c r="Y557">
        <f t="shared" si="441"/>
        <v>-173.77332727565118</v>
      </c>
      <c r="Z557">
        <f t="shared" si="458"/>
        <v>6.2266727243488162</v>
      </c>
      <c r="AC557">
        <v>1</v>
      </c>
      <c r="AD557">
        <f t="shared" si="442"/>
        <v>283.61544461964002</v>
      </c>
      <c r="AE557">
        <f t="shared" si="443"/>
        <v>-0.45842165896730286</v>
      </c>
      <c r="AF557">
        <f t="shared" si="444"/>
        <v>5.2261964529074993E-2</v>
      </c>
      <c r="AG557">
        <f t="shared" si="473"/>
        <v>67.473515102701398</v>
      </c>
      <c r="AH557">
        <f t="shared" si="474"/>
        <v>-610.98584826391914</v>
      </c>
      <c r="AJ557">
        <f t="shared" si="445"/>
        <v>18000</v>
      </c>
      <c r="AK557">
        <f t="shared" si="446"/>
        <v>256029.74787852002</v>
      </c>
      <c r="AL557">
        <v>1</v>
      </c>
      <c r="AM557">
        <f t="shared" si="447"/>
        <v>440.94012134633999</v>
      </c>
      <c r="AN557">
        <f t="shared" si="475"/>
        <v>580.73475357213886</v>
      </c>
      <c r="AO557">
        <f t="shared" si="476"/>
        <v>-39.50483161577796</v>
      </c>
      <c r="AQ557">
        <f t="shared" si="448"/>
        <v>8.49985902983799E-4</v>
      </c>
      <c r="AR557">
        <f t="shared" si="449"/>
        <v>-2.9154516472344305</v>
      </c>
      <c r="AT557">
        <f t="shared" si="470"/>
        <v>-1781.2423462213069</v>
      </c>
      <c r="AU557">
        <f t="shared" si="471"/>
        <v>-197.23510010881495</v>
      </c>
      <c r="AV557">
        <f t="shared" si="459"/>
        <v>-3.0313129458386094</v>
      </c>
      <c r="AW557">
        <f t="shared" si="460"/>
        <v>538.020756195481</v>
      </c>
      <c r="AX557">
        <f t="shared" si="461"/>
        <v>-2450.3777174270904</v>
      </c>
      <c r="AY557">
        <f t="shared" si="469"/>
        <v>-1.3546595866924096</v>
      </c>
      <c r="BA557">
        <f t="shared" si="450"/>
        <v>0.71435185493315656</v>
      </c>
      <c r="BB557">
        <f t="shared" si="462"/>
        <v>-2.9217564642896998</v>
      </c>
      <c r="BC557">
        <f t="shared" si="463"/>
        <v>-1.6766533591461998</v>
      </c>
      <c r="BD557">
        <f t="shared" si="451"/>
        <v>-276.06516129527995</v>
      </c>
      <c r="BF557">
        <f t="shared" si="452"/>
        <v>-60.128940292540406</v>
      </c>
      <c r="BG557">
        <f t="shared" si="453"/>
        <v>-190.03193067010039</v>
      </c>
      <c r="BH557">
        <f t="shared" si="464"/>
        <v>-10.031930670100394</v>
      </c>
      <c r="BI557">
        <f t="shared" si="465"/>
        <v>-10.031930670100394</v>
      </c>
      <c r="BJ557">
        <f t="shared" si="454"/>
        <v>0</v>
      </c>
      <c r="BK557">
        <f t="shared" si="466"/>
        <v>0</v>
      </c>
      <c r="BM557">
        <f t="shared" si="467"/>
        <v>-57.207183828250699</v>
      </c>
      <c r="BN557">
        <f t="shared" si="455"/>
        <v>-93.966769374820458</v>
      </c>
      <c r="BQ557" s="56">
        <f t="shared" si="468"/>
        <v>13.980204335995436</v>
      </c>
    </row>
    <row r="558" spans="1:69" x14ac:dyDescent="0.25">
      <c r="A558">
        <f t="shared" si="472"/>
        <v>1720000</v>
      </c>
      <c r="B558">
        <f t="shared" si="456"/>
        <v>1720</v>
      </c>
      <c r="C558">
        <f t="shared" si="425"/>
        <v>14.300350930356373</v>
      </c>
      <c r="D558">
        <f t="shared" si="426"/>
        <v>1.5008108558593196</v>
      </c>
      <c r="F558">
        <f t="shared" si="427"/>
        <v>6.4110965329171148E-6</v>
      </c>
      <c r="G558">
        <f t="shared" si="428"/>
        <v>9.5287563693969668E-4</v>
      </c>
      <c r="H558">
        <f t="shared" si="429"/>
        <v>-3.1406397743630605</v>
      </c>
      <c r="J558">
        <f t="shared" si="430"/>
        <v>15</v>
      </c>
      <c r="M558">
        <f t="shared" si="431"/>
        <v>1.0599306273059777E-3</v>
      </c>
      <c r="N558">
        <f t="shared" si="432"/>
        <v>-1.5707963250000001</v>
      </c>
      <c r="O558">
        <f t="shared" si="433"/>
        <v>284.44406962536789</v>
      </c>
      <c r="P558">
        <f t="shared" si="434"/>
        <v>1.5672806899202363</v>
      </c>
      <c r="Q558">
        <f t="shared" si="435"/>
        <v>442.22679170174877</v>
      </c>
      <c r="R558">
        <f t="shared" si="436"/>
        <v>1.5685350417009125</v>
      </c>
      <c r="S558">
        <f t="shared" si="437"/>
        <v>6.9928353847403077E-2</v>
      </c>
      <c r="T558">
        <f t="shared" si="438"/>
        <v>-1.5008108558593196</v>
      </c>
      <c r="U558">
        <f t="shared" si="439"/>
        <v>0.11294535830076845</v>
      </c>
      <c r="V558">
        <f t="shared" si="440"/>
        <v>-1.4576094453044497</v>
      </c>
      <c r="X558">
        <f t="shared" si="457"/>
        <v>-56.783773239871429</v>
      </c>
      <c r="Y558">
        <f t="shared" si="441"/>
        <v>-173.79126677939769</v>
      </c>
      <c r="Z558">
        <f t="shared" si="458"/>
        <v>6.208733220602312</v>
      </c>
      <c r="AC558">
        <v>1</v>
      </c>
      <c r="AD558">
        <f t="shared" si="442"/>
        <v>284.44231180511997</v>
      </c>
      <c r="AE558">
        <f t="shared" si="443"/>
        <v>-0.4610985680758421</v>
      </c>
      <c r="AF558">
        <f t="shared" si="444"/>
        <v>5.2414331772599992E-2</v>
      </c>
      <c r="AG558">
        <f t="shared" si="473"/>
        <v>67.086794417122846</v>
      </c>
      <c r="AH558">
        <f t="shared" si="474"/>
        <v>-609.25368620700988</v>
      </c>
      <c r="AJ558">
        <f t="shared" si="445"/>
        <v>18000</v>
      </c>
      <c r="AK558">
        <f t="shared" si="446"/>
        <v>256776.19029216</v>
      </c>
      <c r="AL558">
        <v>1</v>
      </c>
      <c r="AM558">
        <f t="shared" si="447"/>
        <v>442.22566105871999</v>
      </c>
      <c r="AN558">
        <f t="shared" si="475"/>
        <v>580.73423344653986</v>
      </c>
      <c r="AO558">
        <f t="shared" si="476"/>
        <v>-39.389993165142172</v>
      </c>
      <c r="AQ558">
        <f t="shared" si="448"/>
        <v>8.4505130771267347E-4</v>
      </c>
      <c r="AR558">
        <f t="shared" si="449"/>
        <v>-2.9069764985315967</v>
      </c>
      <c r="AT558">
        <f t="shared" si="470"/>
        <v>-1771.0294556641693</v>
      </c>
      <c r="AU558">
        <f t="shared" si="471"/>
        <v>-195.53458535665484</v>
      </c>
      <c r="AV558">
        <f t="shared" si="459"/>
        <v>-3.0316307113077765</v>
      </c>
      <c r="AW558">
        <f t="shared" si="460"/>
        <v>538.27354425209364</v>
      </c>
      <c r="AX558">
        <f t="shared" si="461"/>
        <v>-2443.2997615059148</v>
      </c>
      <c r="AY558">
        <f t="shared" si="469"/>
        <v>-1.3539541879272359</v>
      </c>
      <c r="BA558">
        <f t="shared" si="450"/>
        <v>0.71217806848660314</v>
      </c>
      <c r="BB558">
        <f t="shared" si="462"/>
        <v>-2.9482280909635694</v>
      </c>
      <c r="BC558">
        <f t="shared" si="463"/>
        <v>-1.6776765233805406</v>
      </c>
      <c r="BD558">
        <f t="shared" si="451"/>
        <v>-276.12378428772342</v>
      </c>
      <c r="BF558">
        <f t="shared" si="452"/>
        <v>-60.180822682852757</v>
      </c>
      <c r="BG558">
        <f t="shared" si="453"/>
        <v>-190.07906054884953</v>
      </c>
      <c r="BH558">
        <f t="shared" si="464"/>
        <v>-10.079060548849526</v>
      </c>
      <c r="BI558">
        <f t="shared" si="465"/>
        <v>-10.079060548849526</v>
      </c>
      <c r="BJ558">
        <f t="shared" si="454"/>
        <v>0</v>
      </c>
      <c r="BK558">
        <f t="shared" si="466"/>
        <v>0</v>
      </c>
      <c r="BM558">
        <f t="shared" si="467"/>
        <v>-57.232594591889182</v>
      </c>
      <c r="BN558">
        <f t="shared" si="455"/>
        <v>-93.955276261126144</v>
      </c>
      <c r="BQ558" s="56">
        <f t="shared" si="468"/>
        <v>13.953732709321567</v>
      </c>
    </row>
    <row r="559" spans="1:69" x14ac:dyDescent="0.25">
      <c r="A559">
        <f t="shared" si="472"/>
        <v>1725000</v>
      </c>
      <c r="B559">
        <f t="shared" si="456"/>
        <v>1725</v>
      </c>
      <c r="C559">
        <f t="shared" si="425"/>
        <v>14.341718731018585</v>
      </c>
      <c r="D559">
        <f t="shared" si="426"/>
        <v>1.5010130534192354</v>
      </c>
      <c r="F559">
        <f t="shared" si="427"/>
        <v>6.3739843981682002E-6</v>
      </c>
      <c r="G559">
        <f t="shared" si="428"/>
        <v>9.5011364476839378E-4</v>
      </c>
      <c r="H559">
        <f t="shared" si="429"/>
        <v>-3.1406425363552319</v>
      </c>
      <c r="J559">
        <f t="shared" si="430"/>
        <v>15</v>
      </c>
      <c r="M559">
        <f t="shared" si="431"/>
        <v>1.0568583646181342E-3</v>
      </c>
      <c r="N559">
        <f t="shared" si="432"/>
        <v>-1.5707963250000001</v>
      </c>
      <c r="O559">
        <f t="shared" si="433"/>
        <v>285.27093171574808</v>
      </c>
      <c r="P559">
        <f t="shared" si="434"/>
        <v>1.5672908800884462</v>
      </c>
      <c r="Q559">
        <f t="shared" si="435"/>
        <v>443.51232813691092</v>
      </c>
      <c r="R559">
        <f t="shared" si="436"/>
        <v>1.5685415961282136</v>
      </c>
      <c r="S559">
        <f t="shared" si="437"/>
        <v>6.9726649835711696E-2</v>
      </c>
      <c r="T559">
        <f t="shared" si="438"/>
        <v>-1.5010130534192354</v>
      </c>
      <c r="U559">
        <f t="shared" si="439"/>
        <v>0.11262213878682675</v>
      </c>
      <c r="V559">
        <f t="shared" si="440"/>
        <v>-1.4579347403460132</v>
      </c>
      <c r="X559">
        <f t="shared" si="457"/>
        <v>-56.833879366459811</v>
      </c>
      <c r="Y559">
        <f t="shared" si="441"/>
        <v>-173.80910366823824</v>
      </c>
      <c r="Z559">
        <f t="shared" si="458"/>
        <v>6.1908963317617633</v>
      </c>
      <c r="AC559">
        <v>1</v>
      </c>
      <c r="AD559">
        <f t="shared" si="442"/>
        <v>285.26917899060004</v>
      </c>
      <c r="AE559">
        <f t="shared" si="443"/>
        <v>-0.46378327022399868</v>
      </c>
      <c r="AF559">
        <f t="shared" si="444"/>
        <v>5.2566699016124999E-2</v>
      </c>
      <c r="AG559">
        <f t="shared" si="473"/>
        <v>66.703374773561237</v>
      </c>
      <c r="AH559">
        <f t="shared" si="474"/>
        <v>-607.53119151847</v>
      </c>
      <c r="AJ559">
        <f t="shared" si="445"/>
        <v>18000</v>
      </c>
      <c r="AK559">
        <f t="shared" si="446"/>
        <v>257522.63270580003</v>
      </c>
      <c r="AL559">
        <v>1</v>
      </c>
      <c r="AM559">
        <f t="shared" si="447"/>
        <v>443.51120077109994</v>
      </c>
      <c r="AN559">
        <f t="shared" si="475"/>
        <v>580.7337178371838</v>
      </c>
      <c r="AO559">
        <f t="shared" si="476"/>
        <v>-39.275820434472081</v>
      </c>
      <c r="AQ559">
        <f t="shared" si="448"/>
        <v>8.4015955974294811E-4</v>
      </c>
      <c r="AR559">
        <f t="shared" si="449"/>
        <v>-2.8985504811131713</v>
      </c>
      <c r="AT559">
        <f t="shared" si="470"/>
        <v>-1760.9037859891362</v>
      </c>
      <c r="AU559">
        <f t="shared" si="471"/>
        <v>-193.85352218017437</v>
      </c>
      <c r="AV559">
        <f t="shared" si="459"/>
        <v>-3.0319466587830139</v>
      </c>
      <c r="AW559">
        <f t="shared" si="460"/>
        <v>538.52407665704629</v>
      </c>
      <c r="AX559">
        <f t="shared" si="461"/>
        <v>-2436.2624524561529</v>
      </c>
      <c r="AY559">
        <f t="shared" si="469"/>
        <v>-1.3532493104052135</v>
      </c>
      <c r="BA559">
        <f t="shared" si="450"/>
        <v>0.7100164932125228</v>
      </c>
      <c r="BB559">
        <f t="shared" si="462"/>
        <v>-2.9746312558159023</v>
      </c>
      <c r="BC559">
        <f t="shared" si="463"/>
        <v>-1.6786973483778005</v>
      </c>
      <c r="BD559">
        <f t="shared" si="451"/>
        <v>-276.18227325175468</v>
      </c>
      <c r="BF559">
        <f t="shared" si="452"/>
        <v>-60.232562134882585</v>
      </c>
      <c r="BG559">
        <f t="shared" si="453"/>
        <v>-190.12612269655119</v>
      </c>
      <c r="BH559">
        <f t="shared" si="464"/>
        <v>-10.126122696551192</v>
      </c>
      <c r="BI559">
        <f t="shared" si="465"/>
        <v>-10.126122696551192</v>
      </c>
      <c r="BJ559">
        <f t="shared" si="454"/>
        <v>0</v>
      </c>
      <c r="BK559">
        <f t="shared" si="466"/>
        <v>0</v>
      </c>
      <c r="BM559">
        <f t="shared" si="467"/>
        <v>-57.257930879066677</v>
      </c>
      <c r="BN559">
        <f t="shared" si="455"/>
        <v>-93.943849444796527</v>
      </c>
      <c r="BQ559" s="56">
        <f t="shared" si="468"/>
        <v>13.927329544469234</v>
      </c>
    </row>
    <row r="560" spans="1:69" x14ac:dyDescent="0.25">
      <c r="A560">
        <f t="shared" si="472"/>
        <v>1730000</v>
      </c>
      <c r="B560">
        <f t="shared" si="456"/>
        <v>1730</v>
      </c>
      <c r="C560">
        <f t="shared" si="425"/>
        <v>14.383087114652687</v>
      </c>
      <c r="D560">
        <f t="shared" si="426"/>
        <v>1.5012140878731592</v>
      </c>
      <c r="F560">
        <f t="shared" si="427"/>
        <v>6.3371935822496866E-6</v>
      </c>
      <c r="G560">
        <f t="shared" si="428"/>
        <v>9.4736761816158297E-4</v>
      </c>
      <c r="H560">
        <f t="shared" si="429"/>
        <v>-3.1406452823818385</v>
      </c>
      <c r="J560">
        <f t="shared" si="430"/>
        <v>15</v>
      </c>
      <c r="M560">
        <f t="shared" si="431"/>
        <v>1.0538038606741512E-3</v>
      </c>
      <c r="N560">
        <f t="shared" si="432"/>
        <v>-1.5707963250000001</v>
      </c>
      <c r="O560">
        <f t="shared" si="433"/>
        <v>286.09779383557947</v>
      </c>
      <c r="P560">
        <f t="shared" si="434"/>
        <v>1.5673010113546713</v>
      </c>
      <c r="Q560">
        <f t="shared" si="435"/>
        <v>444.79786459101649</v>
      </c>
      <c r="R560">
        <f t="shared" si="436"/>
        <v>1.5685481126688439</v>
      </c>
      <c r="S560">
        <f t="shared" si="437"/>
        <v>6.9526103264803005E-2</v>
      </c>
      <c r="T560">
        <f t="shared" si="438"/>
        <v>-1.5012140878731592</v>
      </c>
      <c r="U560">
        <f t="shared" si="439"/>
        <v>0.11230075214840354</v>
      </c>
      <c r="V560">
        <f t="shared" si="440"/>
        <v>-1.4582581788509681</v>
      </c>
      <c r="X560">
        <f t="shared" si="457"/>
        <v>-56.883842288705125</v>
      </c>
      <c r="Y560">
        <f t="shared" si="441"/>
        <v>-173.82683881618848</v>
      </c>
      <c r="Z560">
        <f t="shared" si="458"/>
        <v>6.1731611838115157</v>
      </c>
      <c r="AC560">
        <v>1</v>
      </c>
      <c r="AD560">
        <f t="shared" si="442"/>
        <v>286.09604617607999</v>
      </c>
      <c r="AE560">
        <f t="shared" si="443"/>
        <v>-0.46647576541177255</v>
      </c>
      <c r="AF560">
        <f t="shared" si="444"/>
        <v>5.2719066259649998E-2</v>
      </c>
      <c r="AG560">
        <f t="shared" si="473"/>
        <v>66.323218869586668</v>
      </c>
      <c r="AH560">
        <f t="shared" si="474"/>
        <v>-605.81828459294479</v>
      </c>
      <c r="AJ560">
        <f t="shared" si="445"/>
        <v>18000</v>
      </c>
      <c r="AK560">
        <f t="shared" si="446"/>
        <v>258269.07511944004</v>
      </c>
      <c r="AL560">
        <v>1</v>
      </c>
      <c r="AM560">
        <f t="shared" si="447"/>
        <v>444.79674048347994</v>
      </c>
      <c r="AN560">
        <f t="shared" si="475"/>
        <v>580.73320669193515</v>
      </c>
      <c r="AO560">
        <f t="shared" si="476"/>
        <v>-39.162307651746453</v>
      </c>
      <c r="AQ560">
        <f t="shared" si="448"/>
        <v>8.3531016444667679E-4</v>
      </c>
      <c r="AR560">
        <f t="shared" si="449"/>
        <v>-2.8901731689855015</v>
      </c>
      <c r="AT560">
        <f t="shared" si="470"/>
        <v>-1750.8643509524911</v>
      </c>
      <c r="AU560">
        <f t="shared" si="471"/>
        <v>-192.19163382856044</v>
      </c>
      <c r="AV560">
        <f t="shared" si="459"/>
        <v>-3.0322608037530969</v>
      </c>
      <c r="AW560">
        <f t="shared" si="460"/>
        <v>538.77238030814033</v>
      </c>
      <c r="AX560">
        <f t="shared" si="461"/>
        <v>-2429.2654421799589</v>
      </c>
      <c r="AY560">
        <f t="shared" si="469"/>
        <v>-1.3525449515891039</v>
      </c>
      <c r="BA560">
        <f t="shared" si="450"/>
        <v>0.70786702502428556</v>
      </c>
      <c r="BB560">
        <f t="shared" si="462"/>
        <v>-3.0009663637788861</v>
      </c>
      <c r="BC560">
        <f t="shared" si="463"/>
        <v>-1.679715852163993</v>
      </c>
      <c r="BD560">
        <f t="shared" si="451"/>
        <v>-276.24062922018828</v>
      </c>
      <c r="BF560">
        <f t="shared" si="452"/>
        <v>-60.284159490827918</v>
      </c>
      <c r="BG560">
        <f t="shared" si="453"/>
        <v>-190.17311757496023</v>
      </c>
      <c r="BH560">
        <f t="shared" si="464"/>
        <v>-10.17311757496023</v>
      </c>
      <c r="BI560">
        <f t="shared" si="465"/>
        <v>-10.17311757496023</v>
      </c>
      <c r="BJ560">
        <f t="shared" si="454"/>
        <v>0</v>
      </c>
      <c r="BK560">
        <f t="shared" si="466"/>
        <v>0</v>
      </c>
      <c r="BM560">
        <f t="shared" si="467"/>
        <v>-57.283193127049032</v>
      </c>
      <c r="BN560">
        <f t="shared" si="455"/>
        <v>-93.932488354771976</v>
      </c>
      <c r="BQ560" s="56">
        <f t="shared" si="468"/>
        <v>13.900994436506251</v>
      </c>
    </row>
    <row r="561" spans="1:69" x14ac:dyDescent="0.25">
      <c r="A561">
        <f t="shared" si="472"/>
        <v>1735000</v>
      </c>
      <c r="B561">
        <f t="shared" si="456"/>
        <v>1735</v>
      </c>
      <c r="C561">
        <f t="shared" si="425"/>
        <v>14.424456076242901</v>
      </c>
      <c r="D561">
        <f t="shared" si="426"/>
        <v>1.5014139692120436</v>
      </c>
      <c r="F561">
        <f t="shared" si="427"/>
        <v>6.3007203865039674E-6</v>
      </c>
      <c r="G561">
        <f t="shared" si="428"/>
        <v>9.4463741908509726E-4</v>
      </c>
      <c r="H561">
        <f t="shared" si="429"/>
        <v>-3.1406480125809151</v>
      </c>
      <c r="J561">
        <f t="shared" si="430"/>
        <v>15</v>
      </c>
      <c r="M561">
        <f t="shared" si="431"/>
        <v>1.05076696194022E-3</v>
      </c>
      <c r="N561">
        <f t="shared" si="432"/>
        <v>-1.5707963250000001</v>
      </c>
      <c r="O561">
        <f t="shared" si="433"/>
        <v>286.92465598460734</v>
      </c>
      <c r="P561">
        <f t="shared" si="434"/>
        <v>1.5673110842281426</v>
      </c>
      <c r="Q561">
        <f t="shared" si="435"/>
        <v>446.08340106390165</v>
      </c>
      <c r="R561">
        <f t="shared" si="436"/>
        <v>1.5685545916503514</v>
      </c>
      <c r="S561">
        <f t="shared" si="437"/>
        <v>6.9326704224709143E-2</v>
      </c>
      <c r="T561">
        <f t="shared" si="438"/>
        <v>-1.5014139692120434</v>
      </c>
      <c r="U561">
        <f t="shared" si="439"/>
        <v>0.11198118293974456</v>
      </c>
      <c r="V561">
        <f t="shared" si="440"/>
        <v>-1.4585797766005411</v>
      </c>
      <c r="X561">
        <f t="shared" si="457"/>
        <v>-56.933662817753003</v>
      </c>
      <c r="Y561">
        <f t="shared" si="441"/>
        <v>-173.84447308741096</v>
      </c>
      <c r="Z561">
        <f t="shared" si="458"/>
        <v>6.1555269125890391</v>
      </c>
      <c r="AC561">
        <v>1</v>
      </c>
      <c r="AD561">
        <f t="shared" si="442"/>
        <v>286.92291336156001</v>
      </c>
      <c r="AE561">
        <f t="shared" si="443"/>
        <v>-0.4691760536391637</v>
      </c>
      <c r="AF561">
        <f t="shared" si="444"/>
        <v>5.2871433503174997E-2</v>
      </c>
      <c r="AG561">
        <f t="shared" si="473"/>
        <v>65.946289925902391</v>
      </c>
      <c r="AH561">
        <f t="shared" si="474"/>
        <v>-604.11488668376944</v>
      </c>
      <c r="AJ561">
        <f t="shared" si="445"/>
        <v>18000</v>
      </c>
      <c r="AK561">
        <f t="shared" si="446"/>
        <v>259015.51753308001</v>
      </c>
      <c r="AL561">
        <v>1</v>
      </c>
      <c r="AM561">
        <f t="shared" si="447"/>
        <v>446.08228019585994</v>
      </c>
      <c r="AN561">
        <f t="shared" si="475"/>
        <v>580.73269995940927</v>
      </c>
      <c r="AO561">
        <f t="shared" si="476"/>
        <v>-39.049449111478644</v>
      </c>
      <c r="AQ561">
        <f t="shared" si="448"/>
        <v>8.3050263431283088E-4</v>
      </c>
      <c r="AR561">
        <f t="shared" si="449"/>
        <v>-2.8818441410655233</v>
      </c>
      <c r="AT561">
        <f t="shared" si="470"/>
        <v>-1740.9101781525769</v>
      </c>
      <c r="AU561">
        <f t="shared" si="471"/>
        <v>-190.54864825278861</v>
      </c>
      <c r="AV561">
        <f t="shared" si="459"/>
        <v>-3.0325731615321292</v>
      </c>
      <c r="AW561">
        <f t="shared" si="460"/>
        <v>539.01848170165999</v>
      </c>
      <c r="AX561">
        <f t="shared" si="461"/>
        <v>-2422.3083865316362</v>
      </c>
      <c r="AY561">
        <f t="shared" si="469"/>
        <v>-1.3518411089787679</v>
      </c>
      <c r="BA561">
        <f t="shared" si="450"/>
        <v>0.70572956101595685</v>
      </c>
      <c r="BB561">
        <f t="shared" si="462"/>
        <v>-3.0272338163384891</v>
      </c>
      <c r="BC561">
        <f t="shared" si="463"/>
        <v>-1.6807320525533613</v>
      </c>
      <c r="BD561">
        <f t="shared" si="451"/>
        <v>-276.29885321370517</v>
      </c>
      <c r="BF561">
        <f t="shared" si="452"/>
        <v>-60.335615585584705</v>
      </c>
      <c r="BG561">
        <f t="shared" si="453"/>
        <v>-190.22004564022706</v>
      </c>
      <c r="BH561">
        <f t="shared" si="464"/>
        <v>-10.220045640227056</v>
      </c>
      <c r="BI561">
        <f t="shared" si="465"/>
        <v>-10.220045640227056</v>
      </c>
      <c r="BJ561">
        <f t="shared" si="454"/>
        <v>0</v>
      </c>
      <c r="BK561">
        <f t="shared" si="466"/>
        <v>0</v>
      </c>
      <c r="BM561">
        <f t="shared" si="467"/>
        <v>-57.308381769246211</v>
      </c>
      <c r="BN561">
        <f t="shared" si="455"/>
        <v>-93.921192426521898</v>
      </c>
      <c r="BQ561" s="56">
        <f t="shared" si="468"/>
        <v>13.874726983946646</v>
      </c>
    </row>
    <row r="562" spans="1:69" x14ac:dyDescent="0.25">
      <c r="A562">
        <f t="shared" si="472"/>
        <v>1740000</v>
      </c>
      <c r="B562">
        <f t="shared" si="456"/>
        <v>1740</v>
      </c>
      <c r="C562">
        <f t="shared" si="425"/>
        <v>14.465825610830763</v>
      </c>
      <c r="D562">
        <f t="shared" si="426"/>
        <v>1.5016127073129228</v>
      </c>
      <c r="F562">
        <f t="shared" si="427"/>
        <v>6.2645611653392288E-6</v>
      </c>
      <c r="G562">
        <f t="shared" si="428"/>
        <v>9.4192291109141822E-4</v>
      </c>
      <c r="H562">
        <f t="shared" si="429"/>
        <v>-3.1406507270889086</v>
      </c>
      <c r="J562">
        <f t="shared" si="430"/>
        <v>15</v>
      </c>
      <c r="M562">
        <f t="shared" si="431"/>
        <v>1.0477475166472882E-3</v>
      </c>
      <c r="N562">
        <f t="shared" si="432"/>
        <v>-1.5707963250000001</v>
      </c>
      <c r="O562">
        <f t="shared" si="433"/>
        <v>287.75151816258017</v>
      </c>
      <c r="P562">
        <f t="shared" si="434"/>
        <v>1.5673210992122375</v>
      </c>
      <c r="Q562">
        <f t="shared" si="435"/>
        <v>447.36893755540456</v>
      </c>
      <c r="R562">
        <f t="shared" si="436"/>
        <v>1.5685610333965194</v>
      </c>
      <c r="S562">
        <f t="shared" si="437"/>
        <v>6.912844291799608E-2</v>
      </c>
      <c r="T562">
        <f t="shared" si="438"/>
        <v>-1.5016127073129228</v>
      </c>
      <c r="U562">
        <f t="shared" si="439"/>
        <v>0.11166341588701213</v>
      </c>
      <c r="V562">
        <f t="shared" si="440"/>
        <v>-1.4588995491983634</v>
      </c>
      <c r="X562">
        <f t="shared" si="457"/>
        <v>-56.983341757919447</v>
      </c>
      <c r="Y562">
        <f t="shared" si="441"/>
        <v>-173.862007336353</v>
      </c>
      <c r="Z562">
        <f t="shared" si="458"/>
        <v>6.1379926636469975</v>
      </c>
      <c r="AC562">
        <v>1</v>
      </c>
      <c r="AD562">
        <f t="shared" si="442"/>
        <v>287.74978054704002</v>
      </c>
      <c r="AE562">
        <f t="shared" si="443"/>
        <v>-0.47188413490617215</v>
      </c>
      <c r="AF562">
        <f t="shared" si="444"/>
        <v>5.3023800746699996E-2</v>
      </c>
      <c r="AG562">
        <f t="shared" si="473"/>
        <v>65.572551677604338</v>
      </c>
      <c r="AH562">
        <f t="shared" si="474"/>
        <v>-602.4209198916127</v>
      </c>
      <c r="AJ562">
        <f t="shared" si="445"/>
        <v>18000</v>
      </c>
      <c r="AK562">
        <f t="shared" si="446"/>
        <v>259761.95994672002</v>
      </c>
      <c r="AL562">
        <v>1</v>
      </c>
      <c r="AM562">
        <f t="shared" si="447"/>
        <v>447.36781990823994</v>
      </c>
      <c r="AN562">
        <f t="shared" si="475"/>
        <v>580.73219758895891</v>
      </c>
      <c r="AO562">
        <f t="shared" si="476"/>
        <v>-38.937239173760702</v>
      </c>
      <c r="AQ562">
        <f t="shared" si="448"/>
        <v>8.2573648882477133E-4</v>
      </c>
      <c r="AR562">
        <f t="shared" si="449"/>
        <v>-2.8735629811102044</v>
      </c>
      <c r="AT562">
        <f t="shared" si="470"/>
        <v>-1731.0403087983086</v>
      </c>
      <c r="AU562">
        <f t="shared" si="471"/>
        <v>-188.92429801288554</v>
      </c>
      <c r="AV562">
        <f t="shared" si="459"/>
        <v>-3.0328837472619892</v>
      </c>
      <c r="AW562">
        <f t="shared" si="460"/>
        <v>539.26240693956879</v>
      </c>
      <c r="AX562">
        <f t="shared" si="461"/>
        <v>-2415.3909452618541</v>
      </c>
      <c r="AY562">
        <f t="shared" si="469"/>
        <v>-1.3511377801105582</v>
      </c>
      <c r="BA562">
        <f t="shared" si="450"/>
        <v>0.70360399944567087</v>
      </c>
      <c r="BB562">
        <f t="shared" si="462"/>
        <v>-3.0534340115726826</v>
      </c>
      <c r="BC562">
        <f t="shared" si="463"/>
        <v>-1.681745967151431</v>
      </c>
      <c r="BD562">
        <f t="shared" si="451"/>
        <v>-276.35694624102763</v>
      </c>
      <c r="BF562">
        <f t="shared" si="452"/>
        <v>-60.386931246830351</v>
      </c>
      <c r="BG562">
        <f t="shared" si="453"/>
        <v>-190.26690734297935</v>
      </c>
      <c r="BH562">
        <f t="shared" si="464"/>
        <v>-10.266907342979351</v>
      </c>
      <c r="BI562">
        <f t="shared" si="465"/>
        <v>-10.266907342979351</v>
      </c>
      <c r="BJ562">
        <f t="shared" si="454"/>
        <v>0</v>
      </c>
      <c r="BK562">
        <f t="shared" si="466"/>
        <v>0</v>
      </c>
      <c r="BM562">
        <f t="shared" si="467"/>
        <v>-57.333497235257667</v>
      </c>
      <c r="BN562">
        <f t="shared" si="455"/>
        <v>-93.909961101951723</v>
      </c>
      <c r="BQ562" s="56">
        <f t="shared" si="468"/>
        <v>13.848526788712455</v>
      </c>
    </row>
    <row r="563" spans="1:69" x14ac:dyDescent="0.25">
      <c r="A563">
        <f t="shared" si="472"/>
        <v>1745000</v>
      </c>
      <c r="B563">
        <f t="shared" si="456"/>
        <v>1745</v>
      </c>
      <c r="C563">
        <f t="shared" si="425"/>
        <v>14.507195713514296</v>
      </c>
      <c r="D563">
        <f t="shared" si="426"/>
        <v>1.5018103119405299</v>
      </c>
      <c r="F563">
        <f t="shared" si="427"/>
        <v>6.2287123253184445E-6</v>
      </c>
      <c r="G563">
        <f t="shared" si="428"/>
        <v>9.3922395929694244E-4</v>
      </c>
      <c r="H563">
        <f t="shared" si="429"/>
        <v>-3.1406534260407031</v>
      </c>
      <c r="J563">
        <f t="shared" si="430"/>
        <v>15</v>
      </c>
      <c r="M563">
        <f t="shared" si="431"/>
        <v>1.0447453747657774E-3</v>
      </c>
      <c r="N563">
        <f t="shared" si="432"/>
        <v>-1.5707963250000001</v>
      </c>
      <c r="O563">
        <f t="shared" si="433"/>
        <v>288.57838036924903</v>
      </c>
      <c r="P563">
        <f t="shared" si="434"/>
        <v>1.5673310568045646</v>
      </c>
      <c r="Q563">
        <f t="shared" si="435"/>
        <v>448.65447406536509</v>
      </c>
      <c r="R563">
        <f t="shared" si="436"/>
        <v>1.5685674382274208</v>
      </c>
      <c r="S563">
        <f t="shared" si="437"/>
        <v>6.8931309658174816E-2</v>
      </c>
      <c r="T563">
        <f t="shared" si="438"/>
        <v>-1.5018103119405299</v>
      </c>
      <c r="U563">
        <f t="shared" si="439"/>
        <v>0.11134743588591625</v>
      </c>
      <c r="V563">
        <f t="shared" si="440"/>
        <v>-1.4592175120729509</v>
      </c>
      <c r="X563">
        <f t="shared" si="457"/>
        <v>-57.032879906766937</v>
      </c>
      <c r="Y563">
        <f t="shared" si="441"/>
        <v>-173.87944240788195</v>
      </c>
      <c r="Z563">
        <f t="shared" si="458"/>
        <v>6.1205575921180468</v>
      </c>
      <c r="AC563">
        <v>1</v>
      </c>
      <c r="AD563">
        <f t="shared" si="442"/>
        <v>288.57664773251997</v>
      </c>
      <c r="AE563">
        <f t="shared" si="443"/>
        <v>-0.47460000921279788</v>
      </c>
      <c r="AF563">
        <f t="shared" si="444"/>
        <v>5.3176167990224996E-2</v>
      </c>
      <c r="AG563">
        <f t="shared" si="473"/>
        <v>65.201968365610128</v>
      </c>
      <c r="AH563">
        <f t="shared" si="474"/>
        <v>-600.73630715329705</v>
      </c>
      <c r="AJ563">
        <f t="shared" si="445"/>
        <v>18000</v>
      </c>
      <c r="AK563">
        <f t="shared" si="446"/>
        <v>260508.40236035999</v>
      </c>
      <c r="AL563">
        <v>1</v>
      </c>
      <c r="AM563">
        <f t="shared" si="447"/>
        <v>448.65335962061994</v>
      </c>
      <c r="AN563">
        <f t="shared" si="475"/>
        <v>580.73169953066065</v>
      </c>
      <c r="AO563">
        <f t="shared" si="476"/>
        <v>-38.825672263323796</v>
      </c>
      <c r="AQ563">
        <f t="shared" si="448"/>
        <v>8.2101125434017334E-4</v>
      </c>
      <c r="AR563">
        <f t="shared" si="449"/>
        <v>-2.8653292776472052</v>
      </c>
      <c r="AT563">
        <f t="shared" si="470"/>
        <v>-1721.253797482173</v>
      </c>
      <c r="AU563">
        <f t="shared" si="471"/>
        <v>-187.3183201872732</v>
      </c>
      <c r="AV563">
        <f t="shared" si="459"/>
        <v>-3.0331925759147316</v>
      </c>
      <c r="AW563">
        <f t="shared" si="460"/>
        <v>539.50418173655464</v>
      </c>
      <c r="AX563">
        <f t="shared" si="461"/>
        <v>-2408.5127819628096</v>
      </c>
      <c r="AY563">
        <f t="shared" si="469"/>
        <v>-1.3504349625567249</v>
      </c>
      <c r="BA563">
        <f t="shared" si="450"/>
        <v>0.70149023971928071</v>
      </c>
      <c r="BB563">
        <f t="shared" si="462"/>
        <v>-3.0795673441891722</v>
      </c>
      <c r="BC563">
        <f t="shared" si="463"/>
        <v>-1.6827576133580067</v>
      </c>
      <c r="BD563">
        <f t="shared" si="451"/>
        <v>-276.41490929909105</v>
      </c>
      <c r="BF563">
        <f t="shared" si="452"/>
        <v>-60.438107295106221</v>
      </c>
      <c r="BG563">
        <f t="shared" si="453"/>
        <v>-190.31370312840284</v>
      </c>
      <c r="BH563">
        <f t="shared" si="464"/>
        <v>-10.313703128402835</v>
      </c>
      <c r="BI563">
        <f t="shared" si="465"/>
        <v>-10.313703128402835</v>
      </c>
      <c r="BJ563">
        <f t="shared" si="454"/>
        <v>0</v>
      </c>
      <c r="BK563">
        <f t="shared" si="466"/>
        <v>0</v>
      </c>
      <c r="BM563">
        <f t="shared" si="467"/>
        <v>-57.358539950917049</v>
      </c>
      <c r="BN563">
        <f t="shared" si="455"/>
        <v>-93.898793829311742</v>
      </c>
      <c r="BQ563" s="56">
        <f t="shared" si="468"/>
        <v>13.822393456095964</v>
      </c>
    </row>
    <row r="564" spans="1:69" x14ac:dyDescent="0.25">
      <c r="A564">
        <f t="shared" si="472"/>
        <v>1750000</v>
      </c>
      <c r="B564">
        <f t="shared" si="456"/>
        <v>1750</v>
      </c>
      <c r="C564">
        <f t="shared" si="425"/>
        <v>14.548566379447209</v>
      </c>
      <c r="D564">
        <f t="shared" si="426"/>
        <v>1.5020067927488856</v>
      </c>
      <c r="F564">
        <f t="shared" si="427"/>
        <v>6.1931703242665517E-6</v>
      </c>
      <c r="G564">
        <f t="shared" si="428"/>
        <v>9.365404303596388E-4</v>
      </c>
      <c r="H564">
        <f t="shared" si="429"/>
        <v>-3.1406561095696404</v>
      </c>
      <c r="J564">
        <f t="shared" si="430"/>
        <v>15</v>
      </c>
      <c r="M564">
        <f t="shared" si="431"/>
        <v>1.0417603879807323E-3</v>
      </c>
      <c r="N564">
        <f t="shared" si="432"/>
        <v>-1.5707963250000001</v>
      </c>
      <c r="O564">
        <f t="shared" si="433"/>
        <v>289.40524260436797</v>
      </c>
      <c r="P564">
        <f t="shared" si="434"/>
        <v>1.5673409574970456</v>
      </c>
      <c r="Q564">
        <f t="shared" si="435"/>
        <v>449.94001059362512</v>
      </c>
      <c r="R564">
        <f t="shared" si="436"/>
        <v>1.5685738064594696</v>
      </c>
      <c r="S564">
        <f t="shared" si="437"/>
        <v>6.8735294868139216E-2</v>
      </c>
      <c r="T564">
        <f t="shared" si="438"/>
        <v>-1.5020067927488856</v>
      </c>
      <c r="U564">
        <f t="shared" si="439"/>
        <v>0.11103322799938457</v>
      </c>
      <c r="V564">
        <f t="shared" si="440"/>
        <v>-1.459533680480144</v>
      </c>
      <c r="X564">
        <f t="shared" si="457"/>
        <v>-57.082278055179302</v>
      </c>
      <c r="Y564">
        <f t="shared" si="441"/>
        <v>-173.89677913741886</v>
      </c>
      <c r="Z564">
        <f t="shared" si="458"/>
        <v>6.1032208625811393</v>
      </c>
      <c r="AC564">
        <v>1</v>
      </c>
      <c r="AD564">
        <f t="shared" si="442"/>
        <v>289.40351491799998</v>
      </c>
      <c r="AE564">
        <f t="shared" si="443"/>
        <v>-0.4773236765590409</v>
      </c>
      <c r="AF564">
        <f t="shared" si="444"/>
        <v>5.3328535233749995E-2</v>
      </c>
      <c r="AG564">
        <f t="shared" si="473"/>
        <v>64.834504728253492</v>
      </c>
      <c r="AH564">
        <f t="shared" si="474"/>
        <v>-599.06097223079496</v>
      </c>
      <c r="AJ564">
        <f t="shared" si="445"/>
        <v>18000</v>
      </c>
      <c r="AK564">
        <f t="shared" si="446"/>
        <v>261254.84477400003</v>
      </c>
      <c r="AL564">
        <v>1</v>
      </c>
      <c r="AM564">
        <f t="shared" si="447"/>
        <v>449.93889933299994</v>
      </c>
      <c r="AN564">
        <f t="shared" si="475"/>
        <v>580.731205735304</v>
      </c>
      <c r="AO564">
        <f t="shared" si="476"/>
        <v>-38.714742868614898</v>
      </c>
      <c r="AQ564">
        <f t="shared" si="448"/>
        <v>8.163264639733499E-4</v>
      </c>
      <c r="AR564">
        <f t="shared" si="449"/>
        <v>-2.8571426239067246</v>
      </c>
      <c r="AT564">
        <f t="shared" si="470"/>
        <v>-1711.5497119576187</v>
      </c>
      <c r="AU564">
        <f t="shared" si="471"/>
        <v>-185.73045628414073</v>
      </c>
      <c r="AV564">
        <f t="shared" si="459"/>
        <v>-3.0334996622949517</v>
      </c>
      <c r="AW564">
        <f t="shared" si="460"/>
        <v>539.74383142693159</v>
      </c>
      <c r="AX564">
        <f t="shared" si="461"/>
        <v>-2401.673564014317</v>
      </c>
      <c r="AY564">
        <f t="shared" si="469"/>
        <v>-1.3497326539248313</v>
      </c>
      <c r="BA564">
        <f t="shared" si="450"/>
        <v>0.69938818237428302</v>
      </c>
      <c r="BB564">
        <f t="shared" si="462"/>
        <v>-3.1056342055626063</v>
      </c>
      <c r="BC564">
        <f t="shared" si="463"/>
        <v>-1.6837670083701204</v>
      </c>
      <c r="BD564">
        <f t="shared" si="451"/>
        <v>-276.47274337321284</v>
      </c>
      <c r="BF564">
        <f t="shared" si="452"/>
        <v>-60.48914454389886</v>
      </c>
      <c r="BG564">
        <f t="shared" si="453"/>
        <v>-190.36043343632011</v>
      </c>
      <c r="BH564">
        <f t="shared" si="464"/>
        <v>-10.360433436320108</v>
      </c>
      <c r="BI564">
        <f t="shared" si="465"/>
        <v>-10.360433436320108</v>
      </c>
      <c r="BJ564">
        <f t="shared" si="454"/>
        <v>0</v>
      </c>
      <c r="BK564">
        <f t="shared" si="466"/>
        <v>0</v>
      </c>
      <c r="BM564">
        <f t="shared" si="467"/>
        <v>-57.383510338336244</v>
      </c>
      <c r="BN564">
        <f t="shared" si="455"/>
        <v>-93.887690063107271</v>
      </c>
      <c r="BQ564" s="56">
        <f t="shared" si="468"/>
        <v>13.796326594722533</v>
      </c>
    </row>
    <row r="565" spans="1:69" x14ac:dyDescent="0.25">
      <c r="A565">
        <f t="shared" si="472"/>
        <v>1755000</v>
      </c>
      <c r="B565">
        <f t="shared" si="456"/>
        <v>1755</v>
      </c>
      <c r="C565">
        <f t="shared" si="425"/>
        <v>14.589937603838118</v>
      </c>
      <c r="D565">
        <f t="shared" si="426"/>
        <v>1.5022021592828594</v>
      </c>
      <c r="F565">
        <f t="shared" si="427"/>
        <v>6.1579316703954321E-6</v>
      </c>
      <c r="G565">
        <f t="shared" si="428"/>
        <v>9.3387219245708974E-4</v>
      </c>
      <c r="H565">
        <f t="shared" si="429"/>
        <v>-3.140658777807543</v>
      </c>
      <c r="J565">
        <f t="shared" si="430"/>
        <v>15</v>
      </c>
      <c r="M565">
        <f t="shared" si="431"/>
        <v>1.038792409667397E-3</v>
      </c>
      <c r="N565">
        <f t="shared" si="432"/>
        <v>-1.5707963250000001</v>
      </c>
      <c r="O565">
        <f t="shared" si="433"/>
        <v>290.23210486769381</v>
      </c>
      <c r="P565">
        <f t="shared" si="434"/>
        <v>1.5673508017759958</v>
      </c>
      <c r="Q565">
        <f t="shared" si="435"/>
        <v>451.2255471400282</v>
      </c>
      <c r="R565">
        <f t="shared" si="436"/>
        <v>1.5685801384054747</v>
      </c>
      <c r="S565">
        <f t="shared" si="437"/>
        <v>6.8540389078630068E-2</v>
      </c>
      <c r="T565">
        <f t="shared" si="438"/>
        <v>-1.5022021592828594</v>
      </c>
      <c r="U565">
        <f t="shared" si="439"/>
        <v>0.11072077745527026</v>
      </c>
      <c r="V565">
        <f t="shared" si="440"/>
        <v>-1.4598480695055052</v>
      </c>
      <c r="X565">
        <f t="shared" si="457"/>
        <v>-57.131536987435602</v>
      </c>
      <c r="Y565">
        <f t="shared" si="441"/>
        <v>-173.91401835106913</v>
      </c>
      <c r="Z565">
        <f t="shared" si="458"/>
        <v>6.0859816489308685</v>
      </c>
      <c r="AC565">
        <v>1</v>
      </c>
      <c r="AD565">
        <f t="shared" si="442"/>
        <v>290.23038210348005</v>
      </c>
      <c r="AE565">
        <f t="shared" si="443"/>
        <v>-0.48005513694490121</v>
      </c>
      <c r="AF565">
        <f t="shared" si="444"/>
        <v>5.3480902477274994E-2</v>
      </c>
      <c r="AG565">
        <f t="shared" si="473"/>
        <v>64.470125993040213</v>
      </c>
      <c r="AH565">
        <f t="shared" si="474"/>
        <v>-597.39483970039123</v>
      </c>
      <c r="AJ565">
        <f t="shared" si="445"/>
        <v>18000</v>
      </c>
      <c r="AK565">
        <f t="shared" si="446"/>
        <v>262001.28718764003</v>
      </c>
      <c r="AL565">
        <v>1</v>
      </c>
      <c r="AM565">
        <f t="shared" si="447"/>
        <v>451.22443904537994</v>
      </c>
      <c r="AN565">
        <f t="shared" si="475"/>
        <v>580.73071615437789</v>
      </c>
      <c r="AO565">
        <f t="shared" si="476"/>
        <v>-38.604445540889145</v>
      </c>
      <c r="AQ565">
        <f t="shared" si="448"/>
        <v>8.1168165747991835E-4</v>
      </c>
      <c r="AR565">
        <f t="shared" si="449"/>
        <v>-2.8490026177545134</v>
      </c>
      <c r="AT565">
        <f t="shared" si="470"/>
        <v>-1701.9271329207286</v>
      </c>
      <c r="AU565">
        <f t="shared" si="471"/>
        <v>-184.16045215479281</v>
      </c>
      <c r="AV565">
        <f t="shared" si="459"/>
        <v>-3.0338050210421104</v>
      </c>
      <c r="AW565">
        <f t="shared" si="460"/>
        <v>539.98138097139417</v>
      </c>
      <c r="AX565">
        <f t="shared" si="461"/>
        <v>-2394.8729625307892</v>
      </c>
      <c r="AY565">
        <f t="shared" si="469"/>
        <v>-1.3490308518571805</v>
      </c>
      <c r="BA565">
        <f t="shared" si="450"/>
        <v>0.69729772906401144</v>
      </c>
      <c r="BB565">
        <f t="shared" si="462"/>
        <v>-3.1316349837712618</v>
      </c>
      <c r="BC565">
        <f t="shared" si="463"/>
        <v>-1.6847741691849298</v>
      </c>
      <c r="BD565">
        <f t="shared" si="451"/>
        <v>-276.53044943725831</v>
      </c>
      <c r="BF565">
        <f t="shared" si="452"/>
        <v>-60.540043799720074</v>
      </c>
      <c r="BG565">
        <f t="shared" si="453"/>
        <v>-190.40709870126872</v>
      </c>
      <c r="BH565">
        <f t="shared" si="464"/>
        <v>-10.407098701268723</v>
      </c>
      <c r="BI565">
        <f t="shared" si="465"/>
        <v>-10.407098701268723</v>
      </c>
      <c r="BJ565">
        <f t="shared" si="454"/>
        <v>0</v>
      </c>
      <c r="BK565">
        <f t="shared" si="466"/>
        <v>0</v>
      </c>
      <c r="BM565">
        <f t="shared" si="467"/>
        <v>-57.408408815948818</v>
      </c>
      <c r="BN565">
        <f t="shared" si="455"/>
        <v>-93.87664926401041</v>
      </c>
      <c r="BQ565" s="56">
        <f t="shared" si="468"/>
        <v>13.770325816513873</v>
      </c>
    </row>
    <row r="566" spans="1:69" x14ac:dyDescent="0.25">
      <c r="A566">
        <f t="shared" si="472"/>
        <v>1760000</v>
      </c>
      <c r="B566">
        <f t="shared" si="456"/>
        <v>1760</v>
      </c>
      <c r="C566">
        <f t="shared" si="425"/>
        <v>14.631309381949771</v>
      </c>
      <c r="D566">
        <f t="shared" si="426"/>
        <v>1.5023964209797067</v>
      </c>
      <c r="F566">
        <f t="shared" si="427"/>
        <v>6.1229929214462378E-6</v>
      </c>
      <c r="G566">
        <f t="shared" si="428"/>
        <v>9.3121911526490271E-4</v>
      </c>
      <c r="H566">
        <f t="shared" si="429"/>
        <v>-3.1406614308847352</v>
      </c>
      <c r="J566">
        <f t="shared" si="430"/>
        <v>15</v>
      </c>
      <c r="M566">
        <f t="shared" si="431"/>
        <v>1.0358412948672055E-3</v>
      </c>
      <c r="N566">
        <f t="shared" si="432"/>
        <v>-1.5707963250000001</v>
      </c>
      <c r="O566">
        <f t="shared" si="433"/>
        <v>291.05896715898621</v>
      </c>
      <c r="P566">
        <f t="shared" si="434"/>
        <v>1.5673605901222052</v>
      </c>
      <c r="Q566">
        <f t="shared" si="435"/>
        <v>452.51108370441978</v>
      </c>
      <c r="R566">
        <f t="shared" si="436"/>
        <v>1.56858643437469</v>
      </c>
      <c r="S566">
        <f t="shared" si="437"/>
        <v>6.8346582926725047E-2</v>
      </c>
      <c r="T566">
        <f t="shared" si="438"/>
        <v>-1.5023964209797067</v>
      </c>
      <c r="U566">
        <f t="shared" si="439"/>
        <v>0.11041006964409739</v>
      </c>
      <c r="V566">
        <f t="shared" si="440"/>
        <v>-1.4601606940666796</v>
      </c>
      <c r="X566">
        <f t="shared" si="457"/>
        <v>-57.180657481283049</v>
      </c>
      <c r="Y566">
        <f t="shared" si="441"/>
        <v>-173.93116086575179</v>
      </c>
      <c r="Z566">
        <f t="shared" si="458"/>
        <v>6.0688391342482078</v>
      </c>
      <c r="AC566">
        <v>1</v>
      </c>
      <c r="AD566">
        <f t="shared" si="442"/>
        <v>291.05724928896001</v>
      </c>
      <c r="AE566">
        <f t="shared" si="443"/>
        <v>-0.48279439037037886</v>
      </c>
      <c r="AF566">
        <f t="shared" si="444"/>
        <v>5.3633269720799993E-2</v>
      </c>
      <c r="AG566">
        <f t="shared" si="473"/>
        <v>64.108797868562505</v>
      </c>
      <c r="AH566">
        <f t="shared" si="474"/>
        <v>-595.73783494201416</v>
      </c>
      <c r="AJ566">
        <f t="shared" si="445"/>
        <v>18000</v>
      </c>
      <c r="AK566">
        <f t="shared" si="446"/>
        <v>262747.72960128001</v>
      </c>
      <c r="AL566">
        <v>1</v>
      </c>
      <c r="AM566">
        <f t="shared" si="447"/>
        <v>452.50997875775994</v>
      </c>
      <c r="AN566">
        <f t="shared" si="475"/>
        <v>580.73023074005948</v>
      </c>
      <c r="AO566">
        <f t="shared" si="476"/>
        <v>-38.494774893317697</v>
      </c>
      <c r="AQ566">
        <f t="shared" si="448"/>
        <v>8.0707638114375794E-4</v>
      </c>
      <c r="AR566">
        <f t="shared" si="449"/>
        <v>-2.8409088616260281</v>
      </c>
      <c r="AT566">
        <f t="shared" si="470"/>
        <v>-1692.3851537960888</v>
      </c>
      <c r="AU566">
        <f t="shared" si="471"/>
        <v>-182.60805790892647</v>
      </c>
      <c r="AV566">
        <f t="shared" si="459"/>
        <v>-3.0341086666328194</v>
      </c>
      <c r="AW566">
        <f t="shared" si="460"/>
        <v>540.21685496363455</v>
      </c>
      <c r="AX566">
        <f t="shared" si="461"/>
        <v>-2388.1106523091121</v>
      </c>
      <c r="AY566">
        <f t="shared" si="469"/>
        <v>-1.3483295540302531</v>
      </c>
      <c r="BA566">
        <f t="shared" si="450"/>
        <v>0.69521878254209113</v>
      </c>
      <c r="BB566">
        <f t="shared" si="462"/>
        <v>-3.1575700636332686</v>
      </c>
      <c r="BC566">
        <f t="shared" si="463"/>
        <v>-1.6857791126025663</v>
      </c>
      <c r="BD566">
        <f t="shared" si="451"/>
        <v>-276.5880284538041</v>
      </c>
      <c r="BF566">
        <f t="shared" si="452"/>
        <v>-60.590805862186016</v>
      </c>
      <c r="BG566">
        <f t="shared" si="453"/>
        <v>-190.45369935257744</v>
      </c>
      <c r="BH566">
        <f t="shared" si="464"/>
        <v>-10.453699352577445</v>
      </c>
      <c r="BI566">
        <f t="shared" si="465"/>
        <v>-10.453699352577445</v>
      </c>
      <c r="BJ566">
        <f t="shared" si="454"/>
        <v>0</v>
      </c>
      <c r="BK566">
        <f t="shared" si="466"/>
        <v>0</v>
      </c>
      <c r="BM566">
        <f t="shared" si="467"/>
        <v>-57.433235798552751</v>
      </c>
      <c r="BN566">
        <f t="shared" si="455"/>
        <v>-93.865670898773303</v>
      </c>
      <c r="BQ566" s="56">
        <f t="shared" si="468"/>
        <v>13.744390736651868</v>
      </c>
    </row>
    <row r="567" spans="1:69" x14ac:dyDescent="0.25">
      <c r="A567">
        <f t="shared" si="472"/>
        <v>1765000</v>
      </c>
      <c r="B567">
        <f t="shared" si="456"/>
        <v>1765</v>
      </c>
      <c r="C567">
        <f t="shared" si="425"/>
        <v>14.672681709098272</v>
      </c>
      <c r="D567">
        <f t="shared" si="426"/>
        <v>1.5025895871705786</v>
      </c>
      <c r="F567">
        <f t="shared" si="427"/>
        <v>6.0883506838487295E-6</v>
      </c>
      <c r="G567">
        <f t="shared" si="428"/>
        <v>9.2858106993549332E-4</v>
      </c>
      <c r="H567">
        <f t="shared" si="429"/>
        <v>-3.1406640689300649</v>
      </c>
      <c r="J567">
        <f t="shared" si="430"/>
        <v>15</v>
      </c>
      <c r="M567">
        <f t="shared" si="431"/>
        <v>1.0329069002641821E-3</v>
      </c>
      <c r="N567">
        <f t="shared" si="432"/>
        <v>-1.5707963250000001</v>
      </c>
      <c r="O567">
        <f t="shared" si="433"/>
        <v>291.88582947800751</v>
      </c>
      <c r="P567">
        <f t="shared" si="434"/>
        <v>1.5673703230110152</v>
      </c>
      <c r="Q567">
        <f t="shared" si="435"/>
        <v>453.79662028664688</v>
      </c>
      <c r="R567">
        <f t="shared" si="436"/>
        <v>1.5685926946728654</v>
      </c>
      <c r="S567">
        <f t="shared" si="437"/>
        <v>6.8153867154353787E-2</v>
      </c>
      <c r="T567">
        <f t="shared" si="438"/>
        <v>-1.5025895871705783</v>
      </c>
      <c r="U567">
        <f t="shared" si="439"/>
        <v>0.11010109011684276</v>
      </c>
      <c r="V567">
        <f t="shared" si="440"/>
        <v>-1.4604715689157137</v>
      </c>
      <c r="X567">
        <f t="shared" si="457"/>
        <v>-57.229640308008889</v>
      </c>
      <c r="Y567">
        <f t="shared" si="441"/>
        <v>-173.94820748932599</v>
      </c>
      <c r="Z567">
        <f t="shared" si="458"/>
        <v>6.0517925106740051</v>
      </c>
      <c r="AC567">
        <v>1</v>
      </c>
      <c r="AD567">
        <f t="shared" si="442"/>
        <v>291.88411647444002</v>
      </c>
      <c r="AE567">
        <f t="shared" si="443"/>
        <v>-0.48554143683547368</v>
      </c>
      <c r="AF567">
        <f t="shared" si="444"/>
        <v>5.3785636964324993E-2</v>
      </c>
      <c r="AG567">
        <f t="shared" si="473"/>
        <v>63.750486536568374</v>
      </c>
      <c r="AH567">
        <f t="shared" si="474"/>
        <v>-594.08988412873293</v>
      </c>
      <c r="AJ567">
        <f t="shared" si="445"/>
        <v>18000</v>
      </c>
      <c r="AK567">
        <f t="shared" si="446"/>
        <v>263494.17201492004</v>
      </c>
      <c r="AL567">
        <v>1</v>
      </c>
      <c r="AM567">
        <f t="shared" si="447"/>
        <v>453.79551847014</v>
      </c>
      <c r="AN567">
        <f t="shared" si="475"/>
        <v>580.7297494452024</v>
      </c>
      <c r="AO567">
        <f t="shared" si="476"/>
        <v>-38.385725600110781</v>
      </c>
      <c r="AQ567">
        <f t="shared" si="448"/>
        <v>8.0251018766620483E-4</v>
      </c>
      <c r="AR567">
        <f t="shared" si="449"/>
        <v>-2.8328609624617034</v>
      </c>
      <c r="AT567">
        <f t="shared" si="470"/>
        <v>-1682.9228805267701</v>
      </c>
      <c r="AU567">
        <f t="shared" si="471"/>
        <v>-181.0730278317877</v>
      </c>
      <c r="AV567">
        <f t="shared" si="459"/>
        <v>-3.0344106133830895</v>
      </c>
      <c r="AW567">
        <f t="shared" si="460"/>
        <v>540.45027763682208</v>
      </c>
      <c r="AX567">
        <f t="shared" si="461"/>
        <v>-2381.3863117773885</v>
      </c>
      <c r="AY567">
        <f t="shared" si="469"/>
        <v>-1.3476287581541562</v>
      </c>
      <c r="BA567">
        <f t="shared" si="450"/>
        <v>0.69315124664715488</v>
      </c>
      <c r="BB567">
        <f t="shared" si="462"/>
        <v>-3.183439826742287</v>
      </c>
      <c r="BC567">
        <f t="shared" si="463"/>
        <v>-1.6867818552289333</v>
      </c>
      <c r="BD567">
        <f t="shared" si="451"/>
        <v>-276.64548137429847</v>
      </c>
      <c r="BF567">
        <f t="shared" si="452"/>
        <v>-60.641431524094898</v>
      </c>
      <c r="BG567">
        <f t="shared" si="453"/>
        <v>-190.50023581444128</v>
      </c>
      <c r="BH567">
        <f t="shared" si="464"/>
        <v>-10.500235814441282</v>
      </c>
      <c r="BI567">
        <f t="shared" si="465"/>
        <v>-10.500235814441282</v>
      </c>
      <c r="BJ567">
        <f t="shared" si="454"/>
        <v>0</v>
      </c>
      <c r="BK567">
        <f t="shared" si="466"/>
        <v>0</v>
      </c>
      <c r="BM567">
        <f t="shared" si="467"/>
        <v>-57.457991697352611</v>
      </c>
      <c r="BN567">
        <f t="shared" si="455"/>
        <v>-93.854754440142813</v>
      </c>
      <c r="BQ567" s="56">
        <f t="shared" si="468"/>
        <v>13.71852097354285</v>
      </c>
    </row>
    <row r="568" spans="1:69" x14ac:dyDescent="0.25">
      <c r="A568">
        <f t="shared" si="472"/>
        <v>1770000</v>
      </c>
      <c r="B568">
        <f t="shared" si="456"/>
        <v>1770</v>
      </c>
      <c r="C568">
        <f t="shared" si="425"/>
        <v>14.71405458065235</v>
      </c>
      <c r="D568">
        <f t="shared" si="426"/>
        <v>1.5027816670820051</v>
      </c>
      <c r="F568">
        <f t="shared" si="427"/>
        <v>6.0540016118971993E-6</v>
      </c>
      <c r="G568">
        <f t="shared" si="428"/>
        <v>9.2595792907722383E-4</v>
      </c>
      <c r="H568">
        <f t="shared" si="429"/>
        <v>-3.1406666920709232</v>
      </c>
      <c r="J568">
        <f t="shared" si="430"/>
        <v>15</v>
      </c>
      <c r="M568">
        <f t="shared" si="431"/>
        <v>1.029989084161741E-3</v>
      </c>
      <c r="N568">
        <f t="shared" si="432"/>
        <v>-1.5707963250000001</v>
      </c>
      <c r="O568">
        <f t="shared" si="433"/>
        <v>292.71269182452266</v>
      </c>
      <c r="P568">
        <f t="shared" si="434"/>
        <v>1.5673800009123964</v>
      </c>
      <c r="Q568">
        <f t="shared" si="435"/>
        <v>455.08215688655838</v>
      </c>
      <c r="R568">
        <f t="shared" si="436"/>
        <v>1.5685989196022958</v>
      </c>
      <c r="S568">
        <f t="shared" si="437"/>
        <v>6.7962232606837661E-2</v>
      </c>
      <c r="T568">
        <f t="shared" si="438"/>
        <v>-1.5027816670820051</v>
      </c>
      <c r="U568">
        <f t="shared" si="439"/>
        <v>0.10979382458275383</v>
      </c>
      <c r="V568">
        <f t="shared" si="440"/>
        <v>-1.4607807086413378</v>
      </c>
      <c r="X568">
        <f t="shared" si="457"/>
        <v>-57.278486232511305</v>
      </c>
      <c r="Y568">
        <f t="shared" si="441"/>
        <v>-173.96515902071593</v>
      </c>
      <c r="Z568">
        <f t="shared" si="458"/>
        <v>6.0348409792840698</v>
      </c>
      <c r="AC568">
        <v>1</v>
      </c>
      <c r="AD568">
        <f t="shared" si="442"/>
        <v>292.71098365992003</v>
      </c>
      <c r="AE568">
        <f t="shared" si="443"/>
        <v>-0.48829627634018591</v>
      </c>
      <c r="AF568">
        <f t="shared" si="444"/>
        <v>5.3938004207850006E-2</v>
      </c>
      <c r="AG568">
        <f t="shared" si="473"/>
        <v>63.395158644181969</v>
      </c>
      <c r="AH568">
        <f t="shared" si="474"/>
        <v>-592.45091421641189</v>
      </c>
      <c r="AJ568">
        <f t="shared" si="445"/>
        <v>18000</v>
      </c>
      <c r="AK568">
        <f t="shared" si="446"/>
        <v>264240.61442856002</v>
      </c>
      <c r="AL568">
        <v>1</v>
      </c>
      <c r="AM568">
        <f t="shared" si="447"/>
        <v>455.08105818252</v>
      </c>
      <c r="AN568">
        <f t="shared" si="475"/>
        <v>580.72927222332544</v>
      </c>
      <c r="AO568">
        <f t="shared" si="476"/>
        <v>-38.277292395655593</v>
      </c>
      <c r="AQ568">
        <f t="shared" si="448"/>
        <v>7.9798263605743592E-4</v>
      </c>
      <c r="AR568">
        <f t="shared" si="449"/>
        <v>-2.824858531643323</v>
      </c>
      <c r="AT568">
        <f t="shared" si="470"/>
        <v>-1673.5394313683094</v>
      </c>
      <c r="AU568">
        <f t="shared" si="471"/>
        <v>-179.55512030316044</v>
      </c>
      <c r="AV568">
        <f t="shared" si="459"/>
        <v>-3.0347108754505423</v>
      </c>
      <c r="AW568">
        <f t="shared" si="460"/>
        <v>540.68167286994901</v>
      </c>
      <c r="AX568">
        <f t="shared" si="461"/>
        <v>-2374.6996229445263</v>
      </c>
      <c r="AY568">
        <f t="shared" si="469"/>
        <v>-1.3469284619720812</v>
      </c>
      <c r="BA568">
        <f t="shared" si="450"/>
        <v>0.69109502628780817</v>
      </c>
      <c r="BB568">
        <f t="shared" si="462"/>
        <v>-3.2092446515027611</v>
      </c>
      <c r="BC568">
        <f t="shared" si="463"/>
        <v>-1.6877824134784611</v>
      </c>
      <c r="BD568">
        <f t="shared" si="451"/>
        <v>-276.70280913921891</v>
      </c>
      <c r="BF568">
        <f t="shared" si="452"/>
        <v>-60.691921571503897</v>
      </c>
      <c r="BG568">
        <f t="shared" si="453"/>
        <v>-190.54670850599555</v>
      </c>
      <c r="BH568">
        <f t="shared" si="464"/>
        <v>-10.546708505995554</v>
      </c>
      <c r="BI568">
        <f t="shared" si="465"/>
        <v>-10.546708505995554</v>
      </c>
      <c r="BJ568">
        <f t="shared" si="454"/>
        <v>0</v>
      </c>
      <c r="BK568">
        <f t="shared" si="466"/>
        <v>0</v>
      </c>
      <c r="BM568">
        <f t="shared" si="467"/>
        <v>-57.482676920001133</v>
      </c>
      <c r="BN568">
        <f t="shared" si="455"/>
        <v>-93.843899366776668</v>
      </c>
      <c r="BQ568" s="56">
        <f t="shared" si="468"/>
        <v>13.692716148782376</v>
      </c>
    </row>
    <row r="569" spans="1:69" x14ac:dyDescent="0.25">
      <c r="A569">
        <f t="shared" si="472"/>
        <v>1775000</v>
      </c>
      <c r="B569">
        <f t="shared" si="456"/>
        <v>1775</v>
      </c>
      <c r="C569">
        <f t="shared" si="425"/>
        <v>14.755427992032617</v>
      </c>
      <c r="D569">
        <f t="shared" si="426"/>
        <v>1.5029726698373576</v>
      </c>
      <c r="F569">
        <f t="shared" si="427"/>
        <v>6.0199424069426194E-6</v>
      </c>
      <c r="G569">
        <f t="shared" si="428"/>
        <v>9.2334956673389697E-4</v>
      </c>
      <c r="H569">
        <f t="shared" si="429"/>
        <v>-3.1406693004332662</v>
      </c>
      <c r="J569">
        <f t="shared" si="430"/>
        <v>15</v>
      </c>
      <c r="M569">
        <f t="shared" si="431"/>
        <v>1.027087706459877E-3</v>
      </c>
      <c r="N569">
        <f t="shared" si="432"/>
        <v>-1.5707963250000001</v>
      </c>
      <c r="O569">
        <f t="shared" si="433"/>
        <v>293.53955419829936</v>
      </c>
      <c r="P569">
        <f t="shared" si="434"/>
        <v>1.5673896242910241</v>
      </c>
      <c r="Q569">
        <f t="shared" si="435"/>
        <v>456.36769350400482</v>
      </c>
      <c r="R569">
        <f t="shared" si="436"/>
        <v>1.56860510946187</v>
      </c>
      <c r="S569">
        <f t="shared" si="437"/>
        <v>6.7771670231454015E-2</v>
      </c>
      <c r="T569">
        <f t="shared" si="438"/>
        <v>-1.5029726698373576</v>
      </c>
      <c r="U569">
        <f t="shared" si="439"/>
        <v>0.10948825890720174</v>
      </c>
      <c r="V569">
        <f t="shared" si="440"/>
        <v>-1.4610881276712107</v>
      </c>
      <c r="X569">
        <f t="shared" si="457"/>
        <v>-57.327196013369381</v>
      </c>
      <c r="Y569">
        <f t="shared" si="441"/>
        <v>-173.98201625003321</v>
      </c>
      <c r="Z569">
        <f t="shared" si="458"/>
        <v>6.0179837499667883</v>
      </c>
      <c r="AC569">
        <v>1</v>
      </c>
      <c r="AD569">
        <f t="shared" si="442"/>
        <v>293.53785084539999</v>
      </c>
      <c r="AE569">
        <f t="shared" si="443"/>
        <v>-0.49105890888451537</v>
      </c>
      <c r="AF569">
        <f t="shared" si="444"/>
        <v>5.4090371451375005E-2</v>
      </c>
      <c r="AG569">
        <f t="shared" si="473"/>
        <v>63.042781296272523</v>
      </c>
      <c r="AH569">
        <f t="shared" si="474"/>
        <v>-590.82085293352759</v>
      </c>
      <c r="AJ569">
        <f t="shared" si="445"/>
        <v>18000</v>
      </c>
      <c r="AK569">
        <f t="shared" si="446"/>
        <v>264987.05684219999</v>
      </c>
      <c r="AL569">
        <v>1</v>
      </c>
      <c r="AM569">
        <f t="shared" si="447"/>
        <v>456.3665978949</v>
      </c>
      <c r="AN569">
        <f t="shared" si="475"/>
        <v>580.72879902860086</v>
      </c>
      <c r="AO569">
        <f t="shared" si="476"/>
        <v>-38.169470073668734</v>
      </c>
      <c r="AQ569">
        <f t="shared" si="448"/>
        <v>7.9349329152999073E-4</v>
      </c>
      <c r="AR569">
        <f t="shared" si="449"/>
        <v>-2.8169011849314671</v>
      </c>
      <c r="AT569">
        <f t="shared" si="470"/>
        <v>-1664.2339366866358</v>
      </c>
      <c r="AU569">
        <f t="shared" si="471"/>
        <v>-178.05409771814416</v>
      </c>
      <c r="AV569">
        <f t="shared" si="459"/>
        <v>-3.035009466836585</v>
      </c>
      <c r="AW569">
        <f t="shared" si="460"/>
        <v>540.91106419404696</v>
      </c>
      <c r="AX569">
        <f t="shared" si="461"/>
        <v>-2368.0502713506708</v>
      </c>
      <c r="AY569">
        <f t="shared" si="469"/>
        <v>-1.3462286632597735</v>
      </c>
      <c r="BA569">
        <f t="shared" si="450"/>
        <v>0.68905002742784571</v>
      </c>
      <c r="BB569">
        <f t="shared" si="462"/>
        <v>-3.2349849131646549</v>
      </c>
      <c r="BC569">
        <f t="shared" si="463"/>
        <v>-1.6887808035768115</v>
      </c>
      <c r="BD569">
        <f t="shared" si="451"/>
        <v>-276.76001267822744</v>
      </c>
      <c r="BF569">
        <f t="shared" si="452"/>
        <v>-60.742276783804748</v>
      </c>
      <c r="BG569">
        <f t="shared" si="453"/>
        <v>-190.59311784138836</v>
      </c>
      <c r="BH569">
        <f t="shared" si="464"/>
        <v>-10.593117841388363</v>
      </c>
      <c r="BI569">
        <f t="shared" si="465"/>
        <v>-10.593117841388363</v>
      </c>
      <c r="BJ569">
        <f t="shared" si="454"/>
        <v>0</v>
      </c>
      <c r="BK569">
        <f t="shared" si="466"/>
        <v>0</v>
      </c>
      <c r="BM569">
        <f t="shared" si="467"/>
        <v>-57.507291870640096</v>
      </c>
      <c r="BN569">
        <f t="shared" si="455"/>
        <v>-93.833105163160965</v>
      </c>
      <c r="BQ569" s="56">
        <f t="shared" si="468"/>
        <v>13.666975887120483</v>
      </c>
    </row>
    <row r="570" spans="1:69" x14ac:dyDescent="0.25">
      <c r="A570">
        <f t="shared" si="472"/>
        <v>1780000</v>
      </c>
      <c r="B570">
        <f t="shared" si="456"/>
        <v>1780</v>
      </c>
      <c r="C570">
        <f t="shared" si="425"/>
        <v>14.796801938710839</v>
      </c>
      <c r="D570">
        <f t="shared" si="426"/>
        <v>1.5031626044582815</v>
      </c>
      <c r="F570">
        <f t="shared" si="427"/>
        <v>5.986169816600666E-6</v>
      </c>
      <c r="G570">
        <f t="shared" si="428"/>
        <v>9.2075585836459456E-4</v>
      </c>
      <c r="H570">
        <f t="shared" si="429"/>
        <v>-3.1406718941416356</v>
      </c>
      <c r="J570">
        <f t="shared" si="430"/>
        <v>15</v>
      </c>
      <c r="M570">
        <f t="shared" si="431"/>
        <v>1.0242026286327425E-3</v>
      </c>
      <c r="N570">
        <f t="shared" si="432"/>
        <v>-1.5707963250000001</v>
      </c>
      <c r="O570">
        <f t="shared" si="433"/>
        <v>294.36641659910782</v>
      </c>
      <c r="P570">
        <f t="shared" si="434"/>
        <v>1.5673991936063527</v>
      </c>
      <c r="Q570">
        <f t="shared" si="435"/>
        <v>457.65323013883852</v>
      </c>
      <c r="R570">
        <f t="shared" si="436"/>
        <v>1.5686112645471189</v>
      </c>
      <c r="S570">
        <f t="shared" si="437"/>
        <v>6.7582171076024045E-2</v>
      </c>
      <c r="T570">
        <f t="shared" si="438"/>
        <v>-1.5031626044582815</v>
      </c>
      <c r="U570">
        <f t="shared" si="439"/>
        <v>0.10918437910956917</v>
      </c>
      <c r="V570">
        <f t="shared" si="440"/>
        <v>-1.4613938402741262</v>
      </c>
      <c r="X570">
        <f t="shared" si="457"/>
        <v>-57.37577040291206</v>
      </c>
      <c r="Y570">
        <f t="shared" si="441"/>
        <v>-173.99877995869775</v>
      </c>
      <c r="Z570">
        <f t="shared" si="458"/>
        <v>6.001220041302247</v>
      </c>
      <c r="AC570">
        <v>1</v>
      </c>
      <c r="AD570">
        <f t="shared" si="442"/>
        <v>294.36471803088</v>
      </c>
      <c r="AE570">
        <f t="shared" si="443"/>
        <v>-0.49382933446846211</v>
      </c>
      <c r="AF570">
        <f t="shared" si="444"/>
        <v>5.4242738694900004E-2</v>
      </c>
      <c r="AG570">
        <f t="shared" si="473"/>
        <v>62.693322047968024</v>
      </c>
      <c r="AH570">
        <f t="shared" si="474"/>
        <v>-589.1996287711396</v>
      </c>
      <c r="AJ570">
        <f t="shared" si="445"/>
        <v>18000</v>
      </c>
      <c r="AK570">
        <f t="shared" si="446"/>
        <v>265733.49925584003</v>
      </c>
      <c r="AL570">
        <v>1</v>
      </c>
      <c r="AM570">
        <f t="shared" si="447"/>
        <v>457.65213760728</v>
      </c>
      <c r="AN570">
        <f t="shared" si="475"/>
        <v>580.72832981584372</v>
      </c>
      <c r="AO570">
        <f t="shared" si="476"/>
        <v>-38.06225348636297</v>
      </c>
      <c r="AQ570">
        <f t="shared" si="448"/>
        <v>7.8904172539438473E-4</v>
      </c>
      <c r="AR570">
        <f t="shared" si="449"/>
        <v>-2.8089885424040095</v>
      </c>
      <c r="AT570">
        <f t="shared" si="470"/>
        <v>-1655.0055387598277</v>
      </c>
      <c r="AU570">
        <f t="shared" si="471"/>
        <v>-176.56972640967416</v>
      </c>
      <c r="AV570">
        <f t="shared" si="459"/>
        <v>-3.0353064013885502</v>
      </c>
      <c r="AW570">
        <f t="shared" si="460"/>
        <v>541.13847479827405</v>
      </c>
      <c r="AX570">
        <f t="shared" si="461"/>
        <v>-2361.4379460184477</v>
      </c>
      <c r="AY570">
        <f t="shared" si="469"/>
        <v>-1.3455293598250109</v>
      </c>
      <c r="BA570">
        <f t="shared" si="450"/>
        <v>0.68701615707171182</v>
      </c>
      <c r="BB570">
        <f t="shared" si="462"/>
        <v>-3.2606609838577145</v>
      </c>
      <c r="BC570">
        <f t="shared" si="463"/>
        <v>-1.6897770415635394</v>
      </c>
      <c r="BD570">
        <f t="shared" si="451"/>
        <v>-276.81709291032274</v>
      </c>
      <c r="BF570">
        <f t="shared" si="452"/>
        <v>-60.79249793379843</v>
      </c>
      <c r="BG570">
        <f t="shared" si="453"/>
        <v>-190.63946422985194</v>
      </c>
      <c r="BH570">
        <f t="shared" si="464"/>
        <v>-10.639464229851939</v>
      </c>
      <c r="BI570">
        <f t="shared" si="465"/>
        <v>-10.639464229851939</v>
      </c>
      <c r="BJ570">
        <f t="shared" si="454"/>
        <v>0</v>
      </c>
      <c r="BK570">
        <f t="shared" si="466"/>
        <v>0</v>
      </c>
      <c r="BM570">
        <f t="shared" si="467"/>
        <v>-57.531836949940704</v>
      </c>
      <c r="BN570">
        <f t="shared" si="455"/>
        <v>-93.822371319529196</v>
      </c>
      <c r="BQ570" s="56">
        <f t="shared" si="468"/>
        <v>13.641299816427422</v>
      </c>
    </row>
    <row r="571" spans="1:69" x14ac:dyDescent="0.25">
      <c r="A571">
        <f t="shared" si="472"/>
        <v>1785000</v>
      </c>
      <c r="B571">
        <f t="shared" si="456"/>
        <v>1785</v>
      </c>
      <c r="C571">
        <f t="shared" si="425"/>
        <v>14.83817641620923</v>
      </c>
      <c r="D571">
        <f t="shared" si="426"/>
        <v>1.5033514798661107</v>
      </c>
      <c r="F571">
        <f t="shared" si="427"/>
        <v>5.9526806339752307E-6</v>
      </c>
      <c r="G571">
        <f t="shared" si="428"/>
        <v>9.1817668082385523E-4</v>
      </c>
      <c r="H571">
        <f t="shared" si="429"/>
        <v>-3.1406744733191765</v>
      </c>
      <c r="J571">
        <f t="shared" si="430"/>
        <v>15</v>
      </c>
      <c r="M571">
        <f t="shared" si="431"/>
        <v>1.0213337137066002E-3</v>
      </c>
      <c r="N571">
        <f t="shared" si="432"/>
        <v>-1.5707963250000001</v>
      </c>
      <c r="O571">
        <f t="shared" si="433"/>
        <v>295.19327902672097</v>
      </c>
      <c r="P571">
        <f t="shared" si="434"/>
        <v>1.5674087093126885</v>
      </c>
      <c r="Q571">
        <f t="shared" si="435"/>
        <v>458.93876679091329</v>
      </c>
      <c r="R571">
        <f t="shared" si="436"/>
        <v>1.5686173851502614</v>
      </c>
      <c r="S571">
        <f t="shared" si="437"/>
        <v>6.7393726287524117E-2</v>
      </c>
      <c r="T571">
        <f t="shared" si="438"/>
        <v>-1.5033514798661107</v>
      </c>
      <c r="U571">
        <f t="shared" si="439"/>
        <v>0.10888217136117202</v>
      </c>
      <c r="V571">
        <f t="shared" si="440"/>
        <v>-1.4616978605621869</v>
      </c>
      <c r="X571">
        <f t="shared" si="457"/>
        <v>-57.42421014728626</v>
      </c>
      <c r="Y571">
        <f t="shared" si="441"/>
        <v>-174.01545091955649</v>
      </c>
      <c r="Z571">
        <f t="shared" si="458"/>
        <v>5.9845490804435144</v>
      </c>
      <c r="AC571">
        <v>1</v>
      </c>
      <c r="AD571">
        <f t="shared" si="442"/>
        <v>295.19158521636001</v>
      </c>
      <c r="AE571">
        <f t="shared" si="443"/>
        <v>-0.4966075530920262</v>
      </c>
      <c r="AF571">
        <f t="shared" si="444"/>
        <v>5.4395105938425004E-2</v>
      </c>
      <c r="AG571">
        <f t="shared" si="473"/>
        <v>62.34674889731086</v>
      </c>
      <c r="AH571">
        <f t="shared" si="474"/>
        <v>-587.58717097301371</v>
      </c>
      <c r="AJ571">
        <f t="shared" si="445"/>
        <v>18000</v>
      </c>
      <c r="AK571">
        <f t="shared" si="446"/>
        <v>266479.94166948</v>
      </c>
      <c r="AL571">
        <v>1</v>
      </c>
      <c r="AM571">
        <f t="shared" si="447"/>
        <v>458.93767731966</v>
      </c>
      <c r="AN571">
        <f t="shared" si="475"/>
        <v>580.72786454050083</v>
      </c>
      <c r="AO571">
        <f t="shared" si="476"/>
        <v>-37.955637543627958</v>
      </c>
      <c r="AQ571">
        <f t="shared" si="448"/>
        <v>7.8462751495676579E-4</v>
      </c>
      <c r="AR571">
        <f t="shared" si="449"/>
        <v>-2.801120228395654</v>
      </c>
      <c r="AT571">
        <f t="shared" si="470"/>
        <v>-1645.8533915836315</v>
      </c>
      <c r="AU571">
        <f t="shared" si="471"/>
        <v>-175.10177657274292</v>
      </c>
      <c r="AV571">
        <f t="shared" si="459"/>
        <v>-3.0356016928017997</v>
      </c>
      <c r="AW571">
        <f t="shared" si="460"/>
        <v>541.36392753588052</v>
      </c>
      <c r="AX571">
        <f t="shared" si="461"/>
        <v>-2354.8623394050173</v>
      </c>
      <c r="AY571">
        <f t="shared" si="469"/>
        <v>-1.3448305495070916</v>
      </c>
      <c r="BA571">
        <f t="shared" si="450"/>
        <v>0.68499332325019568</v>
      </c>
      <c r="BB571">
        <f t="shared" si="462"/>
        <v>-3.286273232625323</v>
      </c>
      <c r="BC571">
        <f t="shared" si="463"/>
        <v>-1.6907711432947081</v>
      </c>
      <c r="BD571">
        <f t="shared" si="451"/>
        <v>-276.87405074399044</v>
      </c>
      <c r="BF571">
        <f t="shared" si="452"/>
        <v>-60.842585787768712</v>
      </c>
      <c r="BG571">
        <f t="shared" si="453"/>
        <v>-190.68574807577272</v>
      </c>
      <c r="BH571">
        <f t="shared" si="464"/>
        <v>-10.685748075772722</v>
      </c>
      <c r="BI571">
        <f t="shared" si="465"/>
        <v>-10.685748075772722</v>
      </c>
      <c r="BJ571">
        <f t="shared" si="454"/>
        <v>0</v>
      </c>
      <c r="BK571">
        <f t="shared" si="466"/>
        <v>0</v>
      </c>
      <c r="BM571">
        <f t="shared" si="467"/>
        <v>-57.556312555143386</v>
      </c>
      <c r="BN571">
        <f t="shared" si="455"/>
        <v>-93.811697331782284</v>
      </c>
      <c r="BQ571" s="56">
        <f t="shared" si="468"/>
        <v>13.615687567659814</v>
      </c>
    </row>
    <row r="572" spans="1:69" x14ac:dyDescent="0.25">
      <c r="A572">
        <f t="shared" si="472"/>
        <v>1790000</v>
      </c>
      <c r="B572">
        <f t="shared" si="456"/>
        <v>1790</v>
      </c>
      <c r="C572">
        <f t="shared" si="425"/>
        <v>14.879551420099752</v>
      </c>
      <c r="D572">
        <f t="shared" si="426"/>
        <v>1.5035393048832537</v>
      </c>
      <c r="F572">
        <f t="shared" si="427"/>
        <v>5.9194716968971202E-6</v>
      </c>
      <c r="G572">
        <f t="shared" si="428"/>
        <v>9.1561191234218312E-4</v>
      </c>
      <c r="H572">
        <f t="shared" si="429"/>
        <v>-3.1406770380876581</v>
      </c>
      <c r="J572">
        <f t="shared" si="430"/>
        <v>15</v>
      </c>
      <c r="M572">
        <f t="shared" si="431"/>
        <v>1.018480826238146E-3</v>
      </c>
      <c r="N572">
        <f t="shared" si="432"/>
        <v>-1.5707963250000001</v>
      </c>
      <c r="O572">
        <f t="shared" si="433"/>
        <v>296.02014148091416</v>
      </c>
      <c r="P572">
        <f t="shared" si="434"/>
        <v>1.5674181718592621</v>
      </c>
      <c r="Q572">
        <f t="shared" si="435"/>
        <v>460.22430346008474</v>
      </c>
      <c r="R572">
        <f t="shared" si="436"/>
        <v>1.5686234715602523</v>
      </c>
      <c r="S572">
        <f t="shared" si="437"/>
        <v>6.7206327110719874E-2</v>
      </c>
      <c r="T572">
        <f t="shared" si="438"/>
        <v>-1.5035393048832537</v>
      </c>
      <c r="U572">
        <f t="shared" si="439"/>
        <v>0.10858162198321433</v>
      </c>
      <c r="V572">
        <f t="shared" si="440"/>
        <v>-1.4620002024929377</v>
      </c>
      <c r="X572">
        <f t="shared" si="457"/>
        <v>-57.472515986523973</v>
      </c>
      <c r="Y572">
        <f t="shared" si="441"/>
        <v>-174.03202989699972</v>
      </c>
      <c r="Z572">
        <f t="shared" si="458"/>
        <v>5.9679701030002832</v>
      </c>
      <c r="AC572">
        <v>1</v>
      </c>
      <c r="AD572">
        <f t="shared" si="442"/>
        <v>296.01845240184002</v>
      </c>
      <c r="AE572">
        <f t="shared" si="443"/>
        <v>-0.49939356475520752</v>
      </c>
      <c r="AF572">
        <f t="shared" si="444"/>
        <v>5.4547473181950003E-2</v>
      </c>
      <c r="AG572">
        <f t="shared" si="473"/>
        <v>62.00303027805208</v>
      </c>
      <c r="AH572">
        <f t="shared" si="474"/>
        <v>-585.98340952589695</v>
      </c>
      <c r="AJ572">
        <f t="shared" si="445"/>
        <v>18000</v>
      </c>
      <c r="AK572">
        <f t="shared" si="446"/>
        <v>267226.38408312004</v>
      </c>
      <c r="AL572">
        <v>1</v>
      </c>
      <c r="AM572">
        <f t="shared" si="447"/>
        <v>460.22321703204</v>
      </c>
      <c r="AN572">
        <f t="shared" si="475"/>
        <v>580.7274031586411</v>
      </c>
      <c r="AO572">
        <f t="shared" si="476"/>
        <v>-37.849617212224771</v>
      </c>
      <c r="AQ572">
        <f t="shared" si="448"/>
        <v>7.8025024341856972E-4</v>
      </c>
      <c r="AR572">
        <f t="shared" si="449"/>
        <v>-2.7932958714384797</v>
      </c>
      <c r="AT572">
        <f t="shared" si="470"/>
        <v>-1636.7766606806647</v>
      </c>
      <c r="AU572">
        <f t="shared" si="471"/>
        <v>-173.65002219027974</v>
      </c>
      <c r="AV572">
        <f t="shared" si="459"/>
        <v>-3.0358953546217951</v>
      </c>
      <c r="AW572">
        <f t="shared" si="460"/>
        <v>541.58744493005145</v>
      </c>
      <c r="AX572">
        <f t="shared" si="461"/>
        <v>-2348.3231473549131</v>
      </c>
      <c r="AY572">
        <f t="shared" si="469"/>
        <v>-1.3441322301763328</v>
      </c>
      <c r="BA572">
        <f t="shared" si="450"/>
        <v>0.68298143500636499</v>
      </c>
      <c r="BB572">
        <f t="shared" si="462"/>
        <v>-3.3118220254578468</v>
      </c>
      <c r="BC572">
        <f t="shared" si="463"/>
        <v>-1.6917631244454623</v>
      </c>
      <c r="BD572">
        <f t="shared" si="451"/>
        <v>-276.93088707735012</v>
      </c>
      <c r="BF572">
        <f t="shared" si="452"/>
        <v>-60.892541105554791</v>
      </c>
      <c r="BG572">
        <f t="shared" si="453"/>
        <v>-190.73196977876043</v>
      </c>
      <c r="BH572">
        <f t="shared" si="464"/>
        <v>-10.73196977876043</v>
      </c>
      <c r="BI572">
        <f t="shared" si="465"/>
        <v>-10.73196977876043</v>
      </c>
      <c r="BJ572">
        <f t="shared" si="454"/>
        <v>0</v>
      </c>
      <c r="BK572">
        <f t="shared" si="466"/>
        <v>0</v>
      </c>
      <c r="BM572">
        <f t="shared" si="467"/>
        <v>-57.580719080096941</v>
      </c>
      <c r="BN572">
        <f t="shared" si="455"/>
        <v>-93.801082701410309</v>
      </c>
      <c r="BQ572" s="56">
        <f t="shared" si="468"/>
        <v>13.59013877482729</v>
      </c>
    </row>
    <row r="573" spans="1:69" x14ac:dyDescent="0.25">
      <c r="A573">
        <f t="shared" si="472"/>
        <v>1795000</v>
      </c>
      <c r="B573">
        <f t="shared" si="456"/>
        <v>1795</v>
      </c>
      <c r="C573">
        <f t="shared" si="425"/>
        <v>14.920926946003428</v>
      </c>
      <c r="D573">
        <f t="shared" si="426"/>
        <v>1.5037260882345593</v>
      </c>
      <c r="F573">
        <f t="shared" si="427"/>
        <v>5.8865398871775456E-6</v>
      </c>
      <c r="G573">
        <f t="shared" si="428"/>
        <v>9.1306143250688486E-4</v>
      </c>
      <c r="H573">
        <f t="shared" si="429"/>
        <v>-3.1406795885674934</v>
      </c>
      <c r="J573">
        <f t="shared" si="430"/>
        <v>15</v>
      </c>
      <c r="M573">
        <f t="shared" si="431"/>
        <v>1.015643832293193E-3</v>
      </c>
      <c r="N573">
        <f t="shared" si="432"/>
        <v>-1.5707963250000001</v>
      </c>
      <c r="O573">
        <f t="shared" si="433"/>
        <v>296.84700396146525</v>
      </c>
      <c r="P573">
        <f t="shared" si="434"/>
        <v>1.5674275816902987</v>
      </c>
      <c r="Q573">
        <f t="shared" si="435"/>
        <v>461.50984014620985</v>
      </c>
      <c r="R573">
        <f t="shared" si="436"/>
        <v>1.5686295240628263</v>
      </c>
      <c r="S573">
        <f t="shared" si="437"/>
        <v>6.701996488682295E-2</v>
      </c>
      <c r="T573">
        <f t="shared" si="438"/>
        <v>-1.5037260882345593</v>
      </c>
      <c r="U573">
        <f t="shared" si="439"/>
        <v>0.10828271744477617</v>
      </c>
      <c r="V573">
        <f t="shared" si="440"/>
        <v>-1.4623008798714696</v>
      </c>
      <c r="X573">
        <f t="shared" si="457"/>
        <v>-57.520688654608556</v>
      </c>
      <c r="Y573">
        <f t="shared" si="441"/>
        <v>-174.04851764707649</v>
      </c>
      <c r="Z573">
        <f t="shared" si="458"/>
        <v>5.9514823529235059</v>
      </c>
      <c r="AC573">
        <v>1</v>
      </c>
      <c r="AD573">
        <f t="shared" si="442"/>
        <v>296.84531958732003</v>
      </c>
      <c r="AE573">
        <f t="shared" si="443"/>
        <v>-0.50218736945800613</v>
      </c>
      <c r="AF573">
        <f t="shared" si="444"/>
        <v>5.4699840425475002E-2</v>
      </c>
      <c r="AG573">
        <f t="shared" si="473"/>
        <v>61.662135052581633</v>
      </c>
      <c r="AH573">
        <f t="shared" si="474"/>
        <v>-584.38827514993966</v>
      </c>
      <c r="AJ573">
        <f t="shared" si="445"/>
        <v>18000</v>
      </c>
      <c r="AK573">
        <f t="shared" si="446"/>
        <v>267972.82649676001</v>
      </c>
      <c r="AL573">
        <v>1</v>
      </c>
      <c r="AM573">
        <f t="shared" si="447"/>
        <v>461.50875674442</v>
      </c>
      <c r="AN573">
        <f t="shared" si="475"/>
        <v>580.72694562694335</v>
      </c>
      <c r="AO573">
        <f t="shared" si="476"/>
        <v>-37.744187514993818</v>
      </c>
      <c r="AQ573">
        <f t="shared" si="448"/>
        <v>7.7590949977812869E-4</v>
      </c>
      <c r="AR573">
        <f t="shared" si="449"/>
        <v>-2.785515104203482</v>
      </c>
      <c r="AT573">
        <f t="shared" si="470"/>
        <v>-1627.7745229132133</v>
      </c>
      <c r="AU573">
        <f t="shared" si="471"/>
        <v>-172.21424096064891</v>
      </c>
      <c r="AV573">
        <f t="shared" si="459"/>
        <v>-3.0361874002461349</v>
      </c>
      <c r="AW573">
        <f t="shared" si="460"/>
        <v>541.80904917963005</v>
      </c>
      <c r="AX573">
        <f t="shared" si="461"/>
        <v>-2341.8200690536491</v>
      </c>
      <c r="AY573">
        <f t="shared" si="469"/>
        <v>-1.3434343997335767</v>
      </c>
      <c r="BA573">
        <f t="shared" si="450"/>
        <v>0.68098040238172797</v>
      </c>
      <c r="BB573">
        <f t="shared" si="462"/>
        <v>-3.3373077253255552</v>
      </c>
      <c r="BC573">
        <f t="shared" si="463"/>
        <v>-1.6927530005125582</v>
      </c>
      <c r="BD573">
        <f t="shared" si="451"/>
        <v>-276.98760279830054</v>
      </c>
      <c r="BF573">
        <f t="shared" si="452"/>
        <v>-60.942364640622799</v>
      </c>
      <c r="BG573">
        <f t="shared" si="453"/>
        <v>-190.77812973371596</v>
      </c>
      <c r="BH573">
        <f t="shared" si="464"/>
        <v>-10.778129733715957</v>
      </c>
      <c r="BI573">
        <f t="shared" si="465"/>
        <v>-10.778129733715957</v>
      </c>
      <c r="BJ573">
        <f t="shared" si="454"/>
        <v>0</v>
      </c>
      <c r="BK573">
        <f t="shared" si="466"/>
        <v>0</v>
      </c>
      <c r="BM573">
        <f t="shared" si="467"/>
        <v>-57.605056915297233</v>
      </c>
      <c r="BN573">
        <f t="shared" si="455"/>
        <v>-93.790526935415429</v>
      </c>
      <c r="BQ573" s="56">
        <f t="shared" si="468"/>
        <v>13.56465307495958</v>
      </c>
    </row>
    <row r="574" spans="1:69" x14ac:dyDescent="0.25">
      <c r="A574">
        <f t="shared" si="472"/>
        <v>1800000</v>
      </c>
      <c r="B574">
        <f t="shared" si="456"/>
        <v>1800</v>
      </c>
      <c r="C574">
        <f t="shared" si="425"/>
        <v>14.962302989589658</v>
      </c>
      <c r="D574">
        <f t="shared" si="426"/>
        <v>1.5039118385486605</v>
      </c>
      <c r="F574">
        <f t="shared" si="427"/>
        <v>5.8538821298761453E-6</v>
      </c>
      <c r="G574">
        <f t="shared" si="428"/>
        <v>9.1052512224322306E-4</v>
      </c>
      <c r="H574">
        <f t="shared" si="429"/>
        <v>-3.140682124877757</v>
      </c>
      <c r="J574">
        <f t="shared" si="430"/>
        <v>15</v>
      </c>
      <c r="M574">
        <f t="shared" si="431"/>
        <v>1.012822599425712E-3</v>
      </c>
      <c r="N574">
        <f t="shared" si="432"/>
        <v>-1.5707963250000001</v>
      </c>
      <c r="O574">
        <f t="shared" si="433"/>
        <v>297.67386646815464</v>
      </c>
      <c r="P574">
        <f t="shared" si="434"/>
        <v>1.5674369392450878</v>
      </c>
      <c r="Q574">
        <f t="shared" si="435"/>
        <v>462.79537684914749</v>
      </c>
      <c r="R574">
        <f t="shared" si="436"/>
        <v>1.5686355429405434</v>
      </c>
      <c r="S574">
        <f t="shared" si="437"/>
        <v>6.6834631052169691E-2</v>
      </c>
      <c r="T574">
        <f t="shared" si="438"/>
        <v>-1.5039118385486603</v>
      </c>
      <c r="U574">
        <f t="shared" si="439"/>
        <v>0.10798544436083352</v>
      </c>
      <c r="V574">
        <f t="shared" si="440"/>
        <v>-1.4625999063524855</v>
      </c>
      <c r="X574">
        <f t="shared" si="457"/>
        <v>-57.568728879540018</v>
      </c>
      <c r="Y574">
        <f t="shared" si="441"/>
        <v>-174.06491491760713</v>
      </c>
      <c r="Z574">
        <f t="shared" si="458"/>
        <v>5.9350850823928738</v>
      </c>
      <c r="AC574">
        <v>1</v>
      </c>
      <c r="AD574">
        <f t="shared" si="442"/>
        <v>297.67218677279999</v>
      </c>
      <c r="AE574">
        <f t="shared" si="443"/>
        <v>-0.50498896720042208</v>
      </c>
      <c r="AF574">
        <f t="shared" si="444"/>
        <v>5.4852207669000001E-2</v>
      </c>
      <c r="AG574">
        <f t="shared" si="473"/>
        <v>61.324032504991401</v>
      </c>
      <c r="AH574">
        <f t="shared" si="474"/>
        <v>-582.8016992892625</v>
      </c>
      <c r="AJ574">
        <f t="shared" si="445"/>
        <v>18000</v>
      </c>
      <c r="AK574">
        <f t="shared" si="446"/>
        <v>268719.26891040005</v>
      </c>
      <c r="AL574">
        <v>1</v>
      </c>
      <c r="AM574">
        <f t="shared" si="447"/>
        <v>462.7942964568</v>
      </c>
      <c r="AN574">
        <f t="shared" si="475"/>
        <v>580.72649190268805</v>
      </c>
      <c r="AO574">
        <f t="shared" si="476"/>
        <v>-37.639343530075962</v>
      </c>
      <c r="AQ574">
        <f t="shared" si="448"/>
        <v>7.7160487873419148E-4</v>
      </c>
      <c r="AR574">
        <f t="shared" si="449"/>
        <v>-2.7777775634430895</v>
      </c>
      <c r="AT574">
        <f t="shared" si="470"/>
        <v>-1618.8461662995553</v>
      </c>
      <c r="AU574">
        <f t="shared" si="471"/>
        <v>-170.79421422672598</v>
      </c>
      <c r="AV574">
        <f t="shared" si="459"/>
        <v>-3.0364778429265575</v>
      </c>
      <c r="AW574">
        <f t="shared" si="460"/>
        <v>542.02876216472725</v>
      </c>
      <c r="AX574">
        <f t="shared" si="461"/>
        <v>-2335.3528069820959</v>
      </c>
      <c r="AY574">
        <f t="shared" si="469"/>
        <v>-1.3427370561097083</v>
      </c>
      <c r="BA574">
        <f t="shared" si="450"/>
        <v>0.6789901364026214</v>
      </c>
      <c r="BB574">
        <f t="shared" si="462"/>
        <v>-3.3627306922111</v>
      </c>
      <c r="BC574">
        <f t="shared" si="463"/>
        <v>-1.6937407868168493</v>
      </c>
      <c r="BD574">
        <f t="shared" si="451"/>
        <v>-277.04419878466194</v>
      </c>
      <c r="BF574">
        <f t="shared" si="452"/>
        <v>-60.992057140136367</v>
      </c>
      <c r="BG574">
        <f t="shared" si="453"/>
        <v>-190.82422833089777</v>
      </c>
      <c r="BH574">
        <f t="shared" si="464"/>
        <v>-10.824228330897768</v>
      </c>
      <c r="BI574">
        <f t="shared" si="465"/>
        <v>-10.824228330897768</v>
      </c>
      <c r="BJ574">
        <f t="shared" si="454"/>
        <v>0</v>
      </c>
      <c r="BK574">
        <f t="shared" si="466"/>
        <v>0</v>
      </c>
      <c r="BM574">
        <f t="shared" si="467"/>
        <v>-57.629326447925273</v>
      </c>
      <c r="BN574">
        <f t="shared" si="455"/>
        <v>-93.780029546235838</v>
      </c>
      <c r="BQ574" s="56">
        <f t="shared" si="468"/>
        <v>13.539230108074037</v>
      </c>
    </row>
    <row r="575" spans="1:69" x14ac:dyDescent="0.25">
      <c r="A575">
        <f t="shared" si="472"/>
        <v>1805000</v>
      </c>
      <c r="B575">
        <f t="shared" si="456"/>
        <v>1805</v>
      </c>
      <c r="C575">
        <f t="shared" si="425"/>
        <v>15.003679546575562</v>
      </c>
      <c r="D575">
        <f t="shared" si="426"/>
        <v>1.5040965643592938</v>
      </c>
      <c r="F575">
        <f t="shared" si="427"/>
        <v>5.8214953925831528E-6</v>
      </c>
      <c r="G575">
        <f t="shared" si="428"/>
        <v>9.0800286379588528E-4</v>
      </c>
      <c r="H575">
        <f t="shared" si="429"/>
        <v>-3.1406846471362044</v>
      </c>
      <c r="J575">
        <f t="shared" si="430"/>
        <v>15</v>
      </c>
      <c r="M575">
        <f t="shared" si="431"/>
        <v>1.0100169966572197E-3</v>
      </c>
      <c r="N575">
        <f t="shared" si="432"/>
        <v>-1.5707963250000001</v>
      </c>
      <c r="O575">
        <f t="shared" si="433"/>
        <v>298.50072900076503</v>
      </c>
      <c r="P575">
        <f t="shared" si="434"/>
        <v>1.5674462449580515</v>
      </c>
      <c r="Q575">
        <f t="shared" si="435"/>
        <v>464.08091356875786</v>
      </c>
      <c r="R575">
        <f t="shared" si="436"/>
        <v>1.568641528472833</v>
      </c>
      <c r="S575">
        <f t="shared" si="437"/>
        <v>6.6650317136921267E-2</v>
      </c>
      <c r="T575">
        <f t="shared" si="438"/>
        <v>-1.5040965643592938</v>
      </c>
      <c r="U575">
        <f t="shared" si="439"/>
        <v>0.10768978949030945</v>
      </c>
      <c r="V575">
        <f t="shared" si="440"/>
        <v>-1.4628972954423356</v>
      </c>
      <c r="X575">
        <f t="shared" si="457"/>
        <v>-57.616637383399564</v>
      </c>
      <c r="Y575">
        <f t="shared" si="441"/>
        <v>-174.0812224482948</v>
      </c>
      <c r="Z575">
        <f t="shared" si="458"/>
        <v>5.9187775517052046</v>
      </c>
      <c r="AC575">
        <v>1</v>
      </c>
      <c r="AD575">
        <f t="shared" si="442"/>
        <v>298.49905395828</v>
      </c>
      <c r="AE575">
        <f t="shared" si="443"/>
        <v>-0.50779835798245532</v>
      </c>
      <c r="AF575">
        <f t="shared" si="444"/>
        <v>5.5004574912525001E-2</v>
      </c>
      <c r="AG575">
        <f t="shared" si="473"/>
        <v>60.988692334268478</v>
      </c>
      <c r="AH575">
        <f t="shared" si="474"/>
        <v>-581.2236141026674</v>
      </c>
      <c r="AJ575">
        <f t="shared" si="445"/>
        <v>18000</v>
      </c>
      <c r="AK575">
        <f t="shared" si="446"/>
        <v>269465.71132404002</v>
      </c>
      <c r="AL575">
        <v>1</v>
      </c>
      <c r="AM575">
        <f t="shared" si="447"/>
        <v>464.07983616918</v>
      </c>
      <c r="AN575">
        <f t="shared" si="475"/>
        <v>580.7260419437464</v>
      </c>
      <c r="AO575">
        <f t="shared" si="476"/>
        <v>-37.535080390146639</v>
      </c>
      <c r="AQ575">
        <f t="shared" si="448"/>
        <v>7.6733598059131069E-4</v>
      </c>
      <c r="AR575">
        <f t="shared" si="449"/>
        <v>-2.7700828899346313</v>
      </c>
      <c r="AT575">
        <f t="shared" si="470"/>
        <v>-1609.9907898337303</v>
      </c>
      <c r="AU575">
        <f t="shared" si="471"/>
        <v>-169.38972690651482</v>
      </c>
      <c r="AV575">
        <f t="shared" si="459"/>
        <v>-3.0367666957709134</v>
      </c>
      <c r="AW575">
        <f t="shared" si="460"/>
        <v>542.24660545221673</v>
      </c>
      <c r="AX575">
        <f t="shared" si="461"/>
        <v>-2328.9210668715918</v>
      </c>
      <c r="AY575">
        <f t="shared" si="469"/>
        <v>-1.3420401972651792</v>
      </c>
      <c r="BA575">
        <f t="shared" si="450"/>
        <v>0.67701054906681757</v>
      </c>
      <c r="BB575">
        <f t="shared" si="462"/>
        <v>-3.3880912831415868</v>
      </c>
      <c r="BC575">
        <f t="shared" si="463"/>
        <v>-1.6947264985057342</v>
      </c>
      <c r="BD575">
        <f t="shared" si="451"/>
        <v>-277.10067590431629</v>
      </c>
      <c r="BF575">
        <f t="shared" si="452"/>
        <v>-61.041619345026291</v>
      </c>
      <c r="BG575">
        <f t="shared" si="453"/>
        <v>-190.87026595598766</v>
      </c>
      <c r="BH575">
        <f t="shared" si="464"/>
        <v>-10.870265955987662</v>
      </c>
      <c r="BI575">
        <f t="shared" si="465"/>
        <v>-10.870265955987662</v>
      </c>
      <c r="BJ575">
        <f t="shared" si="454"/>
        <v>0</v>
      </c>
      <c r="BK575">
        <f t="shared" si="466"/>
        <v>0</v>
      </c>
      <c r="BM575">
        <f t="shared" si="467"/>
        <v>-57.653528061884707</v>
      </c>
      <c r="BN575">
        <f t="shared" si="455"/>
        <v>-93.769590051671372</v>
      </c>
      <c r="BQ575" s="56">
        <f t="shared" si="468"/>
        <v>13.513869517143549</v>
      </c>
    </row>
    <row r="576" spans="1:69" x14ac:dyDescent="0.25">
      <c r="A576">
        <f t="shared" si="472"/>
        <v>1810000</v>
      </c>
      <c r="B576">
        <f t="shared" si="456"/>
        <v>1810</v>
      </c>
      <c r="C576">
        <f t="shared" si="425"/>
        <v>15.045056612725324</v>
      </c>
      <c r="D576">
        <f t="shared" si="426"/>
        <v>1.5042802741065995</v>
      </c>
      <c r="F576">
        <f t="shared" si="427"/>
        <v>5.7893766847154325E-6</v>
      </c>
      <c r="G576">
        <f t="shared" si="428"/>
        <v>9.0549454071075879E-4</v>
      </c>
      <c r="H576">
        <f t="shared" si="429"/>
        <v>-3.1406871554592897</v>
      </c>
      <c r="J576">
        <f t="shared" si="430"/>
        <v>15</v>
      </c>
      <c r="M576">
        <f t="shared" si="431"/>
        <v>1.007226894456509E-3</v>
      </c>
      <c r="N576">
        <f t="shared" si="432"/>
        <v>-1.5707963250000001</v>
      </c>
      <c r="O576">
        <f t="shared" si="433"/>
        <v>299.32759155908172</v>
      </c>
      <c r="P576">
        <f t="shared" si="434"/>
        <v>1.5674554992588119</v>
      </c>
      <c r="Q576">
        <f t="shared" si="435"/>
        <v>465.3664503049028</v>
      </c>
      <c r="R576">
        <f t="shared" si="436"/>
        <v>1.5686474809360365</v>
      </c>
      <c r="S576">
        <f t="shared" si="437"/>
        <v>6.6467014763785331E-2</v>
      </c>
      <c r="T576">
        <f t="shared" si="438"/>
        <v>-1.5042802741065995</v>
      </c>
      <c r="U576">
        <f t="shared" si="439"/>
        <v>0.10739573973415678</v>
      </c>
      <c r="V576">
        <f t="shared" si="440"/>
        <v>-1.4631930605010177</v>
      </c>
      <c r="X576">
        <f t="shared" si="457"/>
        <v>-57.664414882413183</v>
      </c>
      <c r="Y576">
        <f t="shared" si="441"/>
        <v>-174.09744097083453</v>
      </c>
      <c r="Z576">
        <f t="shared" si="458"/>
        <v>5.9025590291654737</v>
      </c>
      <c r="AC576">
        <v>1</v>
      </c>
      <c r="AD576">
        <f t="shared" si="442"/>
        <v>299.32592114376001</v>
      </c>
      <c r="AE576">
        <f t="shared" si="443"/>
        <v>-0.51061554180410584</v>
      </c>
      <c r="AF576">
        <f t="shared" si="444"/>
        <v>5.515694215605E-2</v>
      </c>
      <c r="AG576">
        <f t="shared" si="473"/>
        <v>60.656084647615451</v>
      </c>
      <c r="AH576">
        <f t="shared" si="474"/>
        <v>-579.65395245448656</v>
      </c>
      <c r="AJ576">
        <f t="shared" si="445"/>
        <v>18000</v>
      </c>
      <c r="AK576">
        <f t="shared" si="446"/>
        <v>270212.15373768</v>
      </c>
      <c r="AL576">
        <v>1</v>
      </c>
      <c r="AM576">
        <f t="shared" si="447"/>
        <v>465.36537588155994</v>
      </c>
      <c r="AN576">
        <f t="shared" si="475"/>
        <v>580.72559570857038</v>
      </c>
      <c r="AO576">
        <f t="shared" si="476"/>
        <v>-37.431393281662636</v>
      </c>
      <c r="AQ576">
        <f t="shared" si="448"/>
        <v>7.6310241116705753E-4</v>
      </c>
      <c r="AR576">
        <f t="shared" si="449"/>
        <v>-2.7624307284247482</v>
      </c>
      <c r="AT576">
        <f t="shared" si="470"/>
        <v>-1601.2076033086853</v>
      </c>
      <c r="AU576">
        <f t="shared" si="471"/>
        <v>-168.00056742526607</v>
      </c>
      <c r="AV576">
        <f t="shared" si="459"/>
        <v>-3.0370539717451033</v>
      </c>
      <c r="AW576">
        <f t="shared" si="460"/>
        <v>542.4626003011191</v>
      </c>
      <c r="AX576">
        <f t="shared" si="461"/>
        <v>-2322.5245576597872</v>
      </c>
      <c r="AY576">
        <f t="shared" si="469"/>
        <v>-1.3413438211895417</v>
      </c>
      <c r="BA576">
        <f t="shared" si="450"/>
        <v>0.67504155333035321</v>
      </c>
      <c r="BB576">
        <f t="shared" si="462"/>
        <v>-3.4133898522201584</v>
      </c>
      <c r="BC576">
        <f t="shared" si="463"/>
        <v>-1.6957101505555616</v>
      </c>
      <c r="BD576">
        <f t="shared" si="451"/>
        <v>-277.15703501534517</v>
      </c>
      <c r="BF576">
        <f t="shared" si="452"/>
        <v>-61.0910519900591</v>
      </c>
      <c r="BG576">
        <f t="shared" si="453"/>
        <v>-190.9162429901551</v>
      </c>
      <c r="BH576">
        <f t="shared" si="464"/>
        <v>-10.916242990155098</v>
      </c>
      <c r="BI576">
        <f t="shared" si="465"/>
        <v>-10.916242990155098</v>
      </c>
      <c r="BJ576">
        <f t="shared" si="454"/>
        <v>0</v>
      </c>
      <c r="BK576">
        <f t="shared" si="466"/>
        <v>0</v>
      </c>
      <c r="BM576">
        <f t="shared" si="467"/>
        <v>-57.677662137838936</v>
      </c>
      <c r="BN576">
        <f t="shared" si="455"/>
        <v>-93.759207974809911</v>
      </c>
      <c r="BQ576" s="56">
        <f t="shared" si="468"/>
        <v>13.488570948064977</v>
      </c>
    </row>
    <row r="577" spans="1:69" x14ac:dyDescent="0.25">
      <c r="A577">
        <f t="shared" si="472"/>
        <v>1815000</v>
      </c>
      <c r="B577">
        <f t="shared" si="456"/>
        <v>1815</v>
      </c>
      <c r="C577">
        <f t="shared" si="425"/>
        <v>15.086434183849539</v>
      </c>
      <c r="D577">
        <f t="shared" si="426"/>
        <v>1.5044629761383981</v>
      </c>
      <c r="F577">
        <f t="shared" si="427"/>
        <v>5.7575230568260868E-6</v>
      </c>
      <c r="G577">
        <f t="shared" si="428"/>
        <v>9.0300003781700793E-4</v>
      </c>
      <c r="H577">
        <f t="shared" si="429"/>
        <v>-3.1406896499621832</v>
      </c>
      <c r="J577">
        <f t="shared" si="430"/>
        <v>15</v>
      </c>
      <c r="M577">
        <f t="shared" si="431"/>
        <v>1.0044521647197145E-3</v>
      </c>
      <c r="N577">
        <f t="shared" si="432"/>
        <v>-1.5707963250000001</v>
      </c>
      <c r="O577">
        <f t="shared" si="433"/>
        <v>300.15445414289218</v>
      </c>
      <c r="P577">
        <f t="shared" si="434"/>
        <v>1.5674647025722568</v>
      </c>
      <c r="Q577">
        <f t="shared" si="435"/>
        <v>466.65198705744569</v>
      </c>
      <c r="R577">
        <f t="shared" si="436"/>
        <v>1.5686534006034503</v>
      </c>
      <c r="S577">
        <f t="shared" si="437"/>
        <v>6.6284715646758266E-2</v>
      </c>
      <c r="T577">
        <f t="shared" si="438"/>
        <v>-1.5044629761383981</v>
      </c>
      <c r="U577">
        <f t="shared" si="439"/>
        <v>0.10710328213347051</v>
      </c>
      <c r="V577">
        <f t="shared" si="440"/>
        <v>-1.4634872147441467</v>
      </c>
      <c r="X577">
        <f t="shared" si="457"/>
        <v>-57.712062087014374</v>
      </c>
      <c r="Y577">
        <f t="shared" si="441"/>
        <v>-174.11357120902102</v>
      </c>
      <c r="Z577">
        <f t="shared" si="458"/>
        <v>5.8864287909789823</v>
      </c>
      <c r="AC577">
        <v>1</v>
      </c>
      <c r="AD577">
        <f t="shared" si="442"/>
        <v>300.15278832923997</v>
      </c>
      <c r="AE577">
        <f t="shared" si="443"/>
        <v>-0.51344051866537366</v>
      </c>
      <c r="AF577">
        <f t="shared" si="444"/>
        <v>5.5309309399574999E-2</v>
      </c>
      <c r="AG577">
        <f t="shared" si="473"/>
        <v>60.326179953895526</v>
      </c>
      <c r="AH577">
        <f t="shared" si="474"/>
        <v>-578.09264790557074</v>
      </c>
      <c r="AJ577">
        <f t="shared" si="445"/>
        <v>18000</v>
      </c>
      <c r="AK577">
        <f t="shared" si="446"/>
        <v>270958.59615132003</v>
      </c>
      <c r="AL577">
        <v>1</v>
      </c>
      <c r="AM577">
        <f t="shared" si="447"/>
        <v>466.65091559393994</v>
      </c>
      <c r="AN577">
        <f t="shared" si="475"/>
        <v>580.72515315618375</v>
      </c>
      <c r="AO577">
        <f t="shared" si="476"/>
        <v>-37.328277444121291</v>
      </c>
      <c r="AQ577">
        <f t="shared" si="448"/>
        <v>7.5890378170102358E-4</v>
      </c>
      <c r="AR577">
        <f t="shared" si="449"/>
        <v>-2.7548207275747156</v>
      </c>
      <c r="AT577">
        <f t="shared" si="470"/>
        <v>-1592.4958271427156</v>
      </c>
      <c r="AU577">
        <f t="shared" si="471"/>
        <v>-166.62652764906281</v>
      </c>
      <c r="AV577">
        <f t="shared" si="459"/>
        <v>-3.037339683674988</v>
      </c>
      <c r="AW577">
        <f t="shared" si="460"/>
        <v>542.67676766787997</v>
      </c>
      <c r="AX577">
        <f t="shared" si="461"/>
        <v>-2316.1629914472041</v>
      </c>
      <c r="AY577">
        <f t="shared" si="469"/>
        <v>-1.3406479259009911</v>
      </c>
      <c r="BA577">
        <f t="shared" si="450"/>
        <v>0.67308306309456456</v>
      </c>
      <c r="BB577">
        <f t="shared" si="462"/>
        <v>-3.438626750657253</v>
      </c>
      <c r="BC577">
        <f t="shared" si="463"/>
        <v>-1.6966917577739968</v>
      </c>
      <c r="BD577">
        <f t="shared" si="451"/>
        <v>-277.21327696616538</v>
      </c>
      <c r="BF577">
        <f t="shared" si="452"/>
        <v>-61.140355803904797</v>
      </c>
      <c r="BG577">
        <f t="shared" si="453"/>
        <v>-190.96215981012071</v>
      </c>
      <c r="BH577">
        <f t="shared" si="464"/>
        <v>-10.96215981012071</v>
      </c>
      <c r="BI577">
        <f t="shared" si="465"/>
        <v>-10.96215981012071</v>
      </c>
      <c r="BJ577">
        <f t="shared" si="454"/>
        <v>0</v>
      </c>
      <c r="BK577">
        <f t="shared" si="466"/>
        <v>0</v>
      </c>
      <c r="BM577">
        <f t="shared" si="467"/>
        <v>-57.701729053247547</v>
      </c>
      <c r="BN577">
        <f t="shared" si="455"/>
        <v>-93.748882843955386</v>
      </c>
      <c r="BQ577" s="56">
        <f t="shared" si="468"/>
        <v>13.463334049627884</v>
      </c>
    </row>
    <row r="578" spans="1:69" x14ac:dyDescent="0.25">
      <c r="A578">
        <f t="shared" si="472"/>
        <v>1820000</v>
      </c>
      <c r="B578">
        <f t="shared" si="456"/>
        <v>1820</v>
      </c>
      <c r="C578">
        <f t="shared" si="425"/>
        <v>15.127812255804592</v>
      </c>
      <c r="D578">
        <f t="shared" si="426"/>
        <v>1.5046446787114485</v>
      </c>
      <c r="F578">
        <f t="shared" si="427"/>
        <v>5.7259315999273042E-6</v>
      </c>
      <c r="G578">
        <f t="shared" si="428"/>
        <v>9.0051924120944458E-4</v>
      </c>
      <c r="H578">
        <f t="shared" si="429"/>
        <v>-3.1406921307587909</v>
      </c>
      <c r="J578">
        <f t="shared" si="430"/>
        <v>15</v>
      </c>
      <c r="M578">
        <f t="shared" si="431"/>
        <v>1.0016926807507041E-3</v>
      </c>
      <c r="N578">
        <f t="shared" si="432"/>
        <v>-1.5707963250000001</v>
      </c>
      <c r="O578">
        <f t="shared" si="433"/>
        <v>300.98131675198636</v>
      </c>
      <c r="P578">
        <f t="shared" si="434"/>
        <v>1.5674738553186049</v>
      </c>
      <c r="Q578">
        <f t="shared" si="435"/>
        <v>467.93752382625138</v>
      </c>
      <c r="R578">
        <f t="shared" si="436"/>
        <v>1.568659287745368</v>
      </c>
      <c r="S578">
        <f t="shared" si="437"/>
        <v>6.610341158988782E-2</v>
      </c>
      <c r="T578">
        <f t="shared" si="438"/>
        <v>-1.5046446787114485</v>
      </c>
      <c r="U578">
        <f t="shared" si="439"/>
        <v>0.10681240386763048</v>
      </c>
      <c r="V578">
        <f t="shared" si="440"/>
        <v>-1.4637797712448917</v>
      </c>
      <c r="X578">
        <f t="shared" si="457"/>
        <v>-57.759579701906191</v>
      </c>
      <c r="Y578">
        <f t="shared" si="441"/>
        <v>-174.12961387885463</v>
      </c>
      <c r="Z578">
        <f t="shared" si="458"/>
        <v>5.8703861211453727</v>
      </c>
      <c r="AC578">
        <v>1</v>
      </c>
      <c r="AD578">
        <f t="shared" si="442"/>
        <v>300.97965551472004</v>
      </c>
      <c r="AE578">
        <f t="shared" si="443"/>
        <v>-0.51627328856625865</v>
      </c>
      <c r="AF578">
        <f t="shared" si="444"/>
        <v>5.5461676643100005E-2</v>
      </c>
      <c r="AG578">
        <f t="shared" si="473"/>
        <v>59.998949157199711</v>
      </c>
      <c r="AH578">
        <f t="shared" si="474"/>
        <v>-576.53963470441465</v>
      </c>
      <c r="AJ578">
        <f t="shared" si="445"/>
        <v>18000</v>
      </c>
      <c r="AK578">
        <f t="shared" si="446"/>
        <v>271705.03856496001</v>
      </c>
      <c r="AL578">
        <v>1</v>
      </c>
      <c r="AM578">
        <f t="shared" si="447"/>
        <v>467.93645530631994</v>
      </c>
      <c r="AN578">
        <f t="shared" si="475"/>
        <v>580.72471424617208</v>
      </c>
      <c r="AO578">
        <f t="shared" si="476"/>
        <v>-37.225728169331973</v>
      </c>
      <c r="AQ578">
        <f t="shared" si="448"/>
        <v>7.547397087655696E-4</v>
      </c>
      <c r="AR578">
        <f t="shared" si="449"/>
        <v>-2.7472525399066736</v>
      </c>
      <c r="AT578">
        <f t="shared" si="470"/>
        <v>-1583.8546922091557</v>
      </c>
      <c r="AU578">
        <f t="shared" si="471"/>
        <v>-165.26740281983689</v>
      </c>
      <c r="AV578">
        <f t="shared" si="459"/>
        <v>-3.0376238442482659</v>
      </c>
      <c r="AW578">
        <f t="shared" si="460"/>
        <v>542.88912821153986</v>
      </c>
      <c r="AX578">
        <f t="shared" si="461"/>
        <v>-2309.836083454501</v>
      </c>
      <c r="AY578">
        <f t="shared" si="469"/>
        <v>-1.339952509445917</v>
      </c>
      <c r="BA578">
        <f t="shared" si="450"/>
        <v>0.67113499319334036</v>
      </c>
      <c r="BB578">
        <f t="shared" si="462"/>
        <v>-3.4638023268013329</v>
      </c>
      <c r="BC578">
        <f t="shared" si="463"/>
        <v>-1.6976713348023489</v>
      </c>
      <c r="BD578">
        <f t="shared" si="451"/>
        <v>-277.26940259566203</v>
      </c>
      <c r="BF578">
        <f t="shared" si="452"/>
        <v>-61.189531509203611</v>
      </c>
      <c r="BG578">
        <f t="shared" si="453"/>
        <v>-191.00801678821867</v>
      </c>
      <c r="BH578">
        <f t="shared" si="464"/>
        <v>-11.008016788218669</v>
      </c>
      <c r="BI578">
        <f t="shared" si="465"/>
        <v>-11.008016788218669</v>
      </c>
      <c r="BJ578">
        <f t="shared" si="454"/>
        <v>0</v>
      </c>
      <c r="BK578">
        <f t="shared" si="466"/>
        <v>0</v>
      </c>
      <c r="BM578">
        <f t="shared" si="467"/>
        <v>-57.725729182402276</v>
      </c>
      <c r="BN578">
        <f t="shared" si="455"/>
        <v>-93.738614192556639</v>
      </c>
      <c r="BQ578" s="56">
        <f t="shared" si="468"/>
        <v>13.438158473483803</v>
      </c>
    </row>
    <row r="579" spans="1:69" x14ac:dyDescent="0.25">
      <c r="A579">
        <f t="shared" si="472"/>
        <v>1825000</v>
      </c>
      <c r="B579">
        <f t="shared" si="456"/>
        <v>1825</v>
      </c>
      <c r="C579">
        <f t="shared" si="425"/>
        <v>15.169190824492032</v>
      </c>
      <c r="D579">
        <f t="shared" si="426"/>
        <v>1.5048253899926838</v>
      </c>
      <c r="F579">
        <f t="shared" si="427"/>
        <v>5.6945994448261788E-6</v>
      </c>
      <c r="G579">
        <f t="shared" si="428"/>
        <v>8.9805203823119229E-4</v>
      </c>
      <c r="H579">
        <f t="shared" si="429"/>
        <v>-3.1406945979617689</v>
      </c>
      <c r="J579">
        <f t="shared" si="430"/>
        <v>15</v>
      </c>
      <c r="M579">
        <f t="shared" si="431"/>
        <v>9.9894831724179809E-4</v>
      </c>
      <c r="N579">
        <f t="shared" si="432"/>
        <v>-1.5707963250000001</v>
      </c>
      <c r="O579">
        <f t="shared" si="433"/>
        <v>301.80817938615644</v>
      </c>
      <c r="P579">
        <f t="shared" si="434"/>
        <v>1.5674829579134708</v>
      </c>
      <c r="Q579">
        <f t="shared" si="435"/>
        <v>469.22306061118616</v>
      </c>
      <c r="R579">
        <f t="shared" si="436"/>
        <v>1.5686651426291209</v>
      </c>
      <c r="S579">
        <f t="shared" si="437"/>
        <v>6.5923094486055892E-2</v>
      </c>
      <c r="T579">
        <f t="shared" si="438"/>
        <v>-1.5048253899926838</v>
      </c>
      <c r="U579">
        <f t="shared" si="439"/>
        <v>0.10652309225247313</v>
      </c>
      <c r="V579">
        <f t="shared" si="440"/>
        <v>-1.4640707429358832</v>
      </c>
      <c r="X579">
        <f t="shared" si="457"/>
        <v>-57.806968426122232</v>
      </c>
      <c r="Y579">
        <f t="shared" si="441"/>
        <v>-174.14556968864528</v>
      </c>
      <c r="Z579">
        <f t="shared" si="458"/>
        <v>5.8544303113547187</v>
      </c>
      <c r="AC579">
        <v>1</v>
      </c>
      <c r="AD579">
        <f t="shared" si="442"/>
        <v>301.80652270019999</v>
      </c>
      <c r="AE579">
        <f t="shared" si="443"/>
        <v>-0.51911385150676115</v>
      </c>
      <c r="AF579">
        <f t="shared" si="444"/>
        <v>5.5614043886625004E-2</v>
      </c>
      <c r="AG579">
        <f t="shared" si="473"/>
        <v>59.674363550532796</v>
      </c>
      <c r="AH579">
        <f t="shared" si="474"/>
        <v>-574.99484777840996</v>
      </c>
      <c r="AJ579">
        <f t="shared" si="445"/>
        <v>18000</v>
      </c>
      <c r="AK579">
        <f t="shared" si="446"/>
        <v>272451.48097860004</v>
      </c>
      <c r="AL579">
        <v>1</v>
      </c>
      <c r="AM579">
        <f t="shared" si="447"/>
        <v>469.22199501869994</v>
      </c>
      <c r="AN579">
        <f t="shared" si="475"/>
        <v>580.72427893867427</v>
      </c>
      <c r="AO579">
        <f t="shared" si="476"/>
        <v>-37.123740800699487</v>
      </c>
      <c r="AQ579">
        <f t="shared" si="448"/>
        <v>7.5060981417828378E-4</v>
      </c>
      <c r="AR579">
        <f t="shared" si="449"/>
        <v>-2.7397258217507359</v>
      </c>
      <c r="AT579">
        <f t="shared" si="470"/>
        <v>-1575.2834396692076</v>
      </c>
      <c r="AU579">
        <f t="shared" si="471"/>
        <v>-163.92299149178004</v>
      </c>
      <c r="AV579">
        <f t="shared" si="459"/>
        <v>-3.0379064660163211</v>
      </c>
      <c r="AW579">
        <f t="shared" si="460"/>
        <v>543.09970229880366</v>
      </c>
      <c r="AX579">
        <f t="shared" si="461"/>
        <v>-2303.5435519804205</v>
      </c>
      <c r="AY579">
        <f t="shared" si="469"/>
        <v>-1.3392575698984603</v>
      </c>
      <c r="BA579">
        <f t="shared" si="450"/>
        <v>0.66919725938056895</v>
      </c>
      <c r="BB579">
        <f t="shared" si="462"/>
        <v>-3.4889169261693453</v>
      </c>
      <c r="BC579">
        <f t="shared" si="463"/>
        <v>-1.6986488961178607</v>
      </c>
      <c r="BD579">
        <f t="shared" si="451"/>
        <v>-277.32541273332015</v>
      </c>
      <c r="BF579">
        <f t="shared" si="452"/>
        <v>-61.238579822631898</v>
      </c>
      <c r="BG579">
        <f t="shared" si="453"/>
        <v>-191.05381429245773</v>
      </c>
      <c r="BH579">
        <f t="shared" si="464"/>
        <v>-11.05381429245773</v>
      </c>
      <c r="BI579">
        <f t="shared" si="465"/>
        <v>-11.05381429245773</v>
      </c>
      <c r="BJ579">
        <f t="shared" si="454"/>
        <v>0</v>
      </c>
      <c r="BK579">
        <f t="shared" si="466"/>
        <v>0</v>
      </c>
      <c r="BM579">
        <f t="shared" si="467"/>
        <v>-57.749662896462553</v>
      </c>
      <c r="BN579">
        <f t="shared" si="455"/>
        <v>-93.728401559137623</v>
      </c>
      <c r="BQ579" s="56">
        <f t="shared" si="468"/>
        <v>13.413043874115791</v>
      </c>
    </row>
    <row r="580" spans="1:69" x14ac:dyDescent="0.25">
      <c r="A580">
        <f t="shared" si="472"/>
        <v>1830000</v>
      </c>
      <c r="B580">
        <f t="shared" si="456"/>
        <v>1830</v>
      </c>
      <c r="C580">
        <f t="shared" si="425"/>
        <v>15.210569885857948</v>
      </c>
      <c r="D580">
        <f t="shared" si="426"/>
        <v>1.505005118060428</v>
      </c>
      <c r="F580">
        <f t="shared" si="427"/>
        <v>5.663523761473229E-6</v>
      </c>
      <c r="G580">
        <f t="shared" si="428"/>
        <v>8.9559831745662961E-4</v>
      </c>
      <c r="H580">
        <f t="shared" si="429"/>
        <v>-3.1406970516825434</v>
      </c>
      <c r="J580">
        <f t="shared" si="430"/>
        <v>15</v>
      </c>
      <c r="M580">
        <f t="shared" si="431"/>
        <v>9.9621895025479856E-4</v>
      </c>
      <c r="N580">
        <f t="shared" si="432"/>
        <v>-1.5707963250000001</v>
      </c>
      <c r="O580">
        <f t="shared" si="433"/>
        <v>302.63504204519677</v>
      </c>
      <c r="P580">
        <f t="shared" si="434"/>
        <v>1.5674920107679253</v>
      </c>
      <c r="Q580">
        <f t="shared" si="435"/>
        <v>470.50859741211787</v>
      </c>
      <c r="R580">
        <f t="shared" si="436"/>
        <v>1.5686709655191182</v>
      </c>
      <c r="S580">
        <f t="shared" si="437"/>
        <v>6.5743756315780902E-2</v>
      </c>
      <c r="T580">
        <f t="shared" si="438"/>
        <v>-1.505005118060428</v>
      </c>
      <c r="U580">
        <f t="shared" si="439"/>
        <v>0.10623533473849205</v>
      </c>
      <c r="V580">
        <f t="shared" si="440"/>
        <v>-1.4643601426110888</v>
      </c>
      <c r="X580">
        <f t="shared" si="457"/>
        <v>-57.854228953087031</v>
      </c>
      <c r="Y580">
        <f t="shared" si="441"/>
        <v>-174.16143933911545</v>
      </c>
      <c r="Z580">
        <f t="shared" si="458"/>
        <v>5.8385606608845535</v>
      </c>
      <c r="AC580">
        <v>1</v>
      </c>
      <c r="AD580">
        <f t="shared" si="442"/>
        <v>302.63338988568</v>
      </c>
      <c r="AE580">
        <f t="shared" si="443"/>
        <v>-0.52196220748688071</v>
      </c>
      <c r="AF580">
        <f t="shared" si="444"/>
        <v>5.5766411130150004E-2</v>
      </c>
      <c r="AG580">
        <f t="shared" si="473"/>
        <v>59.352394809617216</v>
      </c>
      <c r="AH580">
        <f t="shared" si="474"/>
        <v>-573.45822272523685</v>
      </c>
      <c r="AJ580">
        <f t="shared" si="445"/>
        <v>18000</v>
      </c>
      <c r="AK580">
        <f t="shared" si="446"/>
        <v>273197.92339224002</v>
      </c>
      <c r="AL580">
        <v>1</v>
      </c>
      <c r="AM580">
        <f t="shared" si="447"/>
        <v>470.50753473107994</v>
      </c>
      <c r="AN580">
        <f t="shared" si="475"/>
        <v>580.72384719437241</v>
      </c>
      <c r="AO580">
        <f t="shared" si="476"/>
        <v>-37.02231073251923</v>
      </c>
      <c r="AQ580">
        <f t="shared" si="448"/>
        <v>7.4651372491611235E-4</v>
      </c>
      <c r="AR580">
        <f t="shared" si="449"/>
        <v>-2.7322402331929712</v>
      </c>
      <c r="AT580">
        <f t="shared" si="470"/>
        <v>-1566.781320807896</v>
      </c>
      <c r="AU580">
        <f t="shared" si="471"/>
        <v>-162.59309546912024</v>
      </c>
      <c r="AV580">
        <f t="shared" si="459"/>
        <v>-3.0381875613960396</v>
      </c>
      <c r="AW580">
        <f t="shared" si="460"/>
        <v>543.30851000900714</v>
      </c>
      <c r="AX580">
        <f t="shared" si="461"/>
        <v>-2297.2851183604253</v>
      </c>
      <c r="AY580">
        <f t="shared" si="469"/>
        <v>-1.3385631053600822</v>
      </c>
      <c r="BA580">
        <f t="shared" si="450"/>
        <v>0.66726977831779855</v>
      </c>
      <c r="BB580">
        <f t="shared" si="462"/>
        <v>-3.5139708914766388</v>
      </c>
      <c r="BC580">
        <f t="shared" si="463"/>
        <v>-1.6996244560359575</v>
      </c>
      <c r="BD580">
        <f t="shared" si="451"/>
        <v>-277.38130819935304</v>
      </c>
      <c r="BF580">
        <f t="shared" si="452"/>
        <v>-61.287501454967071</v>
      </c>
      <c r="BG580">
        <f t="shared" si="453"/>
        <v>-191.09955268658175</v>
      </c>
      <c r="BH580">
        <f t="shared" si="464"/>
        <v>-11.099552686581745</v>
      </c>
      <c r="BI580">
        <f t="shared" si="465"/>
        <v>-11.099552686581745</v>
      </c>
      <c r="BJ580">
        <f t="shared" si="454"/>
        <v>0</v>
      </c>
      <c r="BK580">
        <f t="shared" si="466"/>
        <v>0</v>
      </c>
      <c r="BM580">
        <f t="shared" si="467"/>
        <v>-57.773530563490432</v>
      </c>
      <c r="BN580">
        <f t="shared" si="455"/>
        <v>-93.718244487228716</v>
      </c>
      <c r="BQ580" s="56">
        <f t="shared" si="468"/>
        <v>13.387989908808498</v>
      </c>
    </row>
    <row r="581" spans="1:69" x14ac:dyDescent="0.25">
      <c r="A581">
        <f t="shared" si="472"/>
        <v>1835000</v>
      </c>
      <c r="B581">
        <f t="shared" si="456"/>
        <v>1835</v>
      </c>
      <c r="C581">
        <f t="shared" si="425"/>
        <v>15.251949435892382</v>
      </c>
      <c r="D581">
        <f t="shared" si="426"/>
        <v>1.5051838709055925</v>
      </c>
      <c r="F581">
        <f t="shared" si="427"/>
        <v>5.6327017583233134E-6</v>
      </c>
      <c r="G581">
        <f t="shared" si="428"/>
        <v>8.931579686746173E-4</v>
      </c>
      <c r="H581">
        <f t="shared" si="429"/>
        <v>-3.1406994920313256</v>
      </c>
      <c r="J581">
        <f t="shared" si="430"/>
        <v>15</v>
      </c>
      <c r="M581">
        <f t="shared" si="431"/>
        <v>9.9350445720233337E-4</v>
      </c>
      <c r="N581">
        <f t="shared" si="432"/>
        <v>-1.5707963250000001</v>
      </c>
      <c r="O581">
        <f t="shared" si="433"/>
        <v>303.46190472890419</v>
      </c>
      <c r="P581">
        <f t="shared" si="434"/>
        <v>1.5675010142885606</v>
      </c>
      <c r="Q581">
        <f t="shared" si="435"/>
        <v>471.79413422891571</v>
      </c>
      <c r="R581">
        <f t="shared" si="436"/>
        <v>1.5686767566768882</v>
      </c>
      <c r="S581">
        <f t="shared" si="437"/>
        <v>6.5565389146039404E-2</v>
      </c>
      <c r="T581">
        <f t="shared" si="438"/>
        <v>-1.5051838709055925</v>
      </c>
      <c r="U581">
        <f t="shared" si="439"/>
        <v>0.10594911890906666</v>
      </c>
      <c r="V581">
        <f t="shared" si="440"/>
        <v>-1.4646479829276591</v>
      </c>
      <c r="X581">
        <f t="shared" si="457"/>
        <v>-57.901361970675531</v>
      </c>
      <c r="Y581">
        <f t="shared" si="441"/>
        <v>-174.17722352350054</v>
      </c>
      <c r="Z581">
        <f t="shared" si="458"/>
        <v>5.8227764764994561</v>
      </c>
      <c r="AC581">
        <v>1</v>
      </c>
      <c r="AD581">
        <f t="shared" si="442"/>
        <v>303.46025707116002</v>
      </c>
      <c r="AE581">
        <f t="shared" si="443"/>
        <v>-0.52481835650661768</v>
      </c>
      <c r="AF581">
        <f t="shared" si="444"/>
        <v>5.5918778373675003E-2</v>
      </c>
      <c r="AG581">
        <f t="shared" si="473"/>
        <v>59.033014986810279</v>
      </c>
      <c r="AH581">
        <f t="shared" si="474"/>
        <v>-571.92969580437671</v>
      </c>
      <c r="AJ581">
        <f t="shared" si="445"/>
        <v>18000</v>
      </c>
      <c r="AK581">
        <f t="shared" si="446"/>
        <v>273944.36580587999</v>
      </c>
      <c r="AL581">
        <v>1</v>
      </c>
      <c r="AM581">
        <f t="shared" si="447"/>
        <v>471.79307444345994</v>
      </c>
      <c r="AN581">
        <f t="shared" si="475"/>
        <v>580.72341897448393</v>
      </c>
      <c r="AO581">
        <f t="shared" si="476"/>
        <v>-36.921433409283871</v>
      </c>
      <c r="AQ581">
        <f t="shared" si="448"/>
        <v>7.4245107303112551E-4</v>
      </c>
      <c r="AR581">
        <f t="shared" si="449"/>
        <v>-2.724795438024231</v>
      </c>
      <c r="AT581">
        <f t="shared" si="470"/>
        <v>-1558.3475968730306</v>
      </c>
      <c r="AU581">
        <f t="shared" si="471"/>
        <v>-161.27751974522502</v>
      </c>
      <c r="AV581">
        <f t="shared" si="459"/>
        <v>-3.0384671426716023</v>
      </c>
      <c r="AW581">
        <f t="shared" si="460"/>
        <v>543.51557113898616</v>
      </c>
      <c r="AX581">
        <f t="shared" si="461"/>
        <v>-2291.0605069259832</v>
      </c>
      <c r="AY581">
        <f t="shared" si="469"/>
        <v>-1.3378691139591365</v>
      </c>
      <c r="BA581">
        <f t="shared" si="450"/>
        <v>0.66535246756208388</v>
      </c>
      <c r="BB581">
        <f t="shared" si="462"/>
        <v>-3.5389645626666244</v>
      </c>
      <c r="BC581">
        <f t="shared" si="463"/>
        <v>-1.7005980287124658</v>
      </c>
      <c r="BD581">
        <f t="shared" si="451"/>
        <v>-277.43708980482995</v>
      </c>
      <c r="BF581">
        <f t="shared" si="452"/>
        <v>-61.336297111151694</v>
      </c>
      <c r="BG581">
        <f t="shared" si="453"/>
        <v>-191.14523233012903</v>
      </c>
      <c r="BH581">
        <f t="shared" si="464"/>
        <v>-11.145232330129033</v>
      </c>
      <c r="BI581">
        <f t="shared" si="465"/>
        <v>-11.145232330129033</v>
      </c>
      <c r="BJ581">
        <f t="shared" si="454"/>
        <v>0</v>
      </c>
      <c r="BK581">
        <f t="shared" si="466"/>
        <v>0</v>
      </c>
      <c r="BM581">
        <f t="shared" si="467"/>
        <v>-57.797332548485073</v>
      </c>
      <c r="BN581">
        <f t="shared" si="455"/>
        <v>-93.708142525299053</v>
      </c>
      <c r="BQ581" s="56">
        <f t="shared" si="468"/>
        <v>13.362996237618512</v>
      </c>
    </row>
    <row r="582" spans="1:69" x14ac:dyDescent="0.25">
      <c r="A582">
        <f t="shared" si="472"/>
        <v>1840000</v>
      </c>
      <c r="B582">
        <f t="shared" si="456"/>
        <v>1840</v>
      </c>
      <c r="C582">
        <f t="shared" si="425"/>
        <v>15.293329470628723</v>
      </c>
      <c r="D582">
        <f t="shared" si="426"/>
        <v>1.5053616564328534</v>
      </c>
      <c r="F582">
        <f t="shared" si="427"/>
        <v>5.6021306817086819E-6</v>
      </c>
      <c r="G582">
        <f t="shared" si="428"/>
        <v>8.9073088287199443E-4</v>
      </c>
      <c r="H582">
        <f t="shared" si="429"/>
        <v>-3.1407019191171281</v>
      </c>
      <c r="J582">
        <f t="shared" si="430"/>
        <v>15</v>
      </c>
      <c r="M582">
        <f t="shared" si="431"/>
        <v>9.9080471682950078E-4</v>
      </c>
      <c r="N582">
        <f t="shared" si="432"/>
        <v>-1.5707963250000001</v>
      </c>
      <c r="O582">
        <f t="shared" si="433"/>
        <v>304.28876743707758</v>
      </c>
      <c r="P582">
        <f t="shared" si="434"/>
        <v>1.5675099688775482</v>
      </c>
      <c r="Q582">
        <f t="shared" si="435"/>
        <v>473.07967106145037</v>
      </c>
      <c r="R582">
        <f t="shared" si="436"/>
        <v>1.5686825163611153</v>
      </c>
      <c r="S582">
        <f t="shared" si="437"/>
        <v>6.5387985129106707E-2</v>
      </c>
      <c r="T582">
        <f t="shared" si="438"/>
        <v>-1.5053616564328534</v>
      </c>
      <c r="U582">
        <f t="shared" si="439"/>
        <v>0.10566443247871883</v>
      </c>
      <c r="V582">
        <f t="shared" si="440"/>
        <v>-1.4649342764077451</v>
      </c>
      <c r="X582">
        <f t="shared" si="457"/>
        <v>-57.948368161271837</v>
      </c>
      <c r="Y582">
        <f t="shared" si="441"/>
        <v>-174.19292292764871</v>
      </c>
      <c r="Z582">
        <f t="shared" si="458"/>
        <v>5.8070770723512908</v>
      </c>
      <c r="AC582">
        <v>1</v>
      </c>
      <c r="AD582">
        <f t="shared" si="442"/>
        <v>304.28712425663997</v>
      </c>
      <c r="AE582">
        <f t="shared" si="443"/>
        <v>-0.52768229856597204</v>
      </c>
      <c r="AF582">
        <f t="shared" si="444"/>
        <v>5.6071145617200002E-2</v>
      </c>
      <c r="AG582">
        <f t="shared" si="473"/>
        <v>58.716196505134064</v>
      </c>
      <c r="AH582">
        <f t="shared" si="474"/>
        <v>-570.40920392875648</v>
      </c>
      <c r="AJ582">
        <f t="shared" si="445"/>
        <v>18000</v>
      </c>
      <c r="AK582">
        <f t="shared" si="446"/>
        <v>274690.80821952003</v>
      </c>
      <c r="AL582">
        <v>1</v>
      </c>
      <c r="AM582">
        <f t="shared" si="447"/>
        <v>473.07861415583994</v>
      </c>
      <c r="AN582">
        <f t="shared" si="475"/>
        <v>580.72299424075243</v>
      </c>
      <c r="AO582">
        <f t="shared" si="476"/>
        <v>-36.821104325001357</v>
      </c>
      <c r="AQ582">
        <f t="shared" si="448"/>
        <v>7.3842149556788345E-4</v>
      </c>
      <c r="AR582">
        <f t="shared" si="449"/>
        <v>-2.7173911036898111</v>
      </c>
      <c r="AT582">
        <f t="shared" si="470"/>
        <v>-1549.9815389171526</v>
      </c>
      <c r="AU582">
        <f t="shared" si="471"/>
        <v>-159.97607244300485</v>
      </c>
      <c r="AV582">
        <f t="shared" si="459"/>
        <v>-3.0387452219962436</v>
      </c>
      <c r="AW582">
        <f t="shared" si="460"/>
        <v>543.72090520785002</v>
      </c>
      <c r="AX582">
        <f t="shared" si="461"/>
        <v>-2284.8694449645159</v>
      </c>
      <c r="AY582">
        <f t="shared" si="469"/>
        <v>-1.3371755938504533</v>
      </c>
      <c r="BA582">
        <f t="shared" si="450"/>
        <v>0.66344524555403583</v>
      </c>
      <c r="BB582">
        <f t="shared" si="462"/>
        <v>-3.5638982769399341</v>
      </c>
      <c r="BC582">
        <f t="shared" si="463"/>
        <v>-1.7015696281457904</v>
      </c>
      <c r="BD582">
        <f t="shared" si="451"/>
        <v>-277.49275835180038</v>
      </c>
      <c r="BF582">
        <f t="shared" si="452"/>
        <v>-61.384967490356729</v>
      </c>
      <c r="BG582">
        <f t="shared" si="453"/>
        <v>-191.19085357849042</v>
      </c>
      <c r="BH582">
        <f t="shared" si="464"/>
        <v>-11.190853578490419</v>
      </c>
      <c r="BI582">
        <f t="shared" si="465"/>
        <v>-11.190853578490419</v>
      </c>
      <c r="BJ582">
        <f t="shared" si="454"/>
        <v>0</v>
      </c>
      <c r="BK582">
        <f t="shared" si="466"/>
        <v>0</v>
      </c>
      <c r="BM582">
        <f t="shared" si="467"/>
        <v>-57.821069213416791</v>
      </c>
      <c r="BN582">
        <f t="shared" si="455"/>
        <v>-93.698095226690015</v>
      </c>
      <c r="BQ582" s="56">
        <f t="shared" si="468"/>
        <v>13.338062523345203</v>
      </c>
    </row>
    <row r="583" spans="1:69" x14ac:dyDescent="0.25">
      <c r="A583">
        <f t="shared" si="472"/>
        <v>1845000</v>
      </c>
      <c r="B583">
        <f t="shared" si="456"/>
        <v>1845</v>
      </c>
      <c r="C583">
        <f t="shared" si="425"/>
        <v>15.334709986143134</v>
      </c>
      <c r="D583">
        <f t="shared" si="426"/>
        <v>1.505538482461811</v>
      </c>
      <c r="F583">
        <f t="shared" si="427"/>
        <v>5.5718078152239189E-6</v>
      </c>
      <c r="G583">
        <f t="shared" si="428"/>
        <v>8.883169522173475E-4</v>
      </c>
      <c r="H583">
        <f t="shared" si="429"/>
        <v>-3.1407043330477831</v>
      </c>
      <c r="J583">
        <f t="shared" si="430"/>
        <v>15</v>
      </c>
      <c r="M583">
        <f t="shared" si="431"/>
        <v>9.881196091958166E-4</v>
      </c>
      <c r="N583">
        <f t="shared" si="432"/>
        <v>-1.5707963250000001</v>
      </c>
      <c r="O583">
        <f t="shared" si="433"/>
        <v>305.11563016951806</v>
      </c>
      <c r="P583">
        <f t="shared" si="434"/>
        <v>1.5675188749327011</v>
      </c>
      <c r="Q583">
        <f t="shared" si="435"/>
        <v>474.36520790959389</v>
      </c>
      <c r="R583">
        <f t="shared" si="436"/>
        <v>1.5686882448276811</v>
      </c>
      <c r="S583">
        <f t="shared" si="437"/>
        <v>6.5211536501415923E-2</v>
      </c>
      <c r="T583">
        <f t="shared" si="438"/>
        <v>-1.505538482461811</v>
      </c>
      <c r="U583">
        <f t="shared" si="439"/>
        <v>0.1053812632913964</v>
      </c>
      <c r="V583">
        <f t="shared" si="440"/>
        <v>-1.4652190354402865</v>
      </c>
      <c r="X583">
        <f t="shared" si="457"/>
        <v>-57.995248201827138</v>
      </c>
      <c r="Y583">
        <f t="shared" si="441"/>
        <v>-174.20853823011828</v>
      </c>
      <c r="Z583">
        <f t="shared" si="458"/>
        <v>5.791461769881721</v>
      </c>
      <c r="AC583">
        <v>1</v>
      </c>
      <c r="AD583">
        <f t="shared" si="442"/>
        <v>305.11399144211998</v>
      </c>
      <c r="AE583">
        <f t="shared" si="443"/>
        <v>-0.53055403366494347</v>
      </c>
      <c r="AF583">
        <f t="shared" si="444"/>
        <v>5.6223512860725001E-2</v>
      </c>
      <c r="AG583">
        <f t="shared" si="473"/>
        <v>58.401912152414944</v>
      </c>
      <c r="AH583">
        <f t="shared" si="474"/>
        <v>-568.89668465651584</v>
      </c>
      <c r="AJ583">
        <f t="shared" si="445"/>
        <v>18000</v>
      </c>
      <c r="AK583">
        <f t="shared" si="446"/>
        <v>275437.25063316</v>
      </c>
      <c r="AL583">
        <v>1</v>
      </c>
      <c r="AM583">
        <f t="shared" si="447"/>
        <v>474.36415386821994</v>
      </c>
      <c r="AN583">
        <f t="shared" si="475"/>
        <v>580.7225729554392</v>
      </c>
      <c r="AO583">
        <f t="shared" si="476"/>
        <v>-36.721319022523986</v>
      </c>
      <c r="AQ583">
        <f t="shared" si="448"/>
        <v>7.3442463448236759E-4</v>
      </c>
      <c r="AR583">
        <f t="shared" si="449"/>
        <v>-2.7100269012399365</v>
      </c>
      <c r="AT583">
        <f t="shared" si="470"/>
        <v>-1541.6824276423854</v>
      </c>
      <c r="AU583">
        <f t="shared" si="471"/>
        <v>-158.68856475658316</v>
      </c>
      <c r="AV583">
        <f t="shared" si="459"/>
        <v>-3.0390218113939858</v>
      </c>
      <c r="AW583">
        <f t="shared" si="460"/>
        <v>543.9245314616594</v>
      </c>
      <c r="AX583">
        <f t="shared" si="461"/>
        <v>-2278.7116626799825</v>
      </c>
      <c r="AY583">
        <f t="shared" si="469"/>
        <v>-1.3364825432149279</v>
      </c>
      <c r="BA583">
        <f t="shared" si="450"/>
        <v>0.6615480316060558</v>
      </c>
      <c r="BB583">
        <f t="shared" si="462"/>
        <v>-3.5887723687832724</v>
      </c>
      <c r="BC583">
        <f t="shared" si="463"/>
        <v>-1.7025392681790579</v>
      </c>
      <c r="BD583">
        <f t="shared" si="451"/>
        <v>-277.54831463341702</v>
      </c>
      <c r="BF583">
        <f t="shared" si="452"/>
        <v>-61.433513286043848</v>
      </c>
      <c r="BG583">
        <f t="shared" si="453"/>
        <v>-191.23641678296684</v>
      </c>
      <c r="BH583">
        <f t="shared" si="464"/>
        <v>-11.236416782966842</v>
      </c>
      <c r="BI583">
        <f t="shared" si="465"/>
        <v>-11.236416782966842</v>
      </c>
      <c r="BJ583">
        <f t="shared" si="454"/>
        <v>0</v>
      </c>
      <c r="BK583">
        <f t="shared" si="466"/>
        <v>0</v>
      </c>
      <c r="BM583">
        <f t="shared" si="467"/>
        <v>-57.844740917260573</v>
      </c>
      <c r="BN583">
        <f t="shared" si="455"/>
        <v>-93.688102149549835</v>
      </c>
      <c r="BQ583" s="56">
        <f t="shared" si="468"/>
        <v>13.313188431501864</v>
      </c>
    </row>
    <row r="584" spans="1:69" x14ac:dyDescent="0.25">
      <c r="A584">
        <f t="shared" si="472"/>
        <v>1850000</v>
      </c>
      <c r="B584">
        <f t="shared" si="456"/>
        <v>1850</v>
      </c>
      <c r="C584">
        <f t="shared" si="425"/>
        <v>15.376090978553966</v>
      </c>
      <c r="D584">
        <f t="shared" si="426"/>
        <v>1.5057143567281281</v>
      </c>
      <c r="F584">
        <f t="shared" si="427"/>
        <v>5.5417304791225021E-6</v>
      </c>
      <c r="G584">
        <f t="shared" si="428"/>
        <v>8.8591607004503861E-4</v>
      </c>
      <c r="H584">
        <f t="shared" si="429"/>
        <v>-3.1407067339299553</v>
      </c>
      <c r="J584">
        <f t="shared" si="430"/>
        <v>15</v>
      </c>
      <c r="M584">
        <f t="shared" si="431"/>
        <v>9.8544901565744952E-4</v>
      </c>
      <c r="N584">
        <f t="shared" si="432"/>
        <v>-1.5707963250000001</v>
      </c>
      <c r="O584">
        <f t="shared" si="433"/>
        <v>305.94249292602876</v>
      </c>
      <c r="P584">
        <f t="shared" si="434"/>
        <v>1.567527732847531</v>
      </c>
      <c r="Q584">
        <f t="shared" si="435"/>
        <v>475.65074477321974</v>
      </c>
      <c r="R584">
        <f t="shared" si="436"/>
        <v>1.5686939423296999</v>
      </c>
      <c r="S584">
        <f t="shared" si="437"/>
        <v>6.5036035582435439E-2</v>
      </c>
      <c r="T584">
        <f t="shared" si="438"/>
        <v>-1.5057143567281281</v>
      </c>
      <c r="U584">
        <f t="shared" si="439"/>
        <v>0.10509959931878361</v>
      </c>
      <c r="V584">
        <f t="shared" si="440"/>
        <v>-1.4655022722827711</v>
      </c>
      <c r="X584">
        <f t="shared" si="457"/>
        <v>-58.042002763916962</v>
      </c>
      <c r="Y584">
        <f t="shared" si="441"/>
        <v>-174.22407010227411</v>
      </c>
      <c r="Z584">
        <f t="shared" si="458"/>
        <v>5.7759298977258879</v>
      </c>
      <c r="AC584">
        <v>1</v>
      </c>
      <c r="AD584">
        <f t="shared" si="442"/>
        <v>305.94085862759999</v>
      </c>
      <c r="AE584">
        <f t="shared" si="443"/>
        <v>-0.5334335618035323</v>
      </c>
      <c r="AF584">
        <f t="shared" si="444"/>
        <v>5.6375880104250001E-2</v>
      </c>
      <c r="AG584">
        <f t="shared" si="473"/>
        <v>58.09013507553005</v>
      </c>
      <c r="AH584">
        <f t="shared" si="474"/>
        <v>-567.39207618289367</v>
      </c>
      <c r="AJ584">
        <f t="shared" si="445"/>
        <v>18000</v>
      </c>
      <c r="AK584">
        <f t="shared" si="446"/>
        <v>276183.69304680004</v>
      </c>
      <c r="AL584">
        <v>1</v>
      </c>
      <c r="AM584">
        <f t="shared" si="447"/>
        <v>475.64969358059994</v>
      </c>
      <c r="AN584">
        <f t="shared" si="475"/>
        <v>580.72215508131455</v>
      </c>
      <c r="AO584">
        <f t="shared" si="476"/>
        <v>-36.622073092888364</v>
      </c>
      <c r="AQ584">
        <f t="shared" si="448"/>
        <v>7.3046013656244435E-4</v>
      </c>
      <c r="AR584">
        <f t="shared" si="449"/>
        <v>-2.7027025052810441</v>
      </c>
      <c r="AT584">
        <f t="shared" si="470"/>
        <v>-1533.4495532481194</v>
      </c>
      <c r="AU584">
        <f t="shared" si="471"/>
        <v>-157.41481089420233</v>
      </c>
      <c r="AV584">
        <f t="shared" si="459"/>
        <v>-3.0392969227613436</v>
      </c>
      <c r="AW584">
        <f t="shared" si="460"/>
        <v>544.12646887801259</v>
      </c>
      <c r="AX584">
        <f t="shared" si="461"/>
        <v>-2272.5868931540849</v>
      </c>
      <c r="AY584">
        <f t="shared" si="469"/>
        <v>-1.3357899602591179</v>
      </c>
      <c r="BA584">
        <f t="shared" si="450"/>
        <v>0.65966074589075818</v>
      </c>
      <c r="BB584">
        <f t="shared" si="462"/>
        <v>-3.6135871699978717</v>
      </c>
      <c r="BC584">
        <f t="shared" si="463"/>
        <v>-1.7035069625022257</v>
      </c>
      <c r="BD584">
        <f t="shared" si="451"/>
        <v>-277.60375943405666</v>
      </c>
      <c r="BF584">
        <f t="shared" si="452"/>
        <v>-61.481935186027023</v>
      </c>
      <c r="BG584">
        <f t="shared" si="453"/>
        <v>-191.2819222908258</v>
      </c>
      <c r="BH584">
        <f t="shared" si="464"/>
        <v>-11.281922290825804</v>
      </c>
      <c r="BI584">
        <f t="shared" si="465"/>
        <v>-11.281922290825804</v>
      </c>
      <c r="BJ584">
        <f t="shared" si="454"/>
        <v>0</v>
      </c>
      <c r="BK584">
        <f t="shared" si="466"/>
        <v>0</v>
      </c>
      <c r="BM584">
        <f t="shared" si="467"/>
        <v>-57.868348016029152</v>
      </c>
      <c r="BN584">
        <f t="shared" si="455"/>
        <v>-93.678162856769106</v>
      </c>
      <c r="BQ584" s="56">
        <f t="shared" si="468"/>
        <v>13.288373630287268</v>
      </c>
    </row>
    <row r="585" spans="1:69" x14ac:dyDescent="0.25">
      <c r="A585">
        <f t="shared" si="472"/>
        <v>1855000</v>
      </c>
      <c r="B585">
        <f t="shared" si="456"/>
        <v>1855</v>
      </c>
      <c r="C585">
        <f t="shared" ref="C585:C626" si="477">SQRT((A585/Fesr)^2+1)</f>
        <v>15.417472444021209</v>
      </c>
      <c r="D585">
        <f t="shared" ref="D585:D614" si="478">ATAN(A585/Fesr)</f>
        <v>1.5058892868846532</v>
      </c>
      <c r="F585">
        <f t="shared" ref="F585:F626" si="479">(Ro/(Ro+Rdcr))/SQRT((A585/(Q*Fo))^2+(1-(A585^2/Fo^2))^2)</f>
        <v>5.5118960297247227E-6</v>
      </c>
      <c r="G585">
        <f t="shared" ref="G585:G614" si="480">-ATAN(A585*Fo/(Q*(Fo^2-A585^2)))</f>
        <v>8.8352813083949404E-4</v>
      </c>
      <c r="H585">
        <f t="shared" ref="H585:H648" si="481">IF(G585&gt;0,G585-Pi,G585)</f>
        <v>-3.1407091218691607</v>
      </c>
      <c r="J585">
        <f t="shared" ref="J585:J648" si="482">Vin/Vramp</f>
        <v>15</v>
      </c>
      <c r="M585">
        <f t="shared" ref="M585:M614" si="483">1/(2*Pi*_Rfb1*(Cc1ea_u+Cc2ea_u)*A585)</f>
        <v>9.8279281884974747E-4</v>
      </c>
      <c r="N585">
        <f t="shared" ref="N585:N648" si="484">-Pi/2</f>
        <v>-1.5707963250000001</v>
      </c>
      <c r="O585">
        <f t="shared" ref="O585:O614" si="485">SQRT(1+(A585/Fz1_u)^2)</f>
        <v>306.76935570641513</v>
      </c>
      <c r="P585">
        <f t="shared" ref="P585:P648" si="486">ATAN2(Fz1_u,A585)</f>
        <v>1.5675365430113073</v>
      </c>
      <c r="Q585">
        <f t="shared" ref="Q585:Q614" si="487">SQRT(1+(A585/Fz2_u)^2)</f>
        <v>476.93628165220269</v>
      </c>
      <c r="R585">
        <f t="shared" ref="R585:R648" si="488">ATAN2(Fz2_u,A585)</f>
        <v>1.5686996091175576</v>
      </c>
      <c r="S585">
        <f t="shared" ref="S585:S614" si="489">1/SQRT(1+(A585/Fp1_u)^2)</f>
        <v>6.4861474773564035E-2</v>
      </c>
      <c r="T585">
        <f t="shared" ref="T585:T648" si="490">-ATAN2(Fp1_u,A585)</f>
        <v>-1.5058892868846532</v>
      </c>
      <c r="U585">
        <f t="shared" ref="U585:U626" si="491">1/SQRT(1+(A585/Fp2_u)^2)</f>
        <v>0.10481942865863773</v>
      </c>
      <c r="V585">
        <f t="shared" ref="V585:V648" si="492">-ATAN2(Fp2_u,A585)</f>
        <v>-1.4657839990629671</v>
      </c>
      <c r="X585">
        <f t="shared" si="457"/>
        <v>-58.088632513797556</v>
      </c>
      <c r="Y585">
        <f t="shared" ref="Y585:Y614" si="493">(180/Pi)*(D585+H585+N585+P585+R585+T585+V585)</f>
        <v>-174.23951920838218</v>
      </c>
      <c r="Z585">
        <f t="shared" si="458"/>
        <v>5.7604807916178231</v>
      </c>
      <c r="AC585">
        <v>1</v>
      </c>
      <c r="AD585">
        <f t="shared" ref="AD585:AD626" si="494">Rcea1_u*Cc1ea_u*A585*2*Pi</f>
        <v>306.76772581308001</v>
      </c>
      <c r="AE585">
        <f t="shared" ref="AE585:AE626" si="495">-Rcea1_u*Cc1ea_u*Cc2ea_u*(A585*2*Pi)^2</f>
        <v>-0.53632088298173841</v>
      </c>
      <c r="AF585">
        <f t="shared" ref="AF585:AF626" si="496">(Cc2ea_u+Cc1ea_u)*A585*2*Pi</f>
        <v>5.6528247347775E-2</v>
      </c>
      <c r="AG585">
        <f t="shared" si="473"/>
        <v>57.780838774759602</v>
      </c>
      <c r="AH585">
        <f t="shared" si="474"/>
        <v>-565.89531733224101</v>
      </c>
      <c r="AJ585">
        <f t="shared" ref="AJ585:AJ648" si="497">_Rfb1</f>
        <v>18000</v>
      </c>
      <c r="AK585">
        <f t="shared" ref="AK585:AK626" si="498">_Rfb1*Rcea2_u*Cc3ea_u*A585*2*Pi</f>
        <v>276930.13546044001</v>
      </c>
      <c r="AL585">
        <v>1</v>
      </c>
      <c r="AM585">
        <f t="shared" ref="AM585:AM626" si="499">(_Rfb1+Rcea2_u)*Cc3ea_u*A585*2*Pi</f>
        <v>476.93523329297994</v>
      </c>
      <c r="AN585">
        <f t="shared" si="475"/>
        <v>580.72174058165012</v>
      </c>
      <c r="AO585">
        <f t="shared" si="476"/>
        <v>-36.52336217466604</v>
      </c>
      <c r="AQ585">
        <f t="shared" ref="AQ585:AQ626" si="500">Eadcg/(1+(Eadcg*A585/GBP)^2)</f>
        <v>7.2652765334982653E-4</v>
      </c>
      <c r="AR585">
        <f t="shared" ref="AR585:AR626" si="501">-(A585*Eadcg*Eadcg/GBP)/(1+(Eadcg*A585/GBP)^2)</f>
        <v>-2.6954175939278562</v>
      </c>
      <c r="AT585">
        <f t="shared" si="470"/>
        <v>-1525.2822152815061</v>
      </c>
      <c r="AU585">
        <f t="shared" si="471"/>
        <v>-156.15462802233895</v>
      </c>
      <c r="AV585">
        <f t="shared" si="459"/>
        <v>-3.039570567869005</v>
      </c>
      <c r="AW585">
        <f t="shared" si="460"/>
        <v>544.32673617054377</v>
      </c>
      <c r="AX585">
        <f t="shared" si="461"/>
        <v>-2266.4948723081038</v>
      </c>
      <c r="AY585">
        <f t="shared" si="469"/>
        <v>-1.3350978432148477</v>
      </c>
      <c r="BA585">
        <f t="shared" ref="BA585:BA648" si="502">SQRT(AT585^2+AU585^2)/SQRT(AW585^2+AX585^2)</f>
        <v>0.65778330942957841</v>
      </c>
      <c r="BB585">
        <f t="shared" si="462"/>
        <v>-3.6383430097275529</v>
      </c>
      <c r="BC585">
        <f t="shared" si="463"/>
        <v>-1.7044727246541573</v>
      </c>
      <c r="BD585">
        <f t="shared" ref="BD585:BD648" si="503">BC585*180/Pi-180</f>
        <v>-277.65909352943908</v>
      </c>
      <c r="BF585">
        <f t="shared" ref="BF585:BF648" si="504">20*LOG(BA585*J585*F585*C585)</f>
        <v>-61.530233872533167</v>
      </c>
      <c r="BG585">
        <f t="shared" ref="BG585:BG648" si="505">(180/Pi)*(D585+H585+BC585)</f>
        <v>-191.32737044535662</v>
      </c>
      <c r="BH585">
        <f t="shared" si="464"/>
        <v>-11.327370445356621</v>
      </c>
      <c r="BI585">
        <f t="shared" si="465"/>
        <v>-11.327370445356621</v>
      </c>
      <c r="BJ585">
        <f t="shared" ref="BJ585:BJ648" si="506">SUM((BF586&lt;0)*(BF585&gt;0))*A585</f>
        <v>0</v>
      </c>
      <c r="BK585">
        <f t="shared" si="466"/>
        <v>0</v>
      </c>
      <c r="BM585">
        <f t="shared" si="467"/>
        <v>-57.891890862805617</v>
      </c>
      <c r="BN585">
        <f t="shared" ref="BN585:BN648" si="507">(H585+D585)*180/Pi</f>
        <v>-93.668276915917588</v>
      </c>
      <c r="BQ585" s="56">
        <f t="shared" si="468"/>
        <v>13.263617790557586</v>
      </c>
    </row>
    <row r="586" spans="1:69" x14ac:dyDescent="0.25">
      <c r="A586">
        <f t="shared" si="472"/>
        <v>1860000</v>
      </c>
      <c r="B586">
        <f t="shared" ref="B586:B649" si="508">A586/1000</f>
        <v>1860</v>
      </c>
      <c r="C586">
        <f t="shared" si="477"/>
        <v>15.458854378745913</v>
      </c>
      <c r="D586">
        <f t="shared" si="478"/>
        <v>1.5060632805025225</v>
      </c>
      <c r="F586">
        <f t="shared" si="479"/>
        <v>5.4823018588367438E-6</v>
      </c>
      <c r="G586">
        <f t="shared" si="480"/>
        <v>8.8115303021974638E-4</v>
      </c>
      <c r="H586">
        <f t="shared" si="481"/>
        <v>-3.1407114969697805</v>
      </c>
      <c r="J586">
        <f t="shared" si="482"/>
        <v>15</v>
      </c>
      <c r="M586">
        <f t="shared" si="483"/>
        <v>9.8015090267004391E-4</v>
      </c>
      <c r="N586">
        <f t="shared" si="484"/>
        <v>-1.5707963250000001</v>
      </c>
      <c r="O586">
        <f t="shared" si="485"/>
        <v>307.59621851048462</v>
      </c>
      <c r="P586">
        <f t="shared" si="486"/>
        <v>1.5675453058091136</v>
      </c>
      <c r="Q586">
        <f t="shared" si="487"/>
        <v>478.22181854641889</v>
      </c>
      <c r="R586">
        <f t="shared" si="488"/>
        <v>1.5687052454389474</v>
      </c>
      <c r="S586">
        <f t="shared" si="489"/>
        <v>6.4687846557043793E-2</v>
      </c>
      <c r="T586">
        <f t="shared" si="490"/>
        <v>-1.5060632805025225</v>
      </c>
      <c r="U586">
        <f t="shared" si="491"/>
        <v>0.10454073953315142</v>
      </c>
      <c r="V586">
        <f t="shared" si="492"/>
        <v>-1.4660642277806288</v>
      </c>
      <c r="X586">
        <f t="shared" ref="X586:X614" si="509">20*LOG(C586*J586*O586*Q586*F586*M586*S586*U586)</f>
        <v>-58.135138112461689</v>
      </c>
      <c r="Y586">
        <f t="shared" si="493"/>
        <v>-174.25488620570292</v>
      </c>
      <c r="Z586">
        <f t="shared" ref="Z586:Z649" si="510">Y586+180</f>
        <v>5.7451137942970831</v>
      </c>
      <c r="AC586">
        <v>1</v>
      </c>
      <c r="AD586">
        <f t="shared" si="494"/>
        <v>307.59459299856002</v>
      </c>
      <c r="AE586">
        <f t="shared" si="495"/>
        <v>-0.53921599719956181</v>
      </c>
      <c r="AF586">
        <f t="shared" si="496"/>
        <v>5.6680614591299999E-2</v>
      </c>
      <c r="AG586">
        <f t="shared" si="473"/>
        <v>57.473997098241476</v>
      </c>
      <c r="AH586">
        <f t="shared" si="474"/>
        <v>-564.40634755014344</v>
      </c>
      <c r="AJ586">
        <f t="shared" si="497"/>
        <v>18000</v>
      </c>
      <c r="AK586">
        <f t="shared" si="498"/>
        <v>277676.57787407999</v>
      </c>
      <c r="AL586">
        <v>1</v>
      </c>
      <c r="AM586">
        <f t="shared" si="499"/>
        <v>478.22077300536</v>
      </c>
      <c r="AN586">
        <f t="shared" si="475"/>
        <v>580.7213294202104</v>
      </c>
      <c r="AO586">
        <f t="shared" si="476"/>
        <v>-36.425181953324625</v>
      </c>
      <c r="AQ586">
        <f t="shared" si="500"/>
        <v>7.2262684106350148E-4</v>
      </c>
      <c r="AR586">
        <f t="shared" si="501"/>
        <v>-2.6881718487562254</v>
      </c>
      <c r="AT586">
        <f t="shared" si="470"/>
        <v>-1517.1797224906513</v>
      </c>
      <c r="AU586">
        <f t="shared" si="471"/>
        <v>-154.90783621099607</v>
      </c>
      <c r="AV586">
        <f t="shared" ref="AV586:AV649" si="511">ATAN2(AT586,AU586)</f>
        <v>-3.0398427583634824</v>
      </c>
      <c r="AW586">
        <f t="shared" ref="AW586:AW649" si="512">AG586-AH586*AO586/_Rfb2+AG586*AN586/_Rfb2+AN586-AO586*AR586+AQ586*AN586</f>
        <v>544.5253517933304</v>
      </c>
      <c r="AX586">
        <f t="shared" ref="AX586:AX649" si="513">AH586+AH586*AN586/_Rfb2+AG586*AO586/_Rfb2+AO586+AO586*AQ586+AN586*AR586</f>
        <v>-2260.4353388653226</v>
      </c>
      <c r="AY586">
        <f t="shared" si="469"/>
        <v>-1.3344061903388191</v>
      </c>
      <c r="BA586">
        <f t="shared" si="502"/>
        <v>0.655915644081556</v>
      </c>
      <c r="BB586">
        <f t="shared" ref="BB586:BB649" si="514">20*LOG(BA586)</f>
        <v>-3.6630402144864851</v>
      </c>
      <c r="BC586">
        <f t="shared" ref="BC586:BC649" si="515">AV586-AY586</f>
        <v>-1.7054365680246633</v>
      </c>
      <c r="BD586">
        <f t="shared" si="503"/>
        <v>-277.71431768674381</v>
      </c>
      <c r="BF586">
        <f t="shared" si="504"/>
        <v>-61.578410022262076</v>
      </c>
      <c r="BG586">
        <f t="shared" si="505"/>
        <v>-191.37276158592545</v>
      </c>
      <c r="BH586">
        <f t="shared" ref="BH586:BH649" si="516">IF(BG586&gt;180,BG586-180,BG586+180)</f>
        <v>-11.372761585925446</v>
      </c>
      <c r="BI586">
        <f t="shared" ref="BI586:BI649" si="517">IF(BH586&gt;180,BH586-360,BH586)</f>
        <v>-11.372761585925446</v>
      </c>
      <c r="BJ586">
        <f t="shared" si="506"/>
        <v>0</v>
      </c>
      <c r="BK586">
        <f t="shared" ref="BK586:BK649" si="518">IF(BJ586&gt;0,BI586,0)</f>
        <v>0</v>
      </c>
      <c r="BM586">
        <f t="shared" ref="BM586:BM649" si="519">20*LOG(J586*F586*C586)</f>
        <v>-57.915369807775591</v>
      </c>
      <c r="BN586">
        <f t="shared" si="507"/>
        <v>-93.658443899181648</v>
      </c>
      <c r="BQ586" s="56">
        <f t="shared" ref="BQ586:BQ649" si="520">20*LOG(BA586*7)</f>
        <v>13.238920585798651</v>
      </c>
    </row>
    <row r="587" spans="1:69" x14ac:dyDescent="0.25">
      <c r="A587">
        <f t="shared" si="472"/>
        <v>1865000</v>
      </c>
      <c r="B587">
        <f t="shared" si="508"/>
        <v>1865</v>
      </c>
      <c r="C587">
        <f t="shared" si="477"/>
        <v>15.500236778969667</v>
      </c>
      <c r="D587">
        <f t="shared" si="478"/>
        <v>1.5062363450722476</v>
      </c>
      <c r="F587">
        <f t="shared" si="479"/>
        <v>5.4529453931805372E-6</v>
      </c>
      <c r="G587">
        <f t="shared" si="480"/>
        <v>8.7879066492422468E-4</v>
      </c>
      <c r="H587">
        <f t="shared" si="481"/>
        <v>-3.1407138593350759</v>
      </c>
      <c r="J587">
        <f t="shared" si="482"/>
        <v>15</v>
      </c>
      <c r="M587">
        <f t="shared" si="483"/>
        <v>9.775231522607408E-4</v>
      </c>
      <c r="N587">
        <f t="shared" si="484"/>
        <v>-1.5707963250000001</v>
      </c>
      <c r="O587">
        <f t="shared" si="485"/>
        <v>308.42308133804676</v>
      </c>
      <c r="P587">
        <f t="shared" si="486"/>
        <v>1.5675540216219042</v>
      </c>
      <c r="Q587">
        <f t="shared" si="487"/>
        <v>479.50735545574588</v>
      </c>
      <c r="R587">
        <f t="shared" si="488"/>
        <v>1.5687108515389065</v>
      </c>
      <c r="S587">
        <f t="shared" si="489"/>
        <v>6.4515143494890043E-2</v>
      </c>
      <c r="T587">
        <f t="shared" si="490"/>
        <v>-1.5062363450722476</v>
      </c>
      <c r="U587">
        <f t="shared" si="491"/>
        <v>0.10426352028734046</v>
      </c>
      <c r="V587">
        <f t="shared" si="492"/>
        <v>-1.4663429703091739</v>
      </c>
      <c r="X587">
        <f t="shared" si="509"/>
        <v>-58.181520215693567</v>
      </c>
      <c r="Y587">
        <f t="shared" si="493"/>
        <v>-174.2701717445828</v>
      </c>
      <c r="Z587">
        <f t="shared" si="510"/>
        <v>5.7298282554172033</v>
      </c>
      <c r="AC587">
        <v>1</v>
      </c>
      <c r="AD587">
        <f t="shared" si="494"/>
        <v>308.42146018403997</v>
      </c>
      <c r="AE587">
        <f t="shared" si="495"/>
        <v>-0.54211890445700239</v>
      </c>
      <c r="AF587">
        <f t="shared" si="496"/>
        <v>5.6832981834824998E-2</v>
      </c>
      <c r="AG587">
        <f t="shared" si="473"/>
        <v>57.169584236527243</v>
      </c>
      <c r="AH587">
        <f t="shared" si="474"/>
        <v>-562.92510689566882</v>
      </c>
      <c r="AJ587">
        <f t="shared" si="497"/>
        <v>18000</v>
      </c>
      <c r="AK587">
        <f t="shared" si="498"/>
        <v>278423.02028772002</v>
      </c>
      <c r="AL587">
        <v>1</v>
      </c>
      <c r="AM587">
        <f t="shared" si="499"/>
        <v>479.50631271774</v>
      </c>
      <c r="AN587">
        <f t="shared" si="475"/>
        <v>580.72092156124518</v>
      </c>
      <c r="AO587">
        <f t="shared" si="476"/>
        <v>-36.327528160599137</v>
      </c>
      <c r="AQ587">
        <f t="shared" si="500"/>
        <v>7.1875736052459508E-4</v>
      </c>
      <c r="AR587">
        <f t="shared" si="501"/>
        <v>-2.6809649547567398</v>
      </c>
      <c r="AT587">
        <f t="shared" si="470"/>
        <v>-1509.1413926805117</v>
      </c>
      <c r="AU587">
        <f t="shared" si="471"/>
        <v>-153.67425838014825</v>
      </c>
      <c r="AV587">
        <f t="shared" si="511"/>
        <v>-3.040113505768741</v>
      </c>
      <c r="AW587">
        <f t="shared" si="512"/>
        <v>544.72233394521754</v>
      </c>
      <c r="AX587">
        <f t="shared" si="513"/>
        <v>-2254.4080343140577</v>
      </c>
      <c r="AY587">
        <f t="shared" ref="AY587:AY650" si="521">ATAN2(AW587,AX587)</f>
        <v>-1.33371499991223</v>
      </c>
      <c r="BA587">
        <f t="shared" si="502"/>
        <v>0.65405767253230063</v>
      </c>
      <c r="BB587">
        <f t="shared" si="514"/>
        <v>-3.6876791081865061</v>
      </c>
      <c r="BC587">
        <f t="shared" si="515"/>
        <v>-1.706398505856511</v>
      </c>
      <c r="BD587">
        <f t="shared" si="503"/>
        <v>-277.76943266472563</v>
      </c>
      <c r="BF587">
        <f t="shared" si="504"/>
        <v>-61.62646430644547</v>
      </c>
      <c r="BG587">
        <f t="shared" si="505"/>
        <v>-191.4180960480287</v>
      </c>
      <c r="BH587">
        <f t="shared" si="516"/>
        <v>-11.418096048028701</v>
      </c>
      <c r="BI587">
        <f t="shared" si="517"/>
        <v>-11.418096048028701</v>
      </c>
      <c r="BJ587">
        <f t="shared" si="506"/>
        <v>0</v>
      </c>
      <c r="BK587">
        <f t="shared" si="518"/>
        <v>0</v>
      </c>
      <c r="BM587">
        <f t="shared" si="519"/>
        <v>-57.938785198258969</v>
      </c>
      <c r="BN587">
        <f t="shared" si="507"/>
        <v>-93.648663383303088</v>
      </c>
      <c r="BQ587" s="56">
        <f t="shared" si="520"/>
        <v>13.214281692098631</v>
      </c>
    </row>
    <row r="588" spans="1:69" x14ac:dyDescent="0.25">
      <c r="A588">
        <f t="shared" si="472"/>
        <v>1870000</v>
      </c>
      <c r="B588">
        <f t="shared" si="508"/>
        <v>1870</v>
      </c>
      <c r="C588">
        <f t="shared" si="477"/>
        <v>15.541619640974039</v>
      </c>
      <c r="D588">
        <f t="shared" si="478"/>
        <v>1.5064084880047839</v>
      </c>
      <c r="F588">
        <f t="shared" si="479"/>
        <v>5.4238240938344864E-6</v>
      </c>
      <c r="G588">
        <f t="shared" si="480"/>
        <v>8.7644093279578845E-4</v>
      </c>
      <c r="H588">
        <f t="shared" si="481"/>
        <v>-3.1407162090672043</v>
      </c>
      <c r="J588">
        <f t="shared" si="482"/>
        <v>15</v>
      </c>
      <c r="M588">
        <f t="shared" si="483"/>
        <v>9.7490945399266392E-4</v>
      </c>
      <c r="N588">
        <f t="shared" si="484"/>
        <v>-1.5707963250000001</v>
      </c>
      <c r="O588">
        <f t="shared" si="485"/>
        <v>309.24994418891305</v>
      </c>
      <c r="P588">
        <f t="shared" si="486"/>
        <v>1.5675626908265587</v>
      </c>
      <c r="Q588">
        <f t="shared" si="487"/>
        <v>480.79289238006237</v>
      </c>
      <c r="R588">
        <f t="shared" si="488"/>
        <v>1.5687164276598515</v>
      </c>
      <c r="S588">
        <f t="shared" si="489"/>
        <v>6.4343358227838293E-2</v>
      </c>
      <c r="T588">
        <f t="shared" si="490"/>
        <v>-1.5064084880047839</v>
      </c>
      <c r="U588">
        <f t="shared" si="491"/>
        <v>0.10398775938745621</v>
      </c>
      <c r="V588">
        <f t="shared" si="492"/>
        <v>-1.4666202383973364</v>
      </c>
      <c r="X588">
        <f t="shared" si="509"/>
        <v>-58.227779474123167</v>
      </c>
      <c r="Y588">
        <f t="shared" si="493"/>
        <v>-174.28537646854483</v>
      </c>
      <c r="Z588">
        <f t="shared" si="510"/>
        <v>5.7146235314551745</v>
      </c>
      <c r="AC588">
        <v>1</v>
      </c>
      <c r="AD588">
        <f t="shared" si="494"/>
        <v>309.24832736951998</v>
      </c>
      <c r="AE588">
        <f t="shared" si="495"/>
        <v>-0.54502960475406037</v>
      </c>
      <c r="AF588">
        <f t="shared" si="496"/>
        <v>5.6985349078349998E-2</v>
      </c>
      <c r="AG588">
        <f t="shared" si="473"/>
        <v>56.867574717236501</v>
      </c>
      <c r="AH588">
        <f t="shared" si="474"/>
        <v>-561.45153603372114</v>
      </c>
      <c r="AJ588">
        <f t="shared" si="497"/>
        <v>18000</v>
      </c>
      <c r="AK588">
        <f t="shared" si="498"/>
        <v>279169.46270136</v>
      </c>
      <c r="AL588">
        <v>1</v>
      </c>
      <c r="AM588">
        <f t="shared" si="499"/>
        <v>480.79185243012</v>
      </c>
      <c r="AN588">
        <f t="shared" si="475"/>
        <v>580.72051696948142</v>
      </c>
      <c r="AO588">
        <f t="shared" si="476"/>
        <v>-36.230396573873513</v>
      </c>
      <c r="AQ588">
        <f t="shared" si="500"/>
        <v>7.1491887708263909E-4</v>
      </c>
      <c r="AR588">
        <f t="shared" si="501"/>
        <v>-2.6737966002890703</v>
      </c>
      <c r="AT588">
        <f t="shared" si="470"/>
        <v>-1501.1665525713809</v>
      </c>
      <c r="AU588">
        <f t="shared" si="471"/>
        <v>-152.45372024730921</v>
      </c>
      <c r="AV588">
        <f t="shared" si="511"/>
        <v>-3.0403828214877979</v>
      </c>
      <c r="AW588">
        <f t="shared" si="512"/>
        <v>544.91770057405608</v>
      </c>
      <c r="AX588">
        <f t="shared" si="513"/>
        <v>-2248.4127028712619</v>
      </c>
      <c r="AY588">
        <f t="shared" si="521"/>
        <v>-1.3330242702403978</v>
      </c>
      <c r="BA588">
        <f t="shared" si="502"/>
        <v>0.65220931828312556</v>
      </c>
      <c r="BB588">
        <f t="shared" si="514"/>
        <v>-3.7122600121641716</v>
      </c>
      <c r="BC588">
        <f t="shared" si="515"/>
        <v>-1.7073585512474001</v>
      </c>
      <c r="BD588">
        <f t="shared" si="503"/>
        <v>-277.82443921382742</v>
      </c>
      <c r="BF588">
        <f t="shared" si="504"/>
        <v>-61.674397390905341</v>
      </c>
      <c r="BG588">
        <f t="shared" si="505"/>
        <v>-191.46337416334597</v>
      </c>
      <c r="BH588">
        <f t="shared" si="516"/>
        <v>-11.463374163345975</v>
      </c>
      <c r="BI588">
        <f t="shared" si="517"/>
        <v>-11.463374163345975</v>
      </c>
      <c r="BJ588">
        <f t="shared" si="506"/>
        <v>0</v>
      </c>
      <c r="BK588">
        <f t="shared" si="518"/>
        <v>0</v>
      </c>
      <c r="BM588">
        <f t="shared" si="519"/>
        <v>-57.962137378741176</v>
      </c>
      <c r="BN588">
        <f t="shared" si="507"/>
        <v>-93.638934949518557</v>
      </c>
      <c r="BQ588" s="56">
        <f t="shared" si="520"/>
        <v>13.189700788120966</v>
      </c>
    </row>
    <row r="589" spans="1:69" x14ac:dyDescent="0.25">
      <c r="A589">
        <f t="shared" si="472"/>
        <v>1875000</v>
      </c>
      <c r="B589">
        <f t="shared" si="508"/>
        <v>1875</v>
      </c>
      <c r="C589">
        <f t="shared" si="477"/>
        <v>15.58300296108006</v>
      </c>
      <c r="D589">
        <f t="shared" si="478"/>
        <v>1.5065797166325821</v>
      </c>
      <c r="F589">
        <f t="shared" si="479"/>
        <v>5.3949354556844087E-6</v>
      </c>
      <c r="G589">
        <f t="shared" si="480"/>
        <v>8.7410373276700169E-4</v>
      </c>
      <c r="H589">
        <f t="shared" si="481"/>
        <v>-3.1407185462672333</v>
      </c>
      <c r="J589">
        <f t="shared" si="482"/>
        <v>15</v>
      </c>
      <c r="M589">
        <f t="shared" si="483"/>
        <v>9.7230969544868343E-4</v>
      </c>
      <c r="N589">
        <f t="shared" si="484"/>
        <v>-1.5707963250000001</v>
      </c>
      <c r="O589">
        <f t="shared" si="485"/>
        <v>310.0768070628971</v>
      </c>
      <c r="P589">
        <f t="shared" si="486"/>
        <v>1.5675713137959375</v>
      </c>
      <c r="Q589">
        <f t="shared" si="487"/>
        <v>482.07842931924847</v>
      </c>
      <c r="R589">
        <f t="shared" si="488"/>
        <v>1.5687219740416132</v>
      </c>
      <c r="S589">
        <f t="shared" si="489"/>
        <v>6.4172483474307832E-2</v>
      </c>
      <c r="T589">
        <f t="shared" si="490"/>
        <v>-1.5065797166325821</v>
      </c>
      <c r="U589">
        <f t="shared" si="491"/>
        <v>0.10371344541942255</v>
      </c>
      <c r="V589">
        <f t="shared" si="492"/>
        <v>-1.4668960436707921</v>
      </c>
      <c r="X589">
        <f t="shared" si="509"/>
        <v>-58.273916533279802</v>
      </c>
      <c r="Y589">
        <f t="shared" si="493"/>
        <v>-174.30050101437735</v>
      </c>
      <c r="Z589">
        <f t="shared" si="510"/>
        <v>5.6994989856226539</v>
      </c>
      <c r="AC589">
        <v>1</v>
      </c>
      <c r="AD589">
        <f t="shared" si="494"/>
        <v>310.075194555</v>
      </c>
      <c r="AE589">
        <f t="shared" si="495"/>
        <v>-0.54794809809073564</v>
      </c>
      <c r="AF589">
        <f t="shared" si="496"/>
        <v>5.7137716321874997E-2</v>
      </c>
      <c r="AG589">
        <f t="shared" si="473"/>
        <v>56.567943399808208</v>
      </c>
      <c r="AH589">
        <f t="shared" si="474"/>
        <v>-559.98557622751207</v>
      </c>
      <c r="AJ589">
        <f t="shared" si="497"/>
        <v>18000</v>
      </c>
      <c r="AK589">
        <f t="shared" si="498"/>
        <v>279915.90511500003</v>
      </c>
      <c r="AL589">
        <v>1</v>
      </c>
      <c r="AM589">
        <f t="shared" si="499"/>
        <v>482.0773921425</v>
      </c>
      <c r="AN589">
        <f t="shared" si="475"/>
        <v>580.7201156101155</v>
      </c>
      <c r="AO589">
        <f t="shared" si="476"/>
        <v>-36.13378301557195</v>
      </c>
      <c r="AQ589">
        <f t="shared" si="500"/>
        <v>7.1111106054321351E-4</v>
      </c>
      <c r="AR589">
        <f t="shared" si="501"/>
        <v>-2.6666664770370505</v>
      </c>
      <c r="AT589">
        <f t="shared" si="470"/>
        <v>-1493.2545376599585</v>
      </c>
      <c r="AU589">
        <f t="shared" si="471"/>
        <v>-151.24605027619788</v>
      </c>
      <c r="AV589">
        <f t="shared" si="511"/>
        <v>-3.040650716804302</v>
      </c>
      <c r="AW589">
        <f t="shared" si="512"/>
        <v>545.11146938085938</v>
      </c>
      <c r="AX589">
        <f t="shared" si="513"/>
        <v>-2242.4490914467069</v>
      </c>
      <c r="AY589">
        <f t="shared" si="521"/>
        <v>-1.3323339996523931</v>
      </c>
      <c r="BA589">
        <f t="shared" si="502"/>
        <v>0.65037050564035692</v>
      </c>
      <c r="BB589">
        <f t="shared" si="514"/>
        <v>-3.7367832452073757</v>
      </c>
      <c r="BC589">
        <f t="shared" si="515"/>
        <v>-1.7083167171519089</v>
      </c>
      <c r="BD589">
        <f t="shared" si="503"/>
        <v>-277.87933807629184</v>
      </c>
      <c r="BF589">
        <f t="shared" si="504"/>
        <v>-61.72220993611144</v>
      </c>
      <c r="BG589">
        <f t="shared" si="505"/>
        <v>-191.50859625979223</v>
      </c>
      <c r="BH589">
        <f t="shared" si="516"/>
        <v>-11.508596259792228</v>
      </c>
      <c r="BI589">
        <f t="shared" si="517"/>
        <v>-11.508596259792228</v>
      </c>
      <c r="BJ589">
        <f t="shared" si="506"/>
        <v>0</v>
      </c>
      <c r="BK589">
        <f t="shared" si="518"/>
        <v>0</v>
      </c>
      <c r="BM589">
        <f t="shared" si="519"/>
        <v>-57.985426690904056</v>
      </c>
      <c r="BN589">
        <f t="shared" si="507"/>
        <v>-93.629258183500397</v>
      </c>
      <c r="BQ589" s="56">
        <f t="shared" si="520"/>
        <v>13.165177555077761</v>
      </c>
    </row>
    <row r="590" spans="1:69" x14ac:dyDescent="0.25">
      <c r="A590">
        <f t="shared" si="472"/>
        <v>1880000</v>
      </c>
      <c r="B590">
        <f t="shared" si="508"/>
        <v>1880</v>
      </c>
      <c r="C590">
        <f t="shared" si="477"/>
        <v>15.624386735647695</v>
      </c>
      <c r="D590">
        <f t="shared" si="478"/>
        <v>1.5067500382106236</v>
      </c>
      <c r="F590">
        <f t="shared" si="479"/>
        <v>5.3662770068847839E-6</v>
      </c>
      <c r="G590">
        <f t="shared" si="480"/>
        <v>8.7177896484564199E-4</v>
      </c>
      <c r="H590">
        <f t="shared" si="481"/>
        <v>-3.1407208710351546</v>
      </c>
      <c r="J590">
        <f t="shared" si="482"/>
        <v>15</v>
      </c>
      <c r="M590">
        <f t="shared" si="483"/>
        <v>9.6972376540759649E-4</v>
      </c>
      <c r="N590">
        <f t="shared" si="484"/>
        <v>-1.5707963250000001</v>
      </c>
      <c r="O590">
        <f t="shared" si="485"/>
        <v>310.90366995981447</v>
      </c>
      <c r="P590">
        <f t="shared" si="486"/>
        <v>1.5675798908989336</v>
      </c>
      <c r="Q590">
        <f t="shared" si="487"/>
        <v>483.36396627318561</v>
      </c>
      <c r="R590">
        <f t="shared" si="488"/>
        <v>1.5687274909214708</v>
      </c>
      <c r="S590">
        <f t="shared" si="489"/>
        <v>6.4002512029381481E-2</v>
      </c>
      <c r="T590">
        <f t="shared" si="490"/>
        <v>-1.5067500382106236</v>
      </c>
      <c r="U590">
        <f t="shared" si="491"/>
        <v>0.10344056708729689</v>
      </c>
      <c r="V590">
        <f t="shared" si="492"/>
        <v>-1.4671703976337602</v>
      </c>
      <c r="X590">
        <f t="shared" si="509"/>
        <v>-58.31993203364501</v>
      </c>
      <c r="Y590">
        <f t="shared" si="493"/>
        <v>-174.31554601222149</v>
      </c>
      <c r="Z590">
        <f t="shared" si="510"/>
        <v>5.684453987778511</v>
      </c>
      <c r="AC590">
        <v>1</v>
      </c>
      <c r="AD590">
        <f t="shared" si="494"/>
        <v>310.90206174048001</v>
      </c>
      <c r="AE590">
        <f t="shared" si="495"/>
        <v>-0.5508743844670283</v>
      </c>
      <c r="AF590">
        <f t="shared" si="496"/>
        <v>5.7290083565400003E-2</v>
      </c>
      <c r="AG590">
        <f t="shared" si="473"/>
        <v>56.2706654703467</v>
      </c>
      <c r="AH590">
        <f t="shared" si="474"/>
        <v>-558.52716933113948</v>
      </c>
      <c r="AJ590">
        <f t="shared" si="497"/>
        <v>18000</v>
      </c>
      <c r="AK590">
        <f t="shared" si="498"/>
        <v>280662.34752864006</v>
      </c>
      <c r="AL590">
        <v>1</v>
      </c>
      <c r="AM590">
        <f t="shared" si="499"/>
        <v>483.36293185488</v>
      </c>
      <c r="AN590">
        <f t="shared" si="475"/>
        <v>580.71971744880648</v>
      </c>
      <c r="AO590">
        <f t="shared" si="476"/>
        <v>-36.037683352559974</v>
      </c>
      <c r="AQ590">
        <f t="shared" si="500"/>
        <v>7.073335850969341E-4</v>
      </c>
      <c r="AR590">
        <f t="shared" si="501"/>
        <v>-2.6595742799644722</v>
      </c>
      <c r="AT590">
        <f t="shared" si="470"/>
        <v>-1485.4046920829171</v>
      </c>
      <c r="AU590">
        <f t="shared" si="471"/>
        <v>-150.05107962647605</v>
      </c>
      <c r="AV590">
        <f t="shared" si="511"/>
        <v>-3.0409172028840818</v>
      </c>
      <c r="AW590">
        <f t="shared" si="512"/>
        <v>545.30365782388037</v>
      </c>
      <c r="AX590">
        <f t="shared" si="513"/>
        <v>-2236.5169496077251</v>
      </c>
      <c r="AY590">
        <f t="shared" si="521"/>
        <v>-1.3316441865006754</v>
      </c>
      <c r="BA590">
        <f t="shared" si="502"/>
        <v>0.64854115970480486</v>
      </c>
      <c r="BB590">
        <f t="shared" si="514"/>
        <v>-3.761249123581714</v>
      </c>
      <c r="BC590">
        <f t="shared" si="515"/>
        <v>-1.7092730163834065</v>
      </c>
      <c r="BD590">
        <f t="shared" si="503"/>
        <v>-277.93412998627088</v>
      </c>
      <c r="BF590">
        <f t="shared" si="504"/>
        <v>-61.769902597238044</v>
      </c>
      <c r="BG590">
        <f t="shared" si="505"/>
        <v>-191.5537626615687</v>
      </c>
      <c r="BH590">
        <f t="shared" si="516"/>
        <v>-11.553762661568697</v>
      </c>
      <c r="BI590">
        <f t="shared" si="517"/>
        <v>-11.553762661568697</v>
      </c>
      <c r="BJ590">
        <f t="shared" si="506"/>
        <v>0</v>
      </c>
      <c r="BK590">
        <f t="shared" si="518"/>
        <v>0</v>
      </c>
      <c r="BM590">
        <f t="shared" si="519"/>
        <v>-58.008653473656331</v>
      </c>
      <c r="BN590">
        <f t="shared" si="507"/>
        <v>-93.619632675297851</v>
      </c>
      <c r="BQ590" s="56">
        <f t="shared" si="520"/>
        <v>13.140711676703422</v>
      </c>
    </row>
    <row r="591" spans="1:69" x14ac:dyDescent="0.25">
      <c r="A591">
        <f t="shared" si="472"/>
        <v>1885000</v>
      </c>
      <c r="B591">
        <f t="shared" si="508"/>
        <v>1885</v>
      </c>
      <c r="C591">
        <f t="shared" si="477"/>
        <v>15.665770961075335</v>
      </c>
      <c r="D591">
        <f t="shared" si="478"/>
        <v>1.50691945991744</v>
      </c>
      <c r="F591">
        <f t="shared" si="479"/>
        <v>5.3378463083299835E-6</v>
      </c>
      <c r="G591">
        <f t="shared" si="480"/>
        <v>8.694665301004394E-4</v>
      </c>
      <c r="H591">
        <f t="shared" si="481"/>
        <v>-3.1407231834698996</v>
      </c>
      <c r="J591">
        <f t="shared" si="482"/>
        <v>15</v>
      </c>
      <c r="M591">
        <f t="shared" si="483"/>
        <v>9.671515538282662E-4</v>
      </c>
      <c r="N591">
        <f t="shared" si="484"/>
        <v>-1.5707963250000001</v>
      </c>
      <c r="O591">
        <f t="shared" si="485"/>
        <v>311.73053287948267</v>
      </c>
      <c r="P591">
        <f t="shared" si="486"/>
        <v>1.5675884225005265</v>
      </c>
      <c r="Q591">
        <f t="shared" si="487"/>
        <v>484.64950324175635</v>
      </c>
      <c r="R591">
        <f t="shared" si="488"/>
        <v>1.5687329785341861</v>
      </c>
      <c r="S591">
        <f t="shared" si="489"/>
        <v>6.3833436763801502E-2</v>
      </c>
      <c r="T591">
        <f t="shared" si="490"/>
        <v>-1.50691945991744</v>
      </c>
      <c r="U591">
        <f t="shared" si="491"/>
        <v>0.10316911321175455</v>
      </c>
      <c r="V591">
        <f t="shared" si="492"/>
        <v>-1.4674433116705794</v>
      </c>
      <c r="X591">
        <f t="shared" si="509"/>
        <v>-58.365826610704758</v>
      </c>
      <c r="Y591">
        <f t="shared" si="493"/>
        <v>-174.33051208565755</v>
      </c>
      <c r="Z591">
        <f t="shared" si="510"/>
        <v>5.6694879143424544</v>
      </c>
      <c r="AC591">
        <v>1</v>
      </c>
      <c r="AD591">
        <f t="shared" si="494"/>
        <v>311.72892892596002</v>
      </c>
      <c r="AE591">
        <f t="shared" si="495"/>
        <v>-0.55380846388293814</v>
      </c>
      <c r="AF591">
        <f t="shared" si="496"/>
        <v>5.7442450808925002E-2</v>
      </c>
      <c r="AG591">
        <f t="shared" si="473"/>
        <v>55.975716436560461</v>
      </c>
      <c r="AH591">
        <f t="shared" si="474"/>
        <v>-557.07625778227725</v>
      </c>
      <c r="AJ591">
        <f t="shared" si="497"/>
        <v>18000</v>
      </c>
      <c r="AK591">
        <f t="shared" si="498"/>
        <v>281408.78994227998</v>
      </c>
      <c r="AL591">
        <v>1</v>
      </c>
      <c r="AM591">
        <f t="shared" si="499"/>
        <v>484.64847156726</v>
      </c>
      <c r="AN591">
        <f t="shared" si="475"/>
        <v>580.71932245166761</v>
      </c>
      <c r="AO591">
        <f t="shared" si="476"/>
        <v>-35.942093495555092</v>
      </c>
      <c r="AQ591">
        <f t="shared" si="500"/>
        <v>7.0358612924975692E-4</v>
      </c>
      <c r="AR591">
        <f t="shared" si="501"/>
        <v>-2.6525197072715838</v>
      </c>
      <c r="AT591">
        <f t="shared" si="470"/>
        <v>-1477.6163684829357</v>
      </c>
      <c r="AU591">
        <f t="shared" si="471"/>
        <v>-148.86864210453251</v>
      </c>
      <c r="AV591">
        <f t="shared" si="511"/>
        <v>-3.041182290776677</v>
      </c>
      <c r="AW591">
        <f t="shared" si="512"/>
        <v>545.4942831226092</v>
      </c>
      <c r="AX591">
        <f t="shared" si="513"/>
        <v>-2230.6160295444979</v>
      </c>
      <c r="AY591">
        <f t="shared" si="521"/>
        <v>-1.3309548291607383</v>
      </c>
      <c r="BA591">
        <f t="shared" si="502"/>
        <v>0.64672120636140418</v>
      </c>
      <c r="BB591">
        <f t="shared" si="514"/>
        <v>-3.7856579610564274</v>
      </c>
      <c r="BC591">
        <f t="shared" si="515"/>
        <v>-1.7102274616159387</v>
      </c>
      <c r="BD591">
        <f t="shared" si="503"/>
        <v>-277.98881566993384</v>
      </c>
      <c r="BF591">
        <f t="shared" si="504"/>
        <v>-61.817476024220007</v>
      </c>
      <c r="BG591">
        <f t="shared" si="505"/>
        <v>-191.59887368921352</v>
      </c>
      <c r="BH591">
        <f t="shared" si="516"/>
        <v>-11.598873689213519</v>
      </c>
      <c r="BI591">
        <f t="shared" si="517"/>
        <v>-11.598873689213519</v>
      </c>
      <c r="BJ591">
        <f t="shared" si="506"/>
        <v>0</v>
      </c>
      <c r="BK591">
        <f t="shared" si="518"/>
        <v>0</v>
      </c>
      <c r="BM591">
        <f t="shared" si="519"/>
        <v>-58.031818063163584</v>
      </c>
      <c r="BN591">
        <f t="shared" si="507"/>
        <v>-93.61005801927972</v>
      </c>
      <c r="BQ591" s="56">
        <f t="shared" si="520"/>
        <v>13.116302839228711</v>
      </c>
    </row>
    <row r="592" spans="1:69" x14ac:dyDescent="0.25">
      <c r="A592">
        <f>A591+5000</f>
        <v>1890000</v>
      </c>
      <c r="B592">
        <f t="shared" si="508"/>
        <v>1890</v>
      </c>
      <c r="C592">
        <f t="shared" si="477"/>
        <v>15.707155633799287</v>
      </c>
      <c r="D592">
        <f t="shared" si="478"/>
        <v>1.5070879888561159</v>
      </c>
      <c r="F592">
        <f t="shared" si="479"/>
        <v>5.3096409531352684E-6</v>
      </c>
      <c r="G592">
        <f t="shared" si="480"/>
        <v>8.6716633064704235E-4</v>
      </c>
      <c r="H592">
        <f t="shared" si="481"/>
        <v>-3.1407254836693532</v>
      </c>
      <c r="J592">
        <f t="shared" si="482"/>
        <v>15</v>
      </c>
      <c r="M592">
        <f t="shared" si="483"/>
        <v>9.6459295183401147E-4</v>
      </c>
      <c r="N592">
        <f t="shared" si="484"/>
        <v>-1.5707963250000001</v>
      </c>
      <c r="O592">
        <f t="shared" si="485"/>
        <v>312.55739582172117</v>
      </c>
      <c r="P592">
        <f t="shared" si="486"/>
        <v>1.5675969089618336</v>
      </c>
      <c r="Q592">
        <f t="shared" si="487"/>
        <v>485.9350402248445</v>
      </c>
      <c r="R592">
        <f t="shared" si="488"/>
        <v>1.568738437112037</v>
      </c>
      <c r="S592">
        <f t="shared" si="489"/>
        <v>6.3665250622981034E-2</v>
      </c>
      <c r="T592">
        <f t="shared" si="490"/>
        <v>-1.5070879888561159</v>
      </c>
      <c r="U592">
        <f t="shared" si="491"/>
        <v>0.10289907272859637</v>
      </c>
      <c r="V592">
        <f t="shared" si="492"/>
        <v>-1.4677147970472593</v>
      </c>
      <c r="X592">
        <f t="shared" si="509"/>
        <v>-58.411600895000994</v>
      </c>
      <c r="Y592">
        <f t="shared" si="493"/>
        <v>-174.34539985178969</v>
      </c>
      <c r="Z592">
        <f t="shared" si="510"/>
        <v>5.6546001482103065</v>
      </c>
      <c r="AC592">
        <v>1</v>
      </c>
      <c r="AD592">
        <f t="shared" si="494"/>
        <v>312.55579611144003</v>
      </c>
      <c r="AE592">
        <f t="shared" si="495"/>
        <v>-0.55675033633846527</v>
      </c>
      <c r="AF592">
        <f t="shared" si="496"/>
        <v>5.7594818052450002E-2</v>
      </c>
      <c r="AG592">
        <f t="shared" si="473"/>
        <v>55.683072122791728</v>
      </c>
      <c r="AH592">
        <f t="shared" si="474"/>
        <v>-555.6327845949678</v>
      </c>
      <c r="AJ592">
        <f t="shared" si="497"/>
        <v>18000</v>
      </c>
      <c r="AK592">
        <f t="shared" si="498"/>
        <v>282155.23235592002</v>
      </c>
      <c r="AL592">
        <v>1</v>
      </c>
      <c r="AM592">
        <f t="shared" si="499"/>
        <v>485.93401127964</v>
      </c>
      <c r="AN592">
        <f t="shared" si="475"/>
        <v>580.71893058526075</v>
      </c>
      <c r="AO592">
        <f t="shared" si="476"/>
        <v>-35.847009398546668</v>
      </c>
      <c r="AQ592">
        <f t="shared" si="500"/>
        <v>6.9986837575457185E-4</v>
      </c>
      <c r="AR592">
        <f t="shared" si="501"/>
        <v>-2.6455024603522816</v>
      </c>
      <c r="AT592">
        <f t="shared" si="470"/>
        <v>-1469.888927877133</v>
      </c>
      <c r="AU592">
        <f t="shared" si="471"/>
        <v>-147.69857411528952</v>
      </c>
      <c r="AV592">
        <f t="shared" si="511"/>
        <v>-3.0414459914168401</v>
      </c>
      <c r="AW592">
        <f t="shared" si="512"/>
        <v>545.68336226169538</v>
      </c>
      <c r="AX592">
        <f t="shared" si="513"/>
        <v>-2224.7460860358951</v>
      </c>
      <c r="AY592">
        <f t="shared" si="521"/>
        <v>-1.3302659260307594</v>
      </c>
      <c r="BA592">
        <f t="shared" si="502"/>
        <v>0.64491057226900939</v>
      </c>
      <c r="BB592">
        <f t="shared" si="514"/>
        <v>-3.8100100689301106</v>
      </c>
      <c r="BC592">
        <f t="shared" si="515"/>
        <v>-1.7111800653860807</v>
      </c>
      <c r="BD592">
        <f t="shared" si="503"/>
        <v>-278.04339584557357</v>
      </c>
      <c r="BF592">
        <f t="shared" si="504"/>
        <v>-61.864930861808027</v>
      </c>
      <c r="BG592">
        <f t="shared" si="505"/>
        <v>-191.64392965965118</v>
      </c>
      <c r="BH592">
        <f t="shared" si="516"/>
        <v>-11.643929659651178</v>
      </c>
      <c r="BI592">
        <f t="shared" si="517"/>
        <v>-11.643929659651178</v>
      </c>
      <c r="BJ592">
        <f t="shared" si="506"/>
        <v>0</v>
      </c>
      <c r="BK592">
        <f t="shared" si="518"/>
        <v>0</v>
      </c>
      <c r="BM592">
        <f t="shared" si="519"/>
        <v>-58.054920792877915</v>
      </c>
      <c r="BN592">
        <f t="shared" si="507"/>
        <v>-93.600533814077622</v>
      </c>
      <c r="BQ592" s="56">
        <f t="shared" si="520"/>
        <v>13.091950731355027</v>
      </c>
    </row>
    <row r="593" spans="1:69" x14ac:dyDescent="0.25">
      <c r="A593">
        <f t="shared" ref="A593:A598" si="522">A592+5000</f>
        <v>1895000</v>
      </c>
      <c r="B593">
        <f t="shared" si="508"/>
        <v>1895</v>
      </c>
      <c r="C593">
        <f t="shared" si="477"/>
        <v>15.748540750293275</v>
      </c>
      <c r="D593">
        <f t="shared" si="478"/>
        <v>1.5072556320552757</v>
      </c>
      <c r="F593">
        <f t="shared" si="479"/>
        <v>5.2816585661273612E-6</v>
      </c>
      <c r="G593">
        <f t="shared" si="480"/>
        <v>8.6487826963420604E-4</v>
      </c>
      <c r="H593">
        <f t="shared" si="481"/>
        <v>-3.1407277717303659</v>
      </c>
      <c r="J593">
        <f t="shared" si="482"/>
        <v>15</v>
      </c>
      <c r="M593">
        <f t="shared" si="483"/>
        <v>9.620478516972462E-4</v>
      </c>
      <c r="N593">
        <f t="shared" si="484"/>
        <v>-1.5707963250000001</v>
      </c>
      <c r="O593">
        <f t="shared" si="485"/>
        <v>313.38425878635121</v>
      </c>
      <c r="P593">
        <f t="shared" si="486"/>
        <v>1.5676053506401608</v>
      </c>
      <c r="Q593">
        <f t="shared" si="487"/>
        <v>487.22057722233524</v>
      </c>
      <c r="R593">
        <f t="shared" si="488"/>
        <v>1.5687438668848492</v>
      </c>
      <c r="S593">
        <f t="shared" si="489"/>
        <v>6.3497946626031226E-2</v>
      </c>
      <c r="T593">
        <f t="shared" si="490"/>
        <v>-1.5072556320552757</v>
      </c>
      <c r="U593">
        <f t="shared" si="491"/>
        <v>0.10263043468727896</v>
      </c>
      <c r="V593">
        <f t="shared" si="492"/>
        <v>-1.4679848649130085</v>
      </c>
      <c r="X593">
        <f t="shared" si="509"/>
        <v>-58.457255512182542</v>
      </c>
      <c r="Y593">
        <f t="shared" si="493"/>
        <v>-174.36020992132941</v>
      </c>
      <c r="Z593">
        <f t="shared" si="510"/>
        <v>5.6397900786705861</v>
      </c>
      <c r="AC593">
        <v>1</v>
      </c>
      <c r="AD593">
        <f t="shared" si="494"/>
        <v>313.38266329691999</v>
      </c>
      <c r="AE593">
        <f t="shared" si="495"/>
        <v>-0.55970000183360979</v>
      </c>
      <c r="AF593">
        <f t="shared" si="496"/>
        <v>5.7747185295975001E-2</v>
      </c>
      <c r="AG593">
        <f t="shared" si="473"/>
        <v>55.392708665135352</v>
      </c>
      <c r="AH593">
        <f t="shared" si="474"/>
        <v>-554.19669335252445</v>
      </c>
      <c r="AJ593">
        <f t="shared" si="497"/>
        <v>18000</v>
      </c>
      <c r="AK593">
        <f t="shared" si="498"/>
        <v>282901.67476955999</v>
      </c>
      <c r="AL593">
        <v>1</v>
      </c>
      <c r="AM593">
        <f t="shared" si="499"/>
        <v>487.21955099202</v>
      </c>
      <c r="AN593">
        <f t="shared" si="475"/>
        <v>580.71854181658716</v>
      </c>
      <c r="AO593">
        <f t="shared" si="476"/>
        <v>-35.752427058225166</v>
      </c>
      <c r="AQ593">
        <f t="shared" si="500"/>
        <v>6.9618001154405696E-4</v>
      </c>
      <c r="AR593">
        <f t="shared" si="501"/>
        <v>-2.638522243751976</v>
      </c>
      <c r="AT593">
        <f t="shared" si="470"/>
        <v>-1462.2217395278708</v>
      </c>
      <c r="AU593">
        <f t="shared" si="471"/>
        <v>-146.54071461500828</v>
      </c>
      <c r="AV593">
        <f t="shared" si="511"/>
        <v>-3.0417083156260194</v>
      </c>
      <c r="AW593">
        <f t="shared" si="512"/>
        <v>545.87091199479198</v>
      </c>
      <c r="AX593">
        <f t="shared" si="513"/>
        <v>-2218.9068764158346</v>
      </c>
      <c r="AY593">
        <f t="shared" si="521"/>
        <v>-1.3295774755312577</v>
      </c>
      <c r="BA593">
        <f t="shared" si="502"/>
        <v>0.64310918485035695</v>
      </c>
      <c r="BB593">
        <f t="shared" si="514"/>
        <v>-3.8343057560559748</v>
      </c>
      <c r="BC593">
        <f t="shared" si="515"/>
        <v>-1.7121308400947617</v>
      </c>
      <c r="BD593">
        <f t="shared" si="503"/>
        <v>-278.09787122371102</v>
      </c>
      <c r="BF593">
        <f t="shared" si="504"/>
        <v>-61.912267749623162</v>
      </c>
      <c r="BG593">
        <f t="shared" si="505"/>
        <v>-191.68893088624117</v>
      </c>
      <c r="BH593">
        <f t="shared" si="516"/>
        <v>-11.688930886241167</v>
      </c>
      <c r="BI593">
        <f t="shared" si="517"/>
        <v>-11.688930886241167</v>
      </c>
      <c r="BJ593">
        <f t="shared" si="506"/>
        <v>0</v>
      </c>
      <c r="BK593">
        <f t="shared" si="518"/>
        <v>0</v>
      </c>
      <c r="BM593">
        <f t="shared" si="519"/>
        <v>-58.077961993567186</v>
      </c>
      <c r="BN593">
        <f t="shared" si="507"/>
        <v>-93.591059662530157</v>
      </c>
      <c r="BQ593" s="56">
        <f t="shared" si="520"/>
        <v>13.067655044229163</v>
      </c>
    </row>
    <row r="594" spans="1:69" x14ac:dyDescent="0.25">
      <c r="A594">
        <f t="shared" si="522"/>
        <v>1900000</v>
      </c>
      <c r="B594">
        <f t="shared" si="508"/>
        <v>1900</v>
      </c>
      <c r="C594">
        <f t="shared" si="477"/>
        <v>15.789926307067963</v>
      </c>
      <c r="D594">
        <f t="shared" si="478"/>
        <v>1.5074223964700562</v>
      </c>
      <c r="F594">
        <f t="shared" si="479"/>
        <v>5.2538968033444004E-6</v>
      </c>
      <c r="G594">
        <f t="shared" si="480"/>
        <v>8.6260225123019883E-4</v>
      </c>
      <c r="H594">
        <f t="shared" si="481"/>
        <v>-3.1407300477487698</v>
      </c>
      <c r="J594">
        <f t="shared" si="482"/>
        <v>15</v>
      </c>
      <c r="M594">
        <f t="shared" si="483"/>
        <v>9.5951614682435876E-4</v>
      </c>
      <c r="N594">
        <f t="shared" si="484"/>
        <v>-1.5707963250000001</v>
      </c>
      <c r="O594">
        <f t="shared" si="485"/>
        <v>314.21112177319606</v>
      </c>
      <c r="P594">
        <f t="shared" si="486"/>
        <v>1.5676137478890533</v>
      </c>
      <c r="Q594">
        <f t="shared" si="487"/>
        <v>488.50611423411482</v>
      </c>
      <c r="R594">
        <f t="shared" si="488"/>
        <v>1.5687492680800299</v>
      </c>
      <c r="S594">
        <f t="shared" si="489"/>
        <v>6.3331517864803163E-2</v>
      </c>
      <c r="T594">
        <f t="shared" si="490"/>
        <v>-1.5074223964700559</v>
      </c>
      <c r="U594">
        <f t="shared" si="491"/>
        <v>0.10236318824946752</v>
      </c>
      <c r="V594">
        <f t="shared" si="492"/>
        <v>-1.4682535263017387</v>
      </c>
      <c r="X594">
        <f t="shared" si="509"/>
        <v>-58.502791083055286</v>
      </c>
      <c r="Y594">
        <f t="shared" si="493"/>
        <v>-174.374942898678</v>
      </c>
      <c r="Z594">
        <f t="shared" si="510"/>
        <v>5.6250571013219997</v>
      </c>
      <c r="AC594">
        <v>1</v>
      </c>
      <c r="AD594">
        <f t="shared" si="494"/>
        <v>314.2095304824</v>
      </c>
      <c r="AE594">
        <f t="shared" si="495"/>
        <v>-0.56265746036837139</v>
      </c>
      <c r="AF594">
        <f t="shared" si="496"/>
        <v>5.78995525395E-2</v>
      </c>
      <c r="AG594">
        <f t="shared" si="473"/>
        <v>55.10460250664476</v>
      </c>
      <c r="AH594">
        <f t="shared" si="474"/>
        <v>-552.76792820053322</v>
      </c>
      <c r="AJ594">
        <f t="shared" si="497"/>
        <v>18000</v>
      </c>
      <c r="AK594">
        <f t="shared" si="498"/>
        <v>283648.11718320003</v>
      </c>
      <c r="AL594">
        <v>1</v>
      </c>
      <c r="AM594">
        <f t="shared" si="499"/>
        <v>488.50509070439995</v>
      </c>
      <c r="AN594">
        <f t="shared" si="475"/>
        <v>580.71815611308296</v>
      </c>
      <c r="AO594">
        <f t="shared" si="476"/>
        <v>-35.658342513420244</v>
      </c>
      <c r="AQ594">
        <f t="shared" si="500"/>
        <v>6.9252072766476955E-4</v>
      </c>
      <c r="AR594">
        <f t="shared" si="501"/>
        <v>-2.6315787651261244</v>
      </c>
      <c r="AT594">
        <f t="shared" si="470"/>
        <v>-1454.6141808158598</v>
      </c>
      <c r="AU594">
        <f t="shared" si="471"/>
        <v>-145.39490506506934</v>
      </c>
      <c r="AV594">
        <f t="shared" si="511"/>
        <v>-3.0419692741138165</v>
      </c>
      <c r="AW594">
        <f t="shared" si="512"/>
        <v>546.05694884832997</v>
      </c>
      <c r="AX594">
        <f t="shared" si="513"/>
        <v>-2213.0981605401753</v>
      </c>
      <c r="AY594">
        <f t="shared" si="521"/>
        <v>-1.3288894761047549</v>
      </c>
      <c r="BA594">
        <f t="shared" si="502"/>
        <v>0.64131697228217444</v>
      </c>
      <c r="BB594">
        <f t="shared" si="514"/>
        <v>-3.8585453288668985</v>
      </c>
      <c r="BC594">
        <f t="shared" si="515"/>
        <v>-1.7130797980090615</v>
      </c>
      <c r="BD594">
        <f t="shared" si="503"/>
        <v>-278.15224250719808</v>
      </c>
      <c r="BF594">
        <f t="shared" si="504"/>
        <v>-61.959487322210691</v>
      </c>
      <c r="BG594">
        <f t="shared" si="505"/>
        <v>-191.73387767882619</v>
      </c>
      <c r="BH594">
        <f t="shared" si="516"/>
        <v>-11.73387767882619</v>
      </c>
      <c r="BI594">
        <f t="shared" si="517"/>
        <v>-11.73387767882619</v>
      </c>
      <c r="BJ594">
        <f t="shared" si="506"/>
        <v>0</v>
      </c>
      <c r="BK594">
        <f t="shared" si="518"/>
        <v>0</v>
      </c>
      <c r="BM594">
        <f t="shared" si="519"/>
        <v>-58.100941993343795</v>
      </c>
      <c r="BN594">
        <f t="shared" si="507"/>
        <v>-93.581635171628136</v>
      </c>
      <c r="BQ594" s="56">
        <f t="shared" si="520"/>
        <v>13.043415471418239</v>
      </c>
    </row>
    <row r="595" spans="1:69" x14ac:dyDescent="0.25">
      <c r="A595">
        <f t="shared" si="522"/>
        <v>1905000</v>
      </c>
      <c r="B595">
        <f t="shared" si="508"/>
        <v>1905</v>
      </c>
      <c r="C595">
        <f t="shared" si="477"/>
        <v>15.831312300670461</v>
      </c>
      <c r="D595">
        <f t="shared" si="478"/>
        <v>1.5075882889830621</v>
      </c>
      <c r="F595">
        <f t="shared" si="479"/>
        <v>5.2263533515450584E-6</v>
      </c>
      <c r="G595">
        <f t="shared" si="480"/>
        <v>8.6033818060942031E-4</v>
      </c>
      <c r="H595">
        <f t="shared" si="481"/>
        <v>-3.1407323118193906</v>
      </c>
      <c r="J595">
        <f t="shared" si="482"/>
        <v>15</v>
      </c>
      <c r="M595">
        <f t="shared" si="483"/>
        <v>9.5699773174083016E-4</v>
      </c>
      <c r="N595">
        <f t="shared" si="484"/>
        <v>-1.5707963250000001</v>
      </c>
      <c r="O595">
        <f t="shared" si="485"/>
        <v>315.03798478208091</v>
      </c>
      <c r="P595">
        <f t="shared" si="486"/>
        <v>1.5676221010583444</v>
      </c>
      <c r="Q595">
        <f t="shared" si="487"/>
        <v>489.79165126007069</v>
      </c>
      <c r="R595">
        <f t="shared" si="488"/>
        <v>1.5687546409225985</v>
      </c>
      <c r="S595">
        <f t="shared" si="489"/>
        <v>6.3165957502944958E-2</v>
      </c>
      <c r="T595">
        <f t="shared" si="490"/>
        <v>-1.5075882889830621</v>
      </c>
      <c r="U595">
        <f t="shared" si="491"/>
        <v>0.1020973226876102</v>
      </c>
      <c r="V595">
        <f t="shared" si="492"/>
        <v>-1.4685207921335461</v>
      </c>
      <c r="X595">
        <f t="shared" si="509"/>
        <v>-58.548208223631804</v>
      </c>
      <c r="Y595">
        <f t="shared" si="493"/>
        <v>-174.38959938200736</v>
      </c>
      <c r="Z595">
        <f t="shared" si="510"/>
        <v>5.6104006179926387</v>
      </c>
      <c r="AC595">
        <v>1</v>
      </c>
      <c r="AD595">
        <f t="shared" si="494"/>
        <v>315.03639766788001</v>
      </c>
      <c r="AE595">
        <f t="shared" si="495"/>
        <v>-0.56562271194275049</v>
      </c>
      <c r="AF595">
        <f t="shared" si="496"/>
        <v>5.8051919783024999E-2</v>
      </c>
      <c r="AG595">
        <f t="shared" si="473"/>
        <v>54.818730392623223</v>
      </c>
      <c r="AH595">
        <f t="shared" si="474"/>
        <v>-551.34643383995615</v>
      </c>
      <c r="AJ595">
        <f t="shared" si="497"/>
        <v>18000</v>
      </c>
      <c r="AK595">
        <f t="shared" si="498"/>
        <v>284394.55959684006</v>
      </c>
      <c r="AL595">
        <v>1</v>
      </c>
      <c r="AM595">
        <f t="shared" si="499"/>
        <v>489.79063041677995</v>
      </c>
      <c r="AN595">
        <f t="shared" si="475"/>
        <v>580.71777344260977</v>
      </c>
      <c r="AO595">
        <f t="shared" si="476"/>
        <v>-35.564751844547779</v>
      </c>
      <c r="AQ595">
        <f t="shared" si="500"/>
        <v>6.8889021921244556E-4</v>
      </c>
      <c r="AR595">
        <f t="shared" si="501"/>
        <v>-2.6246717351994175</v>
      </c>
      <c r="AT595">
        <f t="shared" si="470"/>
        <v>-1447.0656371155314</v>
      </c>
      <c r="AU595">
        <f t="shared" si="471"/>
        <v>-144.26098938670546</v>
      </c>
      <c r="AV595">
        <f t="shared" si="511"/>
        <v>-3.0422288774794208</v>
      </c>
      <c r="AW595">
        <f t="shared" si="512"/>
        <v>546.24148912521741</v>
      </c>
      <c r="AX595">
        <f t="shared" si="513"/>
        <v>-2207.3197007541085</v>
      </c>
      <c r="AY595">
        <f t="shared" si="521"/>
        <v>-1.3282019262154443</v>
      </c>
      <c r="BA595">
        <f t="shared" si="502"/>
        <v>0.63953386348544772</v>
      </c>
      <c r="BB595">
        <f t="shared" si="514"/>
        <v>-3.8827290914000994</v>
      </c>
      <c r="BC595">
        <f t="shared" si="515"/>
        <v>-1.7140269512639765</v>
      </c>
      <c r="BD595">
        <f t="shared" si="503"/>
        <v>-278.20651039131883</v>
      </c>
      <c r="BF595">
        <f t="shared" si="504"/>
        <v>-62.006590209093268</v>
      </c>
      <c r="BG595">
        <f t="shared" si="505"/>
        <v>-191.77877034377923</v>
      </c>
      <c r="BH595">
        <f t="shared" si="516"/>
        <v>-11.778770343779229</v>
      </c>
      <c r="BI595">
        <f t="shared" si="517"/>
        <v>-11.778770343779229</v>
      </c>
      <c r="BJ595">
        <f t="shared" si="506"/>
        <v>0</v>
      </c>
      <c r="BK595">
        <f t="shared" si="518"/>
        <v>0</v>
      </c>
      <c r="BM595">
        <f t="shared" si="519"/>
        <v>-58.123861117693174</v>
      </c>
      <c r="BN595">
        <f t="shared" si="507"/>
        <v>-93.57225995246047</v>
      </c>
      <c r="BQ595" s="56">
        <f t="shared" si="520"/>
        <v>13.019231708885037</v>
      </c>
    </row>
    <row r="596" spans="1:69" x14ac:dyDescent="0.25">
      <c r="A596">
        <f t="shared" si="522"/>
        <v>1910000</v>
      </c>
      <c r="B596">
        <f t="shared" si="508"/>
        <v>1910</v>
      </c>
      <c r="C596">
        <f t="shared" si="477"/>
        <v>15.872698727683852</v>
      </c>
      <c r="D596">
        <f t="shared" si="478"/>
        <v>1.507753316405309</v>
      </c>
      <c r="F596">
        <f t="shared" si="479"/>
        <v>5.1990259277266452E-6</v>
      </c>
      <c r="G596">
        <f t="shared" si="480"/>
        <v>8.5808596393923461E-4</v>
      </c>
      <c r="H596">
        <f t="shared" si="481"/>
        <v>-3.1407345640360611</v>
      </c>
      <c r="J596">
        <f t="shared" si="482"/>
        <v>15</v>
      </c>
      <c r="M596">
        <f t="shared" si="483"/>
        <v>9.5449250207658716E-4</v>
      </c>
      <c r="N596">
        <f t="shared" si="484"/>
        <v>-1.5707963250000001</v>
      </c>
      <c r="O596">
        <f t="shared" si="485"/>
        <v>315.86484781283252</v>
      </c>
      <c r="P596">
        <f t="shared" si="486"/>
        <v>1.5676304104942045</v>
      </c>
      <c r="Q596">
        <f t="shared" si="487"/>
        <v>491.07718830009162</v>
      </c>
      <c r="R596">
        <f t="shared" si="488"/>
        <v>1.5687599856352183</v>
      </c>
      <c r="S596">
        <f t="shared" si="489"/>
        <v>6.3001258774973326E-2</v>
      </c>
      <c r="T596">
        <f t="shared" si="490"/>
        <v>-1.507753316405309</v>
      </c>
      <c r="U596">
        <f t="shared" si="491"/>
        <v>0.10183282738353434</v>
      </c>
      <c r="V596">
        <f t="shared" si="492"/>
        <v>-1.4687866732161705</v>
      </c>
      <c r="X596">
        <f t="shared" si="509"/>
        <v>-58.59350754518033</v>
      </c>
      <c r="Y596">
        <f t="shared" si="493"/>
        <v>-174.40417996333977</v>
      </c>
      <c r="Z596">
        <f t="shared" si="510"/>
        <v>5.5958200366602284</v>
      </c>
      <c r="AC596">
        <v>1</v>
      </c>
      <c r="AD596">
        <f t="shared" si="494"/>
        <v>315.86326485336002</v>
      </c>
      <c r="AE596">
        <f t="shared" si="495"/>
        <v>-0.56859575655674677</v>
      </c>
      <c r="AF596">
        <f t="shared" si="496"/>
        <v>5.8204287026549999E-2</v>
      </c>
      <c r="AG596">
        <f t="shared" si="473"/>
        <v>54.535069365999298</v>
      </c>
      <c r="AH596">
        <f t="shared" si="474"/>
        <v>-549.93215552033723</v>
      </c>
      <c r="AJ596">
        <f t="shared" si="497"/>
        <v>18000</v>
      </c>
      <c r="AK596">
        <f t="shared" si="498"/>
        <v>285141.00201048004</v>
      </c>
      <c r="AL596">
        <v>1</v>
      </c>
      <c r="AM596">
        <f t="shared" si="499"/>
        <v>491.07617012915995</v>
      </c>
      <c r="AN596">
        <f t="shared" si="475"/>
        <v>580.71739377345</v>
      </c>
      <c r="AO596">
        <f t="shared" si="476"/>
        <v>-35.471651173065545</v>
      </c>
      <c r="AQ596">
        <f t="shared" si="500"/>
        <v>6.8528818526848322E-4</v>
      </c>
      <c r="AR596">
        <f t="shared" si="501"/>
        <v>-2.6178008677256059</v>
      </c>
      <c r="AT596">
        <f t="shared" si="470"/>
        <v>-1439.5755016726323</v>
      </c>
      <c r="AU596">
        <f t="shared" si="471"/>
        <v>-143.13881391666638</v>
      </c>
      <c r="AV596">
        <f t="shared" si="511"/>
        <v>-3.042487136213027</v>
      </c>
      <c r="AW596">
        <f t="shared" si="512"/>
        <v>546.4245489084708</v>
      </c>
      <c r="AX596">
        <f t="shared" si="513"/>
        <v>-2201.5712618600696</v>
      </c>
      <c r="AY596">
        <f t="shared" si="521"/>
        <v>-1.3275148243488646</v>
      </c>
      <c r="BA596">
        <f t="shared" si="502"/>
        <v>0.63775978811583534</v>
      </c>
      <c r="BB596">
        <f t="shared" si="514"/>
        <v>-3.906857345321519</v>
      </c>
      <c r="BC596">
        <f t="shared" si="515"/>
        <v>-1.7149723118641624</v>
      </c>
      <c r="BD596">
        <f t="shared" si="503"/>
        <v>-278.26067556388932</v>
      </c>
      <c r="BF596">
        <f t="shared" si="504"/>
        <v>-62.053577034823334</v>
      </c>
      <c r="BG596">
        <f t="shared" si="505"/>
        <v>-191.82360918405018</v>
      </c>
      <c r="BH596">
        <f t="shared" si="516"/>
        <v>-11.823609184050184</v>
      </c>
      <c r="BI596">
        <f t="shared" si="517"/>
        <v>-11.823609184050184</v>
      </c>
      <c r="BJ596">
        <f t="shared" si="506"/>
        <v>0</v>
      </c>
      <c r="BK596">
        <f t="shared" si="518"/>
        <v>0</v>
      </c>
      <c r="BM596">
        <f t="shared" si="519"/>
        <v>-58.146719689501808</v>
      </c>
      <c r="BN596">
        <f t="shared" si="507"/>
        <v>-93.562933620160891</v>
      </c>
      <c r="BQ596" s="56">
        <f t="shared" si="520"/>
        <v>12.995103454963617</v>
      </c>
    </row>
    <row r="597" spans="1:69" x14ac:dyDescent="0.25">
      <c r="A597">
        <f t="shared" si="522"/>
        <v>1915000</v>
      </c>
      <c r="B597">
        <f t="shared" si="508"/>
        <v>1915</v>
      </c>
      <c r="C597">
        <f t="shared" si="477"/>
        <v>15.914085584726731</v>
      </c>
      <c r="D597">
        <f t="shared" si="478"/>
        <v>1.50791748547715</v>
      </c>
      <c r="F597">
        <f t="shared" si="479"/>
        <v>5.1719122786520132E-6</v>
      </c>
      <c r="G597">
        <f t="shared" si="480"/>
        <v>8.5584550836700522E-4</v>
      </c>
      <c r="H597">
        <f t="shared" si="481"/>
        <v>-3.1407368044916333</v>
      </c>
      <c r="J597">
        <f t="shared" si="482"/>
        <v>15</v>
      </c>
      <c r="M597">
        <f t="shared" si="483"/>
        <v>9.5200035455158302E-4</v>
      </c>
      <c r="N597">
        <f t="shared" si="484"/>
        <v>-1.5707963250000001</v>
      </c>
      <c r="O597">
        <f t="shared" si="485"/>
        <v>316.69171086527973</v>
      </c>
      <c r="P597">
        <f t="shared" si="486"/>
        <v>1.5676386765391883</v>
      </c>
      <c r="Q597">
        <f t="shared" si="487"/>
        <v>492.36272535406738</v>
      </c>
      <c r="R597">
        <f t="shared" si="488"/>
        <v>1.5687653024382271</v>
      </c>
      <c r="S597">
        <f t="shared" si="489"/>
        <v>6.2837414985359441E-2</v>
      </c>
      <c r="T597">
        <f t="shared" si="490"/>
        <v>-1.50791748547715</v>
      </c>
      <c r="U597">
        <f t="shared" si="491"/>
        <v>0.10156969182706378</v>
      </c>
      <c r="V597">
        <f t="shared" si="492"/>
        <v>-1.4690511802464294</v>
      </c>
      <c r="X597">
        <f t="shared" si="509"/>
        <v>-58.638689654273065</v>
      </c>
      <c r="Y597">
        <f t="shared" si="493"/>
        <v>-174.41868522862649</v>
      </c>
      <c r="Z597">
        <f t="shared" si="510"/>
        <v>5.5813147713735134</v>
      </c>
      <c r="AC597">
        <v>1</v>
      </c>
      <c r="AD597">
        <f t="shared" si="494"/>
        <v>316.69013203884003</v>
      </c>
      <c r="AE597">
        <f t="shared" si="495"/>
        <v>-0.57157659421036033</v>
      </c>
      <c r="AF597">
        <f t="shared" si="496"/>
        <v>5.8356654270074998E-2</v>
      </c>
      <c r="AG597">
        <f t="shared" si="473"/>
        <v>54.253596762783822</v>
      </c>
      <c r="AH597">
        <f t="shared" si="474"/>
        <v>-548.52503903310333</v>
      </c>
      <c r="AJ597">
        <f t="shared" si="497"/>
        <v>18000</v>
      </c>
      <c r="AK597">
        <f t="shared" si="498"/>
        <v>285887.44442412001</v>
      </c>
      <c r="AL597">
        <v>1</v>
      </c>
      <c r="AM597">
        <f t="shared" si="499"/>
        <v>492.36170984153995</v>
      </c>
      <c r="AN597">
        <f t="shared" si="475"/>
        <v>580.71701707429975</v>
      </c>
      <c r="AO597">
        <f t="shared" si="476"/>
        <v>-35.379036660937473</v>
      </c>
      <c r="AQ597">
        <f t="shared" si="500"/>
        <v>6.8171432883758643E-4</v>
      </c>
      <c r="AR597">
        <f t="shared" si="501"/>
        <v>-2.610965879447956</v>
      </c>
      <c r="AT597">
        <f t="shared" si="470"/>
        <v>-1432.1431754839869</v>
      </c>
      <c r="AU597">
        <f t="shared" si="471"/>
        <v>-142.0282273637917</v>
      </c>
      <c r="AV597">
        <f t="shared" si="511"/>
        <v>-3.0427440606972231</v>
      </c>
      <c r="AW597">
        <f t="shared" si="512"/>
        <v>546.60614406477669</v>
      </c>
      <c r="AX597">
        <f t="shared" si="513"/>
        <v>-2195.8526110861299</v>
      </c>
      <c r="AY597">
        <f t="shared" si="521"/>
        <v>-1.3268281690115793</v>
      </c>
      <c r="BA597">
        <f t="shared" si="502"/>
        <v>0.63599467655423203</v>
      </c>
      <c r="BB597">
        <f t="shared" si="514"/>
        <v>-3.9309303899498831</v>
      </c>
      <c r="BC597">
        <f t="shared" si="515"/>
        <v>-1.7159158916856438</v>
      </c>
      <c r="BD597">
        <f t="shared" si="503"/>
        <v>-278.31473870535569</v>
      </c>
      <c r="BF597">
        <f t="shared" si="504"/>
        <v>-62.100448419034848</v>
      </c>
      <c r="BG597">
        <f t="shared" si="505"/>
        <v>-191.86839449921135</v>
      </c>
      <c r="BH597">
        <f t="shared" si="516"/>
        <v>-11.868394499211348</v>
      </c>
      <c r="BI597">
        <f t="shared" si="517"/>
        <v>-11.868394499211348</v>
      </c>
      <c r="BJ597">
        <f t="shared" si="506"/>
        <v>0</v>
      </c>
      <c r="BK597">
        <f t="shared" si="518"/>
        <v>0</v>
      </c>
      <c r="BM597">
        <f t="shared" si="519"/>
        <v>-58.169518029084969</v>
      </c>
      <c r="BN597">
        <f t="shared" si="507"/>
        <v>-93.553655793855697</v>
      </c>
      <c r="BQ597" s="56">
        <f t="shared" si="520"/>
        <v>12.971030410335253</v>
      </c>
    </row>
    <row r="598" spans="1:69" x14ac:dyDescent="0.25">
      <c r="A598">
        <f t="shared" si="522"/>
        <v>1920000</v>
      </c>
      <c r="B598">
        <f t="shared" si="508"/>
        <v>1920</v>
      </c>
      <c r="C598">
        <f t="shared" si="477"/>
        <v>15.955472868452741</v>
      </c>
      <c r="D598">
        <f t="shared" si="478"/>
        <v>1.5080808028691886</v>
      </c>
      <c r="F598">
        <f t="shared" si="479"/>
        <v>5.1450101803850721E-6</v>
      </c>
      <c r="G598">
        <f t="shared" si="480"/>
        <v>8.5361672200733388E-4</v>
      </c>
      <c r="H598">
        <f t="shared" si="481"/>
        <v>-3.1407390332779928</v>
      </c>
      <c r="J598">
        <f t="shared" si="482"/>
        <v>15</v>
      </c>
      <c r="M598">
        <f t="shared" si="483"/>
        <v>9.4952118696160488E-4</v>
      </c>
      <c r="N598">
        <f t="shared" si="484"/>
        <v>-1.5707963250000001</v>
      </c>
      <c r="O598">
        <f t="shared" si="485"/>
        <v>317.51857393925297</v>
      </c>
      <c r="P598">
        <f t="shared" si="486"/>
        <v>1.5676468995322828</v>
      </c>
      <c r="Q598">
        <f t="shared" si="487"/>
        <v>493.64826242188894</v>
      </c>
      <c r="R598">
        <f t="shared" si="488"/>
        <v>1.5687705915496672</v>
      </c>
      <c r="S598">
        <f t="shared" si="489"/>
        <v>6.2674419507629031E-2</v>
      </c>
      <c r="T598">
        <f t="shared" si="490"/>
        <v>-1.5080808028691886</v>
      </c>
      <c r="U598">
        <f t="shared" si="491"/>
        <v>0.1013079056146568</v>
      </c>
      <c r="V598">
        <f t="shared" si="492"/>
        <v>-1.4693143238116353</v>
      </c>
      <c r="X598">
        <f t="shared" si="509"/>
        <v>-58.683755152833953</v>
      </c>
      <c r="Y598">
        <f t="shared" si="493"/>
        <v>-174.43311575782491</v>
      </c>
      <c r="Z598">
        <f t="shared" si="510"/>
        <v>5.5668842421750924</v>
      </c>
      <c r="AC598">
        <v>1</v>
      </c>
      <c r="AD598">
        <f t="shared" si="494"/>
        <v>317.51699922431999</v>
      </c>
      <c r="AE598">
        <f t="shared" si="495"/>
        <v>-0.5745652249035913</v>
      </c>
      <c r="AF598">
        <f t="shared" si="496"/>
        <v>5.8509021513599997E-2</v>
      </c>
      <c r="AG598">
        <f t="shared" si="473"/>
        <v>53.974290207607631</v>
      </c>
      <c r="AH598">
        <f t="shared" si="474"/>
        <v>-547.12503070496371</v>
      </c>
      <c r="AJ598">
        <f t="shared" si="497"/>
        <v>18000</v>
      </c>
      <c r="AK598">
        <f t="shared" si="498"/>
        <v>286633.88683775999</v>
      </c>
      <c r="AL598">
        <v>1</v>
      </c>
      <c r="AM598">
        <f t="shared" si="499"/>
        <v>493.64724955391995</v>
      </c>
      <c r="AN598">
        <f t="shared" si="475"/>
        <v>580.71664331426177</v>
      </c>
      <c r="AO598">
        <f t="shared" si="476"/>
        <v>-35.286904510106204</v>
      </c>
      <c r="AQ598">
        <f t="shared" si="500"/>
        <v>6.7816835678654263E-4</v>
      </c>
      <c r="AR598">
        <f t="shared" si="501"/>
        <v>-2.6041664900603236</v>
      </c>
      <c r="AT598">
        <f t="shared" ref="AT598:AT626" si="523">-AR598*AH598+AG598*AQ598</f>
        <v>-1424.7680671793933</v>
      </c>
      <c r="AU598">
        <f t="shared" ref="AU598:AU626" si="524">AQ598*AH598+AG598*AR598</f>
        <v>-140.92908076647285</v>
      </c>
      <c r="AV598">
        <f t="shared" si="511"/>
        <v>-3.0429996612083658</v>
      </c>
      <c r="AW598">
        <f t="shared" si="512"/>
        <v>546.78629024798522</v>
      </c>
      <c r="AX598">
        <f t="shared" si="513"/>
        <v>-2190.1635180548792</v>
      </c>
      <c r="AY598">
        <f t="shared" si="521"/>
        <v>-1.3261419587308618</v>
      </c>
      <c r="BA598">
        <f t="shared" si="502"/>
        <v>0.63423845989747529</v>
      </c>
      <c r="BB598">
        <f t="shared" si="514"/>
        <v>-3.9549485222804774</v>
      </c>
      <c r="BC598">
        <f t="shared" si="515"/>
        <v>-1.716857702477504</v>
      </c>
      <c r="BD598">
        <f t="shared" si="503"/>
        <v>-278.36870048889079</v>
      </c>
      <c r="BF598">
        <f t="shared" si="504"/>
        <v>-62.14720497649445</v>
      </c>
      <c r="BG598">
        <f t="shared" si="505"/>
        <v>-191.91312658550285</v>
      </c>
      <c r="BH598">
        <f t="shared" si="516"/>
        <v>-11.913126585502852</v>
      </c>
      <c r="BI598">
        <f t="shared" si="517"/>
        <v>-11.913126585502852</v>
      </c>
      <c r="BJ598">
        <f t="shared" si="506"/>
        <v>0</v>
      </c>
      <c r="BK598">
        <f t="shared" si="518"/>
        <v>0</v>
      </c>
      <c r="BM598">
        <f t="shared" si="519"/>
        <v>-58.192256454213975</v>
      </c>
      <c r="BN598">
        <f t="shared" si="507"/>
        <v>-93.544426096612099</v>
      </c>
      <c r="BQ598" s="56">
        <f t="shared" si="520"/>
        <v>12.94701227800466</v>
      </c>
    </row>
    <row r="599" spans="1:69" x14ac:dyDescent="0.25">
      <c r="A599">
        <f t="shared" ref="A599:A614" si="525">A598+5000</f>
        <v>1925000</v>
      </c>
      <c r="B599">
        <f t="shared" si="508"/>
        <v>1925</v>
      </c>
      <c r="C599">
        <f t="shared" si="477"/>
        <v>15.996860575550121</v>
      </c>
      <c r="D599">
        <f t="shared" si="478"/>
        <v>1.5082432751831767</v>
      </c>
      <c r="F599">
        <f t="shared" si="479"/>
        <v>5.1183174378347377E-6</v>
      </c>
      <c r="G599">
        <f t="shared" si="480"/>
        <v>8.5139951392950049E-4</v>
      </c>
      <c r="H599">
        <f t="shared" si="481"/>
        <v>-3.1407412504860708</v>
      </c>
      <c r="J599">
        <f t="shared" si="482"/>
        <v>15</v>
      </c>
      <c r="M599">
        <f t="shared" si="483"/>
        <v>9.4705489816430217E-4</v>
      </c>
      <c r="N599">
        <f t="shared" si="484"/>
        <v>-1.5707963250000001</v>
      </c>
      <c r="O599">
        <f t="shared" si="485"/>
        <v>318.34543703458451</v>
      </c>
      <c r="P599">
        <f t="shared" si="486"/>
        <v>1.5676550798089524</v>
      </c>
      <c r="Q599">
        <f t="shared" si="487"/>
        <v>494.93379950344843</v>
      </c>
      <c r="R599">
        <f t="shared" si="488"/>
        <v>1.5687758531853164</v>
      </c>
      <c r="S599">
        <f t="shared" si="489"/>
        <v>6.2512265783476142E-2</v>
      </c>
      <c r="T599">
        <f t="shared" si="490"/>
        <v>-1.5082432751831765</v>
      </c>
      <c r="U599">
        <f t="shared" si="491"/>
        <v>0.10104745844806486</v>
      </c>
      <c r="V599">
        <f t="shared" si="492"/>
        <v>-1.4695761143909858</v>
      </c>
      <c r="X599">
        <f t="shared" si="509"/>
        <v>-58.728704638185746</v>
      </c>
      <c r="Y599">
        <f t="shared" si="493"/>
        <v>-174.44747212497509</v>
      </c>
      <c r="Z599">
        <f t="shared" si="510"/>
        <v>5.5525278750249072</v>
      </c>
      <c r="AC599">
        <v>1</v>
      </c>
      <c r="AD599">
        <f t="shared" si="494"/>
        <v>318.3438664098</v>
      </c>
      <c r="AE599">
        <f t="shared" si="495"/>
        <v>-0.57756164863643955</v>
      </c>
      <c r="AF599">
        <f t="shared" si="496"/>
        <v>5.8661388757124996E-2</v>
      </c>
      <c r="AG599">
        <f t="shared" si="473"/>
        <v>53.697127609337969</v>
      </c>
      <c r="AH599">
        <f t="shared" si="474"/>
        <v>-545.73207739140298</v>
      </c>
      <c r="AJ599">
        <f t="shared" si="497"/>
        <v>18000</v>
      </c>
      <c r="AK599">
        <f t="shared" si="498"/>
        <v>287380.32925140002</v>
      </c>
      <c r="AL599">
        <v>1</v>
      </c>
      <c r="AM599">
        <f t="shared" si="499"/>
        <v>494.93278926629995</v>
      </c>
      <c r="AN599">
        <f t="shared" si="475"/>
        <v>580.71627246284004</v>
      </c>
      <c r="AO599">
        <f t="shared" si="476"/>
        <v>-35.195250961973883</v>
      </c>
      <c r="AQ599">
        <f t="shared" si="500"/>
        <v>6.7464997978411336E-4</v>
      </c>
      <c r="AR599">
        <f t="shared" si="501"/>
        <v>-2.5974024221688365</v>
      </c>
      <c r="AT599">
        <f t="shared" si="523"/>
        <v>-1417.449592905605</v>
      </c>
      <c r="AU599">
        <f t="shared" si="524"/>
        <v>-139.84122745098318</v>
      </c>
      <c r="AV599">
        <f t="shared" si="511"/>
        <v>-3.0432539479179272</v>
      </c>
      <c r="AW599">
        <f t="shared" si="512"/>
        <v>546.96500290253891</v>
      </c>
      <c r="AX599">
        <f t="shared" si="513"/>
        <v>-2184.50375475279</v>
      </c>
      <c r="AY599">
        <f t="shared" si="521"/>
        <v>-1.325456192054387</v>
      </c>
      <c r="BA599">
        <f t="shared" si="502"/>
        <v>0.63249106994919468</v>
      </c>
      <c r="BB599">
        <f t="shared" si="514"/>
        <v>-3.978912037008616</v>
      </c>
      <c r="BC599">
        <f t="shared" si="515"/>
        <v>-1.7177977558635402</v>
      </c>
      <c r="BD599">
        <f t="shared" si="503"/>
        <v>-278.42256158048917</v>
      </c>
      <c r="BF599">
        <f t="shared" si="504"/>
        <v>-62.193847317151821</v>
      </c>
      <c r="BG599">
        <f t="shared" si="505"/>
        <v>-191.95780573587669</v>
      </c>
      <c r="BH599">
        <f t="shared" si="516"/>
        <v>-11.95780573587669</v>
      </c>
      <c r="BI599">
        <f t="shared" si="517"/>
        <v>-11.95780573587669</v>
      </c>
      <c r="BJ599">
        <f t="shared" si="506"/>
        <v>0</v>
      </c>
      <c r="BK599">
        <f t="shared" si="518"/>
        <v>0</v>
      </c>
      <c r="BM599">
        <f t="shared" si="519"/>
        <v>-58.214935280143209</v>
      </c>
      <c r="BN599">
        <f t="shared" si="507"/>
        <v>-93.535244155387531</v>
      </c>
      <c r="BQ599" s="56">
        <f t="shared" si="520"/>
        <v>12.923048763276519</v>
      </c>
    </row>
    <row r="600" spans="1:69" x14ac:dyDescent="0.25">
      <c r="A600">
        <f t="shared" si="525"/>
        <v>1930000</v>
      </c>
      <c r="B600">
        <f t="shared" si="508"/>
        <v>1930</v>
      </c>
      <c r="C600">
        <f t="shared" si="477"/>
        <v>16.038248702741264</v>
      </c>
      <c r="D600">
        <f t="shared" si="478"/>
        <v>1.5084049089529006</v>
      </c>
      <c r="F600">
        <f t="shared" si="479"/>
        <v>5.0918318843071385E-6</v>
      </c>
      <c r="G600">
        <f t="shared" si="480"/>
        <v>8.4919379414509445E-4</v>
      </c>
      <c r="H600">
        <f t="shared" si="481"/>
        <v>-3.1407434562058549</v>
      </c>
      <c r="J600">
        <f t="shared" si="482"/>
        <v>15</v>
      </c>
      <c r="M600">
        <f t="shared" si="483"/>
        <v>9.4460138806543091E-4</v>
      </c>
      <c r="N600">
        <f t="shared" si="484"/>
        <v>-1.5707963250000001</v>
      </c>
      <c r="O600">
        <f t="shared" si="485"/>
        <v>319.17230015110835</v>
      </c>
      <c r="P600">
        <f t="shared" si="486"/>
        <v>1.567663217701186</v>
      </c>
      <c r="Q600">
        <f t="shared" si="487"/>
        <v>496.21933659863907</v>
      </c>
      <c r="R600">
        <f t="shared" si="488"/>
        <v>1.5687810875587158</v>
      </c>
      <c r="S600">
        <f t="shared" si="489"/>
        <v>6.2350947321890567E-2</v>
      </c>
      <c r="T600">
        <f t="shared" si="490"/>
        <v>-1.5084049089529006</v>
      </c>
      <c r="U600">
        <f t="shared" si="491"/>
        <v>0.10078834013301101</v>
      </c>
      <c r="V600">
        <f t="shared" si="492"/>
        <v>-1.4698365623569369</v>
      </c>
      <c r="X600">
        <f t="shared" si="509"/>
        <v>-58.773538703096627</v>
      </c>
      <c r="Y600">
        <f t="shared" si="493"/>
        <v>-174.46175489827436</v>
      </c>
      <c r="Z600">
        <f t="shared" si="510"/>
        <v>5.5382451017256358</v>
      </c>
      <c r="AC600">
        <v>1</v>
      </c>
      <c r="AD600">
        <f t="shared" si="494"/>
        <v>319.17073359528001</v>
      </c>
      <c r="AE600">
        <f t="shared" si="495"/>
        <v>-0.58056586540890498</v>
      </c>
      <c r="AF600">
        <f t="shared" si="496"/>
        <v>5.8813756000649996E-2</v>
      </c>
      <c r="AG600">
        <f t="shared" si="473"/>
        <v>53.422087156772008</v>
      </c>
      <c r="AH600">
        <f t="shared" si="474"/>
        <v>-544.34612647026756</v>
      </c>
      <c r="AJ600">
        <f t="shared" si="497"/>
        <v>18000</v>
      </c>
      <c r="AK600">
        <f t="shared" si="498"/>
        <v>288126.77166504005</v>
      </c>
      <c r="AL600">
        <v>1</v>
      </c>
      <c r="AM600">
        <f t="shared" si="499"/>
        <v>496.21832897867995</v>
      </c>
      <c r="AN600">
        <f t="shared" si="475"/>
        <v>580.71590448993243</v>
      </c>
      <c r="AO600">
        <f t="shared" si="476"/>
        <v>-35.10407229689109</v>
      </c>
      <c r="AQ600">
        <f t="shared" si="500"/>
        <v>6.7115891224201244E-4</v>
      </c>
      <c r="AR600">
        <f t="shared" si="501"/>
        <v>-2.5906734012541679</v>
      </c>
      <c r="AT600">
        <f t="shared" si="523"/>
        <v>-1410.1871762123537</v>
      </c>
      <c r="AU600">
        <f t="shared" si="524"/>
        <v>-138.76452299065608</v>
      </c>
      <c r="AV600">
        <f t="shared" si="511"/>
        <v>-3.0435069308938272</v>
      </c>
      <c r="AW600">
        <f t="shared" si="512"/>
        <v>547.14229726683629</v>
      </c>
      <c r="AX600">
        <f t="shared" si="513"/>
        <v>-2178.8730955000347</v>
      </c>
      <c r="AY600">
        <f t="shared" si="521"/>
        <v>-1.3247708675499246</v>
      </c>
      <c r="BA600">
        <f t="shared" si="502"/>
        <v>0.63075243921080115</v>
      </c>
      <c r="BB600">
        <f t="shared" si="514"/>
        <v>-4.0028212265528103</v>
      </c>
      <c r="BC600">
        <f t="shared" si="515"/>
        <v>-1.7187360633439026</v>
      </c>
      <c r="BD600">
        <f t="shared" si="503"/>
        <v>-278.47632263906098</v>
      </c>
      <c r="BF600">
        <f t="shared" si="504"/>
        <v>-62.240376046189461</v>
      </c>
      <c r="BG600">
        <f t="shared" si="505"/>
        <v>-192.00243224004049</v>
      </c>
      <c r="BH600">
        <f t="shared" si="516"/>
        <v>-12.002432240040491</v>
      </c>
      <c r="BI600">
        <f t="shared" si="517"/>
        <v>-12.002432240040491</v>
      </c>
      <c r="BJ600">
        <f t="shared" si="506"/>
        <v>0</v>
      </c>
      <c r="BK600">
        <f t="shared" si="518"/>
        <v>0</v>
      </c>
      <c r="BM600">
        <f t="shared" si="519"/>
        <v>-58.237554819636657</v>
      </c>
      <c r="BN600">
        <f t="shared" si="507"/>
        <v>-93.526109600979538</v>
      </c>
      <c r="BQ600" s="56">
        <f t="shared" si="520"/>
        <v>12.899139573732326</v>
      </c>
    </row>
    <row r="601" spans="1:69" x14ac:dyDescent="0.25">
      <c r="A601">
        <f t="shared" si="525"/>
        <v>1935000</v>
      </c>
      <c r="B601">
        <f t="shared" si="508"/>
        <v>1935</v>
      </c>
      <c r="C601">
        <f t="shared" si="477"/>
        <v>16.079637246782269</v>
      </c>
      <c r="D601">
        <f t="shared" si="478"/>
        <v>1.5085657106450516</v>
      </c>
      <c r="F601">
        <f t="shared" si="479"/>
        <v>5.0655513810659161E-6</v>
      </c>
      <c r="G601">
        <f t="shared" si="480"/>
        <v>8.469994735958409E-4</v>
      </c>
      <c r="H601">
        <f t="shared" si="481"/>
        <v>-3.1407456505264042</v>
      </c>
      <c r="J601">
        <f t="shared" si="482"/>
        <v>15</v>
      </c>
      <c r="M601">
        <f t="shared" si="483"/>
        <v>9.4216055760531353E-4</v>
      </c>
      <c r="N601">
        <f t="shared" si="484"/>
        <v>-1.5707963250000001</v>
      </c>
      <c r="O601">
        <f t="shared" si="485"/>
        <v>319.99916328866027</v>
      </c>
      <c r="P601">
        <f t="shared" si="486"/>
        <v>1.5676713135375409</v>
      </c>
      <c r="Q601">
        <f t="shared" si="487"/>
        <v>497.50487370735516</v>
      </c>
      <c r="R601">
        <f t="shared" si="488"/>
        <v>1.5687862948811995</v>
      </c>
      <c r="S601">
        <f t="shared" si="489"/>
        <v>6.219045769829866E-2</v>
      </c>
      <c r="T601">
        <f t="shared" si="490"/>
        <v>-1.5085657106450516</v>
      </c>
      <c r="U601">
        <f t="shared" si="491"/>
        <v>0.10053054057788836</v>
      </c>
      <c r="V601">
        <f t="shared" si="492"/>
        <v>-1.4700956779765537</v>
      </c>
      <c r="X601">
        <f t="shared" si="509"/>
        <v>-58.818257935826075</v>
      </c>
      <c r="Y601">
        <f t="shared" si="493"/>
        <v>-174.47596464015129</v>
      </c>
      <c r="Z601">
        <f t="shared" si="510"/>
        <v>5.5240353598487104</v>
      </c>
      <c r="AC601">
        <v>1</v>
      </c>
      <c r="AD601">
        <f t="shared" si="494"/>
        <v>319.99760078075997</v>
      </c>
      <c r="AE601">
        <f t="shared" si="495"/>
        <v>-0.58357787522098781</v>
      </c>
      <c r="AF601">
        <f t="shared" si="496"/>
        <v>5.8966123244174995E-2</v>
      </c>
      <c r="AG601">
        <f t="shared" si="473"/>
        <v>53.149147314406036</v>
      </c>
      <c r="AH601">
        <f t="shared" si="474"/>
        <v>-542.96712583544536</v>
      </c>
      <c r="AJ601">
        <f t="shared" si="497"/>
        <v>18000</v>
      </c>
      <c r="AK601">
        <f t="shared" si="498"/>
        <v>288873.21407868003</v>
      </c>
      <c r="AL601">
        <v>1</v>
      </c>
      <c r="AM601">
        <f t="shared" si="499"/>
        <v>497.50386869105995</v>
      </c>
      <c r="AN601">
        <f t="shared" si="475"/>
        <v>580.71553936582552</v>
      </c>
      <c r="AO601">
        <f t="shared" si="476"/>
        <v>-35.013364833653597</v>
      </c>
      <c r="AQ601">
        <f t="shared" si="500"/>
        <v>6.6769487225695084E-4</v>
      </c>
      <c r="AR601">
        <f t="shared" si="501"/>
        <v>-2.5839791556343998</v>
      </c>
      <c r="AT601">
        <f t="shared" si="523"/>
        <v>-1402.9802479403843</v>
      </c>
      <c r="AU601">
        <f t="shared" si="524"/>
        <v>-137.69882516589166</v>
      </c>
      <c r="AV601">
        <f t="shared" si="511"/>
        <v>-3.0437586201017406</v>
      </c>
      <c r="AW601">
        <f t="shared" si="512"/>
        <v>547.3181883765335</v>
      </c>
      <c r="AX601">
        <f t="shared" si="513"/>
        <v>-2173.2713169207846</v>
      </c>
      <c r="AY601">
        <f t="shared" si="521"/>
        <v>-1.3240859838050423</v>
      </c>
      <c r="BA601">
        <f t="shared" si="502"/>
        <v>0.6290225008726118</v>
      </c>
      <c r="BB601">
        <f t="shared" si="514"/>
        <v>-4.0266763810776682</v>
      </c>
      <c r="BC601">
        <f t="shared" si="515"/>
        <v>-1.7196726362966983</v>
      </c>
      <c r="BD601">
        <f t="shared" si="503"/>
        <v>-278.52998431652355</v>
      </c>
      <c r="BF601">
        <f t="shared" si="504"/>
        <v>-62.286791764071879</v>
      </c>
      <c r="BG601">
        <f t="shared" si="505"/>
        <v>-192.04700638450026</v>
      </c>
      <c r="BH601">
        <f t="shared" si="516"/>
        <v>-12.047006384500264</v>
      </c>
      <c r="BI601">
        <f t="shared" si="517"/>
        <v>-12.047006384500264</v>
      </c>
      <c r="BJ601">
        <f t="shared" si="506"/>
        <v>0</v>
      </c>
      <c r="BK601">
        <f t="shared" si="518"/>
        <v>0</v>
      </c>
      <c r="BM601">
        <f t="shared" si="519"/>
        <v>-58.260115382994215</v>
      </c>
      <c r="BN601">
        <f t="shared" si="507"/>
        <v>-93.517022067976711</v>
      </c>
      <c r="BQ601" s="56">
        <f t="shared" si="520"/>
        <v>12.875284419207469</v>
      </c>
    </row>
    <row r="602" spans="1:69" x14ac:dyDescent="0.25">
      <c r="A602">
        <f t="shared" si="525"/>
        <v>1940000</v>
      </c>
      <c r="B602">
        <f t="shared" si="508"/>
        <v>1940</v>
      </c>
      <c r="C602">
        <f t="shared" si="477"/>
        <v>16.121026204462527</v>
      </c>
      <c r="D602">
        <f t="shared" si="478"/>
        <v>1.5087256866600844</v>
      </c>
      <c r="F602">
        <f t="shared" si="479"/>
        <v>5.0394738169004465E-6</v>
      </c>
      <c r="G602">
        <f t="shared" si="480"/>
        <v>8.44816464141614E-4</v>
      </c>
      <c r="H602">
        <f t="shared" si="481"/>
        <v>-3.1407478335358587</v>
      </c>
      <c r="J602">
        <f t="shared" si="482"/>
        <v>15</v>
      </c>
      <c r="M602">
        <f t="shared" si="483"/>
        <v>9.3973230874550603E-4</v>
      </c>
      <c r="N602">
        <f t="shared" si="484"/>
        <v>-1.5707963250000001</v>
      </c>
      <c r="O602">
        <f t="shared" si="485"/>
        <v>320.82602644707765</v>
      </c>
      <c r="P602">
        <f t="shared" si="486"/>
        <v>1.5676793676431868</v>
      </c>
      <c r="Q602">
        <f t="shared" si="487"/>
        <v>498.7904108294922</v>
      </c>
      <c r="R602">
        <f t="shared" si="488"/>
        <v>1.5687914753619225</v>
      </c>
      <c r="S602">
        <f t="shared" si="489"/>
        <v>6.2030790553717116E-2</v>
      </c>
      <c r="T602">
        <f t="shared" si="490"/>
        <v>-1.5087256866600844</v>
      </c>
      <c r="U602">
        <f t="shared" si="491"/>
        <v>0.10027404979247782</v>
      </c>
      <c r="V602">
        <f t="shared" si="492"/>
        <v>-1.4703534714128401</v>
      </c>
      <c r="X602">
        <f t="shared" si="509"/>
        <v>-58.862862920170315</v>
      </c>
      <c r="Y602">
        <f t="shared" si="493"/>
        <v>-174.49010190733864</v>
      </c>
      <c r="Z602">
        <f t="shared" si="510"/>
        <v>5.5098980926613592</v>
      </c>
      <c r="AC602">
        <v>1</v>
      </c>
      <c r="AD602">
        <f t="shared" si="494"/>
        <v>320.82446796624004</v>
      </c>
      <c r="AE602">
        <f t="shared" si="495"/>
        <v>-0.58659767807268781</v>
      </c>
      <c r="AF602">
        <f t="shared" si="496"/>
        <v>5.9118490487699994E-2</v>
      </c>
      <c r="AG602">
        <f t="shared" si="473"/>
        <v>52.878286818279022</v>
      </c>
      <c r="AH602">
        <f t="shared" si="474"/>
        <v>-541.59502389063402</v>
      </c>
      <c r="AJ602">
        <f t="shared" si="497"/>
        <v>18000</v>
      </c>
      <c r="AK602">
        <f t="shared" si="498"/>
        <v>289619.65649232001</v>
      </c>
      <c r="AL602">
        <v>1</v>
      </c>
      <c r="AM602">
        <f t="shared" si="499"/>
        <v>498.78940840343995</v>
      </c>
      <c r="AN602">
        <f t="shared" si="475"/>
        <v>580.71517706118834</v>
      </c>
      <c r="AO602">
        <f t="shared" si="476"/>
        <v>-34.923124929006967</v>
      </c>
      <c r="AQ602">
        <f t="shared" si="500"/>
        <v>6.6425758155372642E-4</v>
      </c>
      <c r="AR602">
        <f t="shared" si="501"/>
        <v>-2.5773194164284585</v>
      </c>
      <c r="AT602">
        <f t="shared" si="523"/>
        <v>-1395.8282461114475</v>
      </c>
      <c r="AU602">
        <f t="shared" si="524"/>
        <v>-136.64399392497467</v>
      </c>
      <c r="AV602">
        <f t="shared" si="511"/>
        <v>-3.0440090254063903</v>
      </c>
      <c r="AW602">
        <f t="shared" si="512"/>
        <v>547.49269106778286</v>
      </c>
      <c r="AX602">
        <f t="shared" si="513"/>
        <v>-2167.6981979139418</v>
      </c>
      <c r="AY602">
        <f t="shared" si="521"/>
        <v>-1.3234015394268108</v>
      </c>
      <c r="BA602">
        <f t="shared" si="502"/>
        <v>0.62730118880511176</v>
      </c>
      <c r="BB602">
        <f t="shared" si="514"/>
        <v>-4.0504777885164769</v>
      </c>
      <c r="BC602">
        <f t="shared" si="515"/>
        <v>-1.7206074859795795</v>
      </c>
      <c r="BD602">
        <f t="shared" si="503"/>
        <v>-278.58354725789297</v>
      </c>
      <c r="BF602">
        <f t="shared" si="504"/>
        <v>-62.333095066593998</v>
      </c>
      <c r="BG602">
        <f t="shared" si="505"/>
        <v>-192.09152845260306</v>
      </c>
      <c r="BH602">
        <f t="shared" si="516"/>
        <v>-12.091528452603058</v>
      </c>
      <c r="BI602">
        <f t="shared" si="517"/>
        <v>-12.091528452603058</v>
      </c>
      <c r="BJ602">
        <f t="shared" si="506"/>
        <v>0</v>
      </c>
      <c r="BK602">
        <f t="shared" si="518"/>
        <v>0</v>
      </c>
      <c r="BM602">
        <f t="shared" si="519"/>
        <v>-58.282617278077524</v>
      </c>
      <c r="BN602">
        <f t="shared" si="507"/>
        <v>-93.507981194710055</v>
      </c>
      <c r="BQ602" s="56">
        <f t="shared" si="520"/>
        <v>12.851483011768659</v>
      </c>
    </row>
    <row r="603" spans="1:69" x14ac:dyDescent="0.25">
      <c r="A603">
        <f t="shared" si="525"/>
        <v>1945000</v>
      </c>
      <c r="B603">
        <f t="shared" si="508"/>
        <v>1945</v>
      </c>
      <c r="C603">
        <f t="shared" si="477"/>
        <v>16.162415572604271</v>
      </c>
      <c r="D603">
        <f t="shared" si="478"/>
        <v>1.5088848433330608</v>
      </c>
      <c r="F603">
        <f t="shared" si="479"/>
        <v>5.0135971077018163E-6</v>
      </c>
      <c r="G603">
        <f t="shared" si="480"/>
        <v>8.4264467854863474E-4</v>
      </c>
      <c r="H603">
        <f t="shared" si="481"/>
        <v>-3.1407500053214514</v>
      </c>
      <c r="J603">
        <f t="shared" si="482"/>
        <v>15</v>
      </c>
      <c r="M603">
        <f t="shared" si="483"/>
        <v>9.3731654445567173E-4</v>
      </c>
      <c r="N603">
        <f t="shared" si="484"/>
        <v>-1.5707963250000001</v>
      </c>
      <c r="O603">
        <f t="shared" si="485"/>
        <v>321.65288962619962</v>
      </c>
      <c r="P603">
        <f t="shared" si="486"/>
        <v>1.5676873803399507</v>
      </c>
      <c r="Q603">
        <f t="shared" si="487"/>
        <v>500.07594796494664</v>
      </c>
      <c r="R603">
        <f t="shared" si="488"/>
        <v>1.5687966292078903</v>
      </c>
      <c r="S603">
        <f t="shared" si="489"/>
        <v>6.1871939593919803E-2</v>
      </c>
      <c r="T603">
        <f t="shared" si="490"/>
        <v>-1.5088848433330608</v>
      </c>
      <c r="U603">
        <f t="shared" si="491"/>
        <v>0.10001885788668485</v>
      </c>
      <c r="V603">
        <f t="shared" si="492"/>
        <v>-1.4706099527260503</v>
      </c>
      <c r="X603">
        <f t="shared" si="509"/>
        <v>-58.907354235507071</v>
      </c>
      <c r="Y603">
        <f t="shared" si="493"/>
        <v>-174.50416725094479</v>
      </c>
      <c r="Z603">
        <f t="shared" si="510"/>
        <v>5.4958327490552108</v>
      </c>
      <c r="AC603">
        <v>1</v>
      </c>
      <c r="AD603">
        <f t="shared" si="494"/>
        <v>321.65133515171999</v>
      </c>
      <c r="AE603">
        <f t="shared" si="495"/>
        <v>-0.5896252739640051</v>
      </c>
      <c r="AF603">
        <f t="shared" si="496"/>
        <v>5.9270857731225E-2</v>
      </c>
      <c r="AG603">
        <f t="shared" si="473"/>
        <v>52.609484671888453</v>
      </c>
      <c r="AH603">
        <f t="shared" si="474"/>
        <v>-540.2297695431979</v>
      </c>
      <c r="AJ603">
        <f t="shared" si="497"/>
        <v>18000</v>
      </c>
      <c r="AK603">
        <f t="shared" si="498"/>
        <v>290366.09890595998</v>
      </c>
      <c r="AL603">
        <v>1</v>
      </c>
      <c r="AM603">
        <f t="shared" si="499"/>
        <v>500.07494811581995</v>
      </c>
      <c r="AN603">
        <f t="shared" si="475"/>
        <v>580.71481754706656</v>
      </c>
      <c r="AO603">
        <f t="shared" si="476"/>
        <v>-34.833348977158792</v>
      </c>
      <c r="AQ603">
        <f t="shared" si="500"/>
        <v>6.6084676542933459E-4</v>
      </c>
      <c r="AR603">
        <f t="shared" si="501"/>
        <v>-2.5706939175201118</v>
      </c>
      <c r="AT603">
        <f t="shared" si="523"/>
        <v>-1388.7306158202143</v>
      </c>
      <c r="AU603">
        <f t="shared" si="524"/>
        <v>-135.59989134568247</v>
      </c>
      <c r="AV603">
        <f t="shared" si="511"/>
        <v>-3.0442581565728153</v>
      </c>
      <c r="AW603">
        <f t="shared" si="512"/>
        <v>547.6658199804117</v>
      </c>
      <c r="AX603">
        <f t="shared" si="513"/>
        <v>-2162.1535196243253</v>
      </c>
      <c r="AY603">
        <f t="shared" si="521"/>
        <v>-1.3227175330415146</v>
      </c>
      <c r="BA603">
        <f t="shared" si="502"/>
        <v>0.62558843755034454</v>
      </c>
      <c r="BB603">
        <f t="shared" si="514"/>
        <v>-4.0742257345935613</v>
      </c>
      <c r="BC603">
        <f t="shared" si="515"/>
        <v>-1.7215406235313007</v>
      </c>
      <c r="BD603">
        <f t="shared" si="503"/>
        <v>-278.63701210137287</v>
      </c>
      <c r="BF603">
        <f t="shared" si="504"/>
        <v>-62.37928654492918</v>
      </c>
      <c r="BG603">
        <f t="shared" si="505"/>
        <v>-192.13599872457826</v>
      </c>
      <c r="BH603">
        <f t="shared" si="516"/>
        <v>-12.135998724578258</v>
      </c>
      <c r="BI603">
        <f t="shared" si="517"/>
        <v>-12.135998724578258</v>
      </c>
      <c r="BJ603">
        <f t="shared" si="506"/>
        <v>0</v>
      </c>
      <c r="BK603">
        <f t="shared" si="518"/>
        <v>0</v>
      </c>
      <c r="BM603">
        <f t="shared" si="519"/>
        <v>-58.305060810335611</v>
      </c>
      <c r="BN603">
        <f t="shared" si="507"/>
        <v>-93.498986623205369</v>
      </c>
      <c r="BQ603" s="56">
        <f t="shared" si="520"/>
        <v>12.827735065691574</v>
      </c>
    </row>
    <row r="604" spans="1:69" x14ac:dyDescent="0.25">
      <c r="A604">
        <f t="shared" si="525"/>
        <v>1950000</v>
      </c>
      <c r="B604">
        <f t="shared" si="508"/>
        <v>1950</v>
      </c>
      <c r="C604">
        <f t="shared" si="477"/>
        <v>16.203805348062176</v>
      </c>
      <c r="D604">
        <f t="shared" si="478"/>
        <v>1.5090431869344834</v>
      </c>
      <c r="F604">
        <f t="shared" si="479"/>
        <v>4.9879191960464114E-6</v>
      </c>
      <c r="G604">
        <f t="shared" si="480"/>
        <v>8.4048403047785132E-4</v>
      </c>
      <c r="H604">
        <f t="shared" si="481"/>
        <v>-3.1407521659695226</v>
      </c>
      <c r="J604">
        <f t="shared" si="482"/>
        <v>15</v>
      </c>
      <c r="M604">
        <f t="shared" si="483"/>
        <v>9.3491316870065717E-4</v>
      </c>
      <c r="N604">
        <f t="shared" si="484"/>
        <v>-1.5707963250000001</v>
      </c>
      <c r="O604">
        <f t="shared" si="485"/>
        <v>322.47975282586674</v>
      </c>
      <c r="P604">
        <f t="shared" si="486"/>
        <v>1.5676953519463579</v>
      </c>
      <c r="Q604">
        <f t="shared" si="487"/>
        <v>501.36148511361603</v>
      </c>
      <c r="R604">
        <f t="shared" si="488"/>
        <v>1.5688017566239842</v>
      </c>
      <c r="S604">
        <f t="shared" si="489"/>
        <v>6.1713898588617082E-2</v>
      </c>
      <c r="T604">
        <f t="shared" si="490"/>
        <v>-1.5090431869344834</v>
      </c>
      <c r="U604">
        <f t="shared" si="491"/>
        <v>9.9764955069295003E-2</v>
      </c>
      <c r="V604">
        <f t="shared" si="492"/>
        <v>-1.4708651318749792</v>
      </c>
      <c r="X604">
        <f t="shared" si="509"/>
        <v>-58.951732456839856</v>
      </c>
      <c r="Y604">
        <f t="shared" si="493"/>
        <v>-174.51816121652459</v>
      </c>
      <c r="Z604">
        <f t="shared" si="510"/>
        <v>5.4818387834754105</v>
      </c>
      <c r="AC604">
        <v>1</v>
      </c>
      <c r="AD604">
        <f t="shared" si="494"/>
        <v>322.4782023372</v>
      </c>
      <c r="AE604">
        <f t="shared" si="495"/>
        <v>-0.59266066289493979</v>
      </c>
      <c r="AF604">
        <f t="shared" si="496"/>
        <v>5.942322497475E-2</v>
      </c>
      <c r="AG604">
        <f t="shared" si="473"/>
        <v>52.342720142177683</v>
      </c>
      <c r="AH604">
        <f t="shared" si="474"/>
        <v>-538.87131219811522</v>
      </c>
      <c r="AJ604">
        <f t="shared" si="497"/>
        <v>18000</v>
      </c>
      <c r="AK604">
        <f t="shared" si="498"/>
        <v>291112.54131960002</v>
      </c>
      <c r="AL604">
        <v>1</v>
      </c>
      <c r="AM604">
        <f t="shared" si="499"/>
        <v>501.36048782819995</v>
      </c>
      <c r="AN604">
        <f t="shared" si="475"/>
        <v>580.71446079487635</v>
      </c>
      <c r="AO604">
        <f t="shared" si="476"/>
        <v>-34.744033409298403</v>
      </c>
      <c r="AQ604">
        <f t="shared" si="500"/>
        <v>6.5746215269808328E-4</v>
      </c>
      <c r="AR604">
        <f t="shared" si="501"/>
        <v>-2.5641023955225251</v>
      </c>
      <c r="AT604">
        <f t="shared" si="523"/>
        <v>-1381.686809128091</v>
      </c>
      <c r="AU604">
        <f t="shared" si="524"/>
        <v>-134.56638159766794</v>
      </c>
      <c r="AV604">
        <f t="shared" si="511"/>
        <v>-3.0445060232676235</v>
      </c>
      <c r="AW604">
        <f t="shared" si="512"/>
        <v>547.83758956104236</v>
      </c>
      <c r="AX604">
        <f t="shared" si="513"/>
        <v>-2156.6370654142879</v>
      </c>
      <c r="AY604">
        <f t="shared" si="521"/>
        <v>-1.3220339632943683</v>
      </c>
      <c r="BA604">
        <f t="shared" si="502"/>
        <v>0.62388418231343856</v>
      </c>
      <c r="BB604">
        <f t="shared" si="514"/>
        <v>-4.0979205028462671</v>
      </c>
      <c r="BC604">
        <f t="shared" si="515"/>
        <v>-1.7224720599732553</v>
      </c>
      <c r="BD604">
        <f t="shared" si="503"/>
        <v>-278.69037947844254</v>
      </c>
      <c r="BF604">
        <f t="shared" si="504"/>
        <v>-62.42536678567631</v>
      </c>
      <c r="BG604">
        <f t="shared" si="505"/>
        <v>-192.18041747757874</v>
      </c>
      <c r="BH604">
        <f t="shared" si="516"/>
        <v>-12.180417477578743</v>
      </c>
      <c r="BI604">
        <f t="shared" si="517"/>
        <v>-12.180417477578743</v>
      </c>
      <c r="BJ604">
        <f t="shared" si="506"/>
        <v>0</v>
      </c>
      <c r="BK604">
        <f t="shared" si="518"/>
        <v>0</v>
      </c>
      <c r="BM604">
        <f t="shared" si="519"/>
        <v>-58.327446282830032</v>
      </c>
      <c r="BN604">
        <f t="shared" si="507"/>
        <v>-93.490037999136206</v>
      </c>
      <c r="BQ604" s="56">
        <f t="shared" si="520"/>
        <v>12.804040297438871</v>
      </c>
    </row>
    <row r="605" spans="1:69" x14ac:dyDescent="0.25">
      <c r="A605">
        <f t="shared" si="525"/>
        <v>1955000</v>
      </c>
      <c r="B605">
        <f t="shared" si="508"/>
        <v>1955</v>
      </c>
      <c r="C605">
        <f t="shared" si="477"/>
        <v>16.245195527722945</v>
      </c>
      <c r="D605">
        <f t="shared" si="478"/>
        <v>1.5092007236711127</v>
      </c>
      <c r="F605">
        <f t="shared" si="479"/>
        <v>4.9624380507869358E-6</v>
      </c>
      <c r="G605">
        <f t="shared" si="480"/>
        <v>8.383344344734965E-4</v>
      </c>
      <c r="H605">
        <f t="shared" si="481"/>
        <v>-3.1407543155655269</v>
      </c>
      <c r="J605">
        <f t="shared" si="482"/>
        <v>15</v>
      </c>
      <c r="M605">
        <f t="shared" si="483"/>
        <v>9.3252208642776542E-4</v>
      </c>
      <c r="N605">
        <f t="shared" si="484"/>
        <v>-1.5707963250000001</v>
      </c>
      <c r="O605">
        <f t="shared" si="485"/>
        <v>323.30661604592154</v>
      </c>
      <c r="P605">
        <f t="shared" si="486"/>
        <v>1.567703282777676</v>
      </c>
      <c r="Q605">
        <f t="shared" si="487"/>
        <v>502.64702227539902</v>
      </c>
      <c r="R605">
        <f t="shared" si="488"/>
        <v>1.5688068578129897</v>
      </c>
      <c r="S605">
        <f t="shared" si="489"/>
        <v>6.1556661370647602E-2</v>
      </c>
      <c r="T605">
        <f t="shared" si="490"/>
        <v>-1.5092007236711125</v>
      </c>
      <c r="U605">
        <f t="shared" si="491"/>
        <v>9.9512331646747901E-2</v>
      </c>
      <c r="V605">
        <f t="shared" si="492"/>
        <v>-1.4711190187182337</v>
      </c>
      <c r="X605">
        <f t="shared" si="509"/>
        <v>-58.995998154841686</v>
      </c>
      <c r="Y605">
        <f t="shared" si="493"/>
        <v>-174.5320843441485</v>
      </c>
      <c r="Z605">
        <f t="shared" si="510"/>
        <v>5.467915655851499</v>
      </c>
      <c r="AC605">
        <v>1</v>
      </c>
      <c r="AD605">
        <f t="shared" si="494"/>
        <v>323.30506952268001</v>
      </c>
      <c r="AE605">
        <f t="shared" si="495"/>
        <v>-0.59570384486549166</v>
      </c>
      <c r="AF605">
        <f t="shared" si="496"/>
        <v>5.9575592218274999E-2</v>
      </c>
      <c r="AG605">
        <f t="shared" si="473"/>
        <v>52.077972755593102</v>
      </c>
      <c r="AH605">
        <f t="shared" si="474"/>
        <v>-537.51960175200691</v>
      </c>
      <c r="AJ605">
        <f t="shared" si="497"/>
        <v>18000</v>
      </c>
      <c r="AK605">
        <f t="shared" si="498"/>
        <v>291858.98373324005</v>
      </c>
      <c r="AL605">
        <v>1</v>
      </c>
      <c r="AM605">
        <f t="shared" si="499"/>
        <v>502.64602754058001</v>
      </c>
      <c r="AN605">
        <f t="shared" si="475"/>
        <v>580.71410677639892</v>
      </c>
      <c r="AO605">
        <f t="shared" si="476"/>
        <v>-34.655174693123968</v>
      </c>
      <c r="AQ605">
        <f t="shared" si="500"/>
        <v>6.5410347563768707E-4</v>
      </c>
      <c r="AR605">
        <f t="shared" si="501"/>
        <v>-2.5575445897433564</v>
      </c>
      <c r="AT605">
        <f t="shared" si="523"/>
        <v>-1374.6962849588651</v>
      </c>
      <c r="AU605">
        <f t="shared" si="524"/>
        <v>-133.54333090559842</v>
      </c>
      <c r="AV605">
        <f t="shared" si="511"/>
        <v>-3.0447526350602239</v>
      </c>
      <c r="AW605">
        <f t="shared" si="512"/>
        <v>548.00801406615415</v>
      </c>
      <c r="AX605">
        <f t="shared" si="513"/>
        <v>-2151.148620835766</v>
      </c>
      <c r="AY605">
        <f t="shared" si="521"/>
        <v>-1.3213508288492362</v>
      </c>
      <c r="BA605">
        <f t="shared" si="502"/>
        <v>0.62218835895425306</v>
      </c>
      <c r="BB605">
        <f t="shared" si="514"/>
        <v>-4.1215623746468006</v>
      </c>
      <c r="BC605">
        <f t="shared" si="515"/>
        <v>-1.7234018062109877</v>
      </c>
      <c r="BD605">
        <f t="shared" si="503"/>
        <v>-278.74365001394364</v>
      </c>
      <c r="BF605">
        <f t="shared" si="504"/>
        <v>-62.471336370906634</v>
      </c>
      <c r="BG605">
        <f t="shared" si="505"/>
        <v>-192.22478498572127</v>
      </c>
      <c r="BH605">
        <f t="shared" si="516"/>
        <v>-12.224784985721271</v>
      </c>
      <c r="BI605">
        <f t="shared" si="517"/>
        <v>-12.224784985721271</v>
      </c>
      <c r="BJ605">
        <f t="shared" si="506"/>
        <v>0</v>
      </c>
      <c r="BK605">
        <f t="shared" si="518"/>
        <v>0</v>
      </c>
      <c r="BM605">
        <f t="shared" si="519"/>
        <v>-58.349773996259835</v>
      </c>
      <c r="BN605">
        <f t="shared" si="507"/>
        <v>-93.481134971777621</v>
      </c>
      <c r="BQ605" s="56">
        <f t="shared" si="520"/>
        <v>12.780398425638335</v>
      </c>
    </row>
    <row r="606" spans="1:69" x14ac:dyDescent="0.25">
      <c r="A606">
        <f t="shared" si="525"/>
        <v>1960000</v>
      </c>
      <c r="B606">
        <f t="shared" si="508"/>
        <v>1960</v>
      </c>
      <c r="C606">
        <f t="shared" si="477"/>
        <v>16.286586108504899</v>
      </c>
      <c r="D606">
        <f t="shared" si="478"/>
        <v>1.5093574596867758</v>
      </c>
      <c r="F606">
        <f t="shared" si="479"/>
        <v>4.9371516666507387E-6</v>
      </c>
      <c r="G606">
        <f t="shared" si="480"/>
        <v>8.3619580595182196E-4</v>
      </c>
      <c r="H606">
        <f t="shared" si="481"/>
        <v>-3.1407564541940483</v>
      </c>
      <c r="J606">
        <f t="shared" si="482"/>
        <v>15</v>
      </c>
      <c r="M606">
        <f t="shared" si="483"/>
        <v>9.3014320355422526E-4</v>
      </c>
      <c r="N606">
        <f t="shared" si="484"/>
        <v>-1.5707963250000001</v>
      </c>
      <c r="O606">
        <f t="shared" si="485"/>
        <v>324.13347928620806</v>
      </c>
      <c r="P606">
        <f t="shared" si="486"/>
        <v>1.5677111731459552</v>
      </c>
      <c r="Q606">
        <f t="shared" si="487"/>
        <v>503.93255945019519</v>
      </c>
      <c r="R606">
        <f t="shared" si="488"/>
        <v>1.5688119329756236</v>
      </c>
      <c r="S606">
        <f t="shared" si="489"/>
        <v>6.1400221835182359E-2</v>
      </c>
      <c r="T606">
        <f t="shared" si="490"/>
        <v>-1.5093574596867758</v>
      </c>
      <c r="U606">
        <f t="shared" si="491"/>
        <v>9.9260978021929333E-2</v>
      </c>
      <c r="V606">
        <f t="shared" si="492"/>
        <v>-1.4713716230154852</v>
      </c>
      <c r="X606">
        <f t="shared" si="509"/>
        <v>-59.040151895898191</v>
      </c>
      <c r="Y606">
        <f t="shared" si="493"/>
        <v>-174.54593716847148</v>
      </c>
      <c r="Z606">
        <f t="shared" si="510"/>
        <v>5.4540628315285176</v>
      </c>
      <c r="AC606">
        <v>1</v>
      </c>
      <c r="AD606">
        <f t="shared" si="494"/>
        <v>324.13193670815997</v>
      </c>
      <c r="AE606">
        <f t="shared" si="495"/>
        <v>-0.59875481987566093</v>
      </c>
      <c r="AF606">
        <f t="shared" si="496"/>
        <v>5.9727959461799998E-2</v>
      </c>
      <c r="AG606">
        <f t="shared" si="473"/>
        <v>51.815222294209498</v>
      </c>
      <c r="AH606">
        <f t="shared" si="474"/>
        <v>-536.17458858725297</v>
      </c>
      <c r="AJ606">
        <f t="shared" si="497"/>
        <v>18000</v>
      </c>
      <c r="AK606">
        <f t="shared" si="498"/>
        <v>292605.42614688003</v>
      </c>
      <c r="AL606">
        <v>1</v>
      </c>
      <c r="AM606">
        <f t="shared" si="499"/>
        <v>503.93156725296001</v>
      </c>
      <c r="AN606">
        <f t="shared" si="475"/>
        <v>580.7137554637751</v>
      </c>
      <c r="AO606">
        <f t="shared" si="476"/>
        <v>-34.566769332376865</v>
      </c>
      <c r="AQ606">
        <f t="shared" si="500"/>
        <v>6.5077046993632407E-4</v>
      </c>
      <c r="AR606">
        <f t="shared" si="501"/>
        <v>-2.5510202421503902</v>
      </c>
      <c r="AT606">
        <f t="shared" si="523"/>
        <v>-1367.7585089961776</v>
      </c>
      <c r="AU606">
        <f t="shared" si="524"/>
        <v>-132.53060751303346</v>
      </c>
      <c r="AV606">
        <f t="shared" si="511"/>
        <v>-3.0449980014240405</v>
      </c>
      <c r="AW606">
        <f t="shared" si="512"/>
        <v>548.17710756508802</v>
      </c>
      <c r="AX606">
        <f t="shared" si="513"/>
        <v>-2145.6879736027468</v>
      </c>
      <c r="AY606">
        <f t="shared" si="521"/>
        <v>-1.320668128388359</v>
      </c>
      <c r="BA606">
        <f t="shared" si="502"/>
        <v>0.62050090397915669</v>
      </c>
      <c r="BB606">
        <f t="shared" si="514"/>
        <v>-4.1451516292236885</v>
      </c>
      <c r="BC606">
        <f t="shared" si="515"/>
        <v>-1.7243298730356815</v>
      </c>
      <c r="BD606">
        <f t="shared" si="503"/>
        <v>-278.79682432616545</v>
      </c>
      <c r="BF606">
        <f t="shared" si="504"/>
        <v>-62.517195878209755</v>
      </c>
      <c r="BG606">
        <f t="shared" si="505"/>
        <v>-192.26910152012599</v>
      </c>
      <c r="BH606">
        <f t="shared" si="516"/>
        <v>-12.269101520125986</v>
      </c>
      <c r="BI606">
        <f t="shared" si="517"/>
        <v>-12.269101520125986</v>
      </c>
      <c r="BJ606">
        <f t="shared" si="506"/>
        <v>0</v>
      </c>
      <c r="BK606">
        <f t="shared" si="518"/>
        <v>0</v>
      </c>
      <c r="BM606">
        <f t="shared" si="519"/>
        <v>-58.372044248986072</v>
      </c>
      <c r="BN606">
        <f t="shared" si="507"/>
        <v>-93.472277193960537</v>
      </c>
      <c r="BQ606" s="56">
        <f t="shared" si="520"/>
        <v>12.75680917106145</v>
      </c>
    </row>
    <row r="607" spans="1:69" x14ac:dyDescent="0.25">
      <c r="A607">
        <f t="shared" si="525"/>
        <v>1965000</v>
      </c>
      <c r="B607">
        <f t="shared" si="508"/>
        <v>1965</v>
      </c>
      <c r="C607">
        <f t="shared" si="477"/>
        <v>16.327977087357564</v>
      </c>
      <c r="D607">
        <f t="shared" si="478"/>
        <v>1.5095134010631606</v>
      </c>
      <c r="F607">
        <f t="shared" si="479"/>
        <v>4.9120580638452796E-6</v>
      </c>
      <c r="G607">
        <f t="shared" si="480"/>
        <v>8.3406806119000292E-4</v>
      </c>
      <c r="H607">
        <f t="shared" si="481"/>
        <v>-3.1407585819388104</v>
      </c>
      <c r="J607">
        <f t="shared" si="482"/>
        <v>15</v>
      </c>
      <c r="M607">
        <f t="shared" si="483"/>
        <v>9.2777642695485076E-4</v>
      </c>
      <c r="N607">
        <f t="shared" si="484"/>
        <v>-1.5707963250000001</v>
      </c>
      <c r="O607">
        <f t="shared" si="485"/>
        <v>324.96034254657167</v>
      </c>
      <c r="P607">
        <f t="shared" si="486"/>
        <v>1.5677190233600695</v>
      </c>
      <c r="Q607">
        <f t="shared" si="487"/>
        <v>505.21809663790521</v>
      </c>
      <c r="R607">
        <f t="shared" si="488"/>
        <v>1.5688169823105591</v>
      </c>
      <c r="S607">
        <f t="shared" si="489"/>
        <v>6.124457393894072E-2</v>
      </c>
      <c r="T607">
        <f t="shared" si="490"/>
        <v>-1.5095134010631606</v>
      </c>
      <c r="U607">
        <f t="shared" si="491"/>
        <v>9.901088469298093E-2</v>
      </c>
      <c r="V607">
        <f t="shared" si="492"/>
        <v>-1.4716229544287036</v>
      </c>
      <c r="X607">
        <f t="shared" si="509"/>
        <v>-59.084194242150275</v>
      </c>
      <c r="Y607">
        <f t="shared" si="493"/>
        <v>-174.55972021880029</v>
      </c>
      <c r="Z607">
        <f t="shared" si="510"/>
        <v>5.4402797811997061</v>
      </c>
      <c r="AC607">
        <v>1</v>
      </c>
      <c r="AD607">
        <f t="shared" si="494"/>
        <v>324.95880389363998</v>
      </c>
      <c r="AE607">
        <f t="shared" si="495"/>
        <v>-0.60181358792544748</v>
      </c>
      <c r="AF607">
        <f t="shared" si="496"/>
        <v>5.9880326705324997E-2</v>
      </c>
      <c r="AG607">
        <f t="shared" si="473"/>
        <v>51.554448791922795</v>
      </c>
      <c r="AH607">
        <f t="shared" si="474"/>
        <v>-534.83622356619196</v>
      </c>
      <c r="AJ607">
        <f t="shared" si="497"/>
        <v>18000</v>
      </c>
      <c r="AK607">
        <f t="shared" si="498"/>
        <v>293351.86856052</v>
      </c>
      <c r="AL607">
        <v>1</v>
      </c>
      <c r="AM607">
        <f t="shared" si="499"/>
        <v>505.21710696534001</v>
      </c>
      <c r="AN607">
        <f t="shared" si="475"/>
        <v>580.71340682949983</v>
      </c>
      <c r="AO607">
        <f t="shared" si="476"/>
        <v>-34.478813866383071</v>
      </c>
      <c r="AQ607">
        <f t="shared" si="500"/>
        <v>6.4746287464063381E-4</v>
      </c>
      <c r="AR607">
        <f t="shared" si="501"/>
        <v>-2.5445290973376911</v>
      </c>
      <c r="AT607">
        <f t="shared" si="523"/>
        <v>-1360.8729535827665</v>
      </c>
      <c r="AU607">
        <f t="shared" si="524"/>
        <v>-131.52808164702563</v>
      </c>
      <c r="AV607">
        <f t="shared" si="511"/>
        <v>-3.0452421317377101</v>
      </c>
      <c r="AW607">
        <f t="shared" si="512"/>
        <v>548.34488394299728</v>
      </c>
      <c r="AX607">
        <f t="shared" si="513"/>
        <v>-2140.2549135641502</v>
      </c>
      <c r="AY607">
        <f t="shared" si="521"/>
        <v>-1.3199858606120825</v>
      </c>
      <c r="BA607">
        <f t="shared" si="502"/>
        <v>0.61882175453292665</v>
      </c>
      <c r="BB607">
        <f t="shared" si="514"/>
        <v>-4.1686885436830208</v>
      </c>
      <c r="BC607">
        <f t="shared" si="515"/>
        <v>-1.7252562711256276</v>
      </c>
      <c r="BD607">
        <f t="shared" si="503"/>
        <v>-278.84990302692904</v>
      </c>
      <c r="BF607">
        <f t="shared" si="504"/>
        <v>-62.562945880739107</v>
      </c>
      <c r="BG607">
        <f t="shared" si="505"/>
        <v>-192.31336734895592</v>
      </c>
      <c r="BH607">
        <f t="shared" si="516"/>
        <v>-12.313367348955921</v>
      </c>
      <c r="BI607">
        <f t="shared" si="517"/>
        <v>-12.313367348955921</v>
      </c>
      <c r="BJ607">
        <f t="shared" si="506"/>
        <v>0</v>
      </c>
      <c r="BK607">
        <f t="shared" si="518"/>
        <v>0</v>
      </c>
      <c r="BM607">
        <f t="shared" si="519"/>
        <v>-58.394257337056089</v>
      </c>
      <c r="BN607">
        <f t="shared" si="507"/>
        <v>-93.463464322026908</v>
      </c>
      <c r="BQ607" s="56">
        <f t="shared" si="520"/>
        <v>12.733272256602117</v>
      </c>
    </row>
    <row r="608" spans="1:69" x14ac:dyDescent="0.25">
      <c r="A608">
        <f t="shared" si="525"/>
        <v>1970000</v>
      </c>
      <c r="B608">
        <f t="shared" si="508"/>
        <v>1970</v>
      </c>
      <c r="C608">
        <f t="shared" si="477"/>
        <v>16.369368461261303</v>
      </c>
      <c r="D608">
        <f t="shared" si="478"/>
        <v>1.5096685538205974</v>
      </c>
      <c r="F608">
        <f t="shared" si="479"/>
        <v>4.887155287670594E-6</v>
      </c>
      <c r="G608">
        <f t="shared" si="480"/>
        <v>8.3195111731521206E-4</v>
      </c>
      <c r="H608">
        <f t="shared" si="481"/>
        <v>-3.1407606988826848</v>
      </c>
      <c r="J608">
        <f t="shared" si="482"/>
        <v>15</v>
      </c>
      <c r="M608">
        <f t="shared" si="483"/>
        <v>9.2542166444988915E-4</v>
      </c>
      <c r="N608">
        <f t="shared" si="484"/>
        <v>-1.5707963250000001</v>
      </c>
      <c r="O608">
        <f t="shared" si="485"/>
        <v>325.78720582685963</v>
      </c>
      <c r="P608">
        <f t="shared" si="486"/>
        <v>1.5677268337257577</v>
      </c>
      <c r="Q608">
        <f t="shared" si="487"/>
        <v>506.50363383843086</v>
      </c>
      <c r="R608">
        <f t="shared" si="488"/>
        <v>1.5688220060144531</v>
      </c>
      <c r="S608">
        <f t="shared" si="489"/>
        <v>6.1089711699418098E-2</v>
      </c>
      <c r="T608">
        <f t="shared" si="490"/>
        <v>-1.5096685538205974</v>
      </c>
      <c r="U608">
        <f t="shared" si="491"/>
        <v>9.8762042252127702E-2</v>
      </c>
      <c r="V608">
        <f t="shared" si="492"/>
        <v>-1.4718730225233727</v>
      </c>
      <c r="X608">
        <f t="shared" si="509"/>
        <v>-59.128125751536238</v>
      </c>
      <c r="Y608">
        <f t="shared" si="493"/>
        <v>-174.57343401915978</v>
      </c>
      <c r="Z608">
        <f t="shared" si="510"/>
        <v>5.4265659808402233</v>
      </c>
      <c r="AC608">
        <v>1</v>
      </c>
      <c r="AD608">
        <f t="shared" si="494"/>
        <v>325.78567107912005</v>
      </c>
      <c r="AE608">
        <f t="shared" si="495"/>
        <v>-0.60488014901485132</v>
      </c>
      <c r="AF608">
        <f t="shared" si="496"/>
        <v>6.0032693948849997E-2</v>
      </c>
      <c r="AG608">
        <f t="shared" si="473"/>
        <v>51.295632530708339</v>
      </c>
      <c r="AH608">
        <f t="shared" si="474"/>
        <v>-533.5044580253998</v>
      </c>
      <c r="AJ608">
        <f t="shared" si="497"/>
        <v>18000</v>
      </c>
      <c r="AK608">
        <f t="shared" si="498"/>
        <v>294098.31097415998</v>
      </c>
      <c r="AL608">
        <v>1</v>
      </c>
      <c r="AM608">
        <f t="shared" si="499"/>
        <v>506.50264667772001</v>
      </c>
      <c r="AN608">
        <f t="shared" si="475"/>
        <v>580.71306084641606</v>
      </c>
      <c r="AO608">
        <f t="shared" si="476"/>
        <v>-34.391304869601633</v>
      </c>
      <c r="AQ608">
        <f t="shared" si="500"/>
        <v>6.4418043210463858E-4</v>
      </c>
      <c r="AR608">
        <f t="shared" si="501"/>
        <v>-2.5380709024922763</v>
      </c>
      <c r="AT608">
        <f t="shared" si="523"/>
        <v>-1354.0390976214505</v>
      </c>
      <c r="AU608">
        <f t="shared" si="524"/>
        <v>-130.53562548342762</v>
      </c>
      <c r="AV608">
        <f t="shared" si="511"/>
        <v>-3.045485035286259</v>
      </c>
      <c r="AW608">
        <f t="shared" si="512"/>
        <v>548.51135690374201</v>
      </c>
      <c r="AX608">
        <f t="shared" si="513"/>
        <v>-2134.8492326771147</v>
      </c>
      <c r="AY608">
        <f t="shared" si="521"/>
        <v>-1.3193040242385925</v>
      </c>
      <c r="BA608">
        <f t="shared" si="502"/>
        <v>0.61715084839076695</v>
      </c>
      <c r="BB608">
        <f t="shared" si="514"/>
        <v>-4.1921733930294476</v>
      </c>
      <c r="BC608">
        <f t="shared" si="515"/>
        <v>-1.7261810110476665</v>
      </c>
      <c r="BD608">
        <f t="shared" si="503"/>
        <v>-278.90288672166963</v>
      </c>
      <c r="BF608">
        <f t="shared" si="504"/>
        <v>-62.608586947256924</v>
      </c>
      <c r="BG608">
        <f t="shared" si="505"/>
        <v>-192.35758273745503</v>
      </c>
      <c r="BH608">
        <f t="shared" si="516"/>
        <v>-12.357582737455033</v>
      </c>
      <c r="BI608">
        <f t="shared" si="517"/>
        <v>-12.357582737455033</v>
      </c>
      <c r="BJ608">
        <f t="shared" si="506"/>
        <v>0</v>
      </c>
      <c r="BK608">
        <f t="shared" si="518"/>
        <v>0</v>
      </c>
      <c r="BM608">
        <f t="shared" si="519"/>
        <v>-58.416413554227475</v>
      </c>
      <c r="BN608">
        <f t="shared" si="507"/>
        <v>-93.454696015785402</v>
      </c>
      <c r="BQ608" s="56">
        <f t="shared" si="520"/>
        <v>12.709787407255689</v>
      </c>
    </row>
    <row r="609" spans="1:69" x14ac:dyDescent="0.25">
      <c r="A609">
        <f t="shared" si="525"/>
        <v>1975000</v>
      </c>
      <c r="B609">
        <f t="shared" si="508"/>
        <v>1975</v>
      </c>
      <c r="C609">
        <f t="shared" si="477"/>
        <v>16.410760227226916</v>
      </c>
      <c r="D609">
        <f t="shared" si="478"/>
        <v>1.509822923918831</v>
      </c>
      <c r="F609">
        <f t="shared" si="479"/>
        <v>4.8624414081386192E-6</v>
      </c>
      <c r="G609">
        <f t="shared" si="480"/>
        <v>8.2984489229386135E-4</v>
      </c>
      <c r="H609">
        <f t="shared" si="481"/>
        <v>-3.1407628051077063</v>
      </c>
      <c r="J609">
        <f t="shared" si="482"/>
        <v>15</v>
      </c>
      <c r="M609">
        <f t="shared" si="483"/>
        <v>9.2307882479305398E-4</v>
      </c>
      <c r="N609">
        <f t="shared" si="484"/>
        <v>-1.5707963250000001</v>
      </c>
      <c r="O609">
        <f t="shared" si="485"/>
        <v>326.61406912692047</v>
      </c>
      <c r="P609">
        <f t="shared" si="486"/>
        <v>1.5677346045456622</v>
      </c>
      <c r="Q609">
        <f t="shared" si="487"/>
        <v>507.78917105167466</v>
      </c>
      <c r="R609">
        <f t="shared" si="488"/>
        <v>1.5688270042819705</v>
      </c>
      <c r="S609">
        <f t="shared" si="489"/>
        <v>6.0935629194125387E-2</v>
      </c>
      <c r="T609">
        <f t="shared" si="490"/>
        <v>-1.509822923918831</v>
      </c>
      <c r="U609">
        <f t="shared" si="491"/>
        <v>9.8514441384522297E-2</v>
      </c>
      <c r="V609">
        <f t="shared" si="492"/>
        <v>-1.4721218367696878</v>
      </c>
      <c r="X609">
        <f t="shared" si="509"/>
        <v>-59.171946977833336</v>
      </c>
      <c r="Y609">
        <f t="shared" si="493"/>
        <v>-174.58707908835888</v>
      </c>
      <c r="Z609">
        <f t="shared" si="510"/>
        <v>5.4129209116411232</v>
      </c>
      <c r="AC609">
        <v>1</v>
      </c>
      <c r="AD609">
        <f t="shared" si="494"/>
        <v>326.6125382646</v>
      </c>
      <c r="AE609">
        <f t="shared" si="495"/>
        <v>-0.60795450314387245</v>
      </c>
      <c r="AF609">
        <f t="shared" si="496"/>
        <v>6.0185061192374996E-2</v>
      </c>
      <c r="AG609">
        <f t="shared" si="473"/>
        <v>51.03875403694375</v>
      </c>
      <c r="AH609">
        <f t="shared" si="474"/>
        <v>-532.17924377005238</v>
      </c>
      <c r="AJ609">
        <f t="shared" si="497"/>
        <v>18000</v>
      </c>
      <c r="AK609">
        <f t="shared" si="498"/>
        <v>294844.75338780001</v>
      </c>
      <c r="AL609">
        <v>1</v>
      </c>
      <c r="AM609">
        <f t="shared" si="499"/>
        <v>507.78818639010001</v>
      </c>
      <c r="AN609">
        <f t="shared" si="475"/>
        <v>580.71271748771085</v>
      </c>
      <c r="AO609">
        <f t="shared" si="476"/>
        <v>-34.30423895117994</v>
      </c>
      <c r="AQ609">
        <f t="shared" si="500"/>
        <v>6.4092288793956816E-4</v>
      </c>
      <c r="AR609">
        <f t="shared" si="501"/>
        <v>-2.5316454073612942</v>
      </c>
      <c r="AT609">
        <f t="shared" si="523"/>
        <v>-1347.2564264778255</v>
      </c>
      <c r="AU609">
        <f t="shared" si="524"/>
        <v>-129.55311311288995</v>
      </c>
      <c r="AV609">
        <f t="shared" si="511"/>
        <v>-3.0457267212622652</v>
      </c>
      <c r="AW609">
        <f t="shared" si="512"/>
        <v>548.67653997273294</v>
      </c>
      <c r="AX609">
        <f t="shared" si="513"/>
        <v>-2129.4707249806906</v>
      </c>
      <c r="AY609">
        <f t="shared" si="521"/>
        <v>-1.3186226180036531</v>
      </c>
      <c r="BA609">
        <f t="shared" si="502"/>
        <v>0.61548812395044816</v>
      </c>
      <c r="BB609">
        <f t="shared" si="514"/>
        <v>-4.2156064501869022</v>
      </c>
      <c r="BC609">
        <f t="shared" si="515"/>
        <v>-1.7271041032586121</v>
      </c>
      <c r="BD609">
        <f t="shared" si="503"/>
        <v>-278.95577600951867</v>
      </c>
      <c r="BF609">
        <f t="shared" si="504"/>
        <v>-62.65411964217855</v>
      </c>
      <c r="BG609">
        <f t="shared" si="505"/>
        <v>-192.40174794798671</v>
      </c>
      <c r="BH609">
        <f t="shared" si="516"/>
        <v>-12.401747947986706</v>
      </c>
      <c r="BI609">
        <f t="shared" si="517"/>
        <v>-12.401747947986706</v>
      </c>
      <c r="BJ609">
        <f t="shared" si="506"/>
        <v>0</v>
      </c>
      <c r="BK609">
        <f t="shared" si="518"/>
        <v>0</v>
      </c>
      <c r="BM609">
        <f t="shared" si="519"/>
        <v>-58.438513191991646</v>
      </c>
      <c r="BN609">
        <f t="shared" si="507"/>
        <v>-93.445971938468077</v>
      </c>
      <c r="BQ609" s="56">
        <f t="shared" si="520"/>
        <v>12.686354350098235</v>
      </c>
    </row>
    <row r="610" spans="1:69" x14ac:dyDescent="0.25">
      <c r="A610">
        <f t="shared" si="525"/>
        <v>1980000</v>
      </c>
      <c r="B610">
        <f t="shared" si="508"/>
        <v>1980</v>
      </c>
      <c r="C610">
        <f t="shared" si="477"/>
        <v>16.452152382295246</v>
      </c>
      <c r="D610">
        <f t="shared" si="478"/>
        <v>1.5099765172577795</v>
      </c>
      <c r="F610">
        <f t="shared" si="479"/>
        <v>4.8379145195992442E-6</v>
      </c>
      <c r="G610">
        <f t="shared" si="480"/>
        <v>8.2774930492100264E-4</v>
      </c>
      <c r="H610">
        <f t="shared" si="481"/>
        <v>-3.1407649006950793</v>
      </c>
      <c r="J610">
        <f t="shared" si="482"/>
        <v>15</v>
      </c>
      <c r="M610">
        <f t="shared" si="483"/>
        <v>9.2074781765973817E-4</v>
      </c>
      <c r="N610">
        <f t="shared" si="484"/>
        <v>-1.5707963250000001</v>
      </c>
      <c r="O610">
        <f t="shared" si="485"/>
        <v>327.44093244660462</v>
      </c>
      <c r="P610">
        <f t="shared" si="486"/>
        <v>1.5677423361193683</v>
      </c>
      <c r="Q610">
        <f t="shared" si="487"/>
        <v>509.07470827754031</v>
      </c>
      <c r="R610">
        <f t="shared" si="488"/>
        <v>1.5688319773058104</v>
      </c>
      <c r="S610">
        <f t="shared" si="489"/>
        <v>6.078232055983971E-2</v>
      </c>
      <c r="T610">
        <f t="shared" si="490"/>
        <v>-1.5099765172577795</v>
      </c>
      <c r="U610">
        <f t="shared" si="491"/>
        <v>9.8268072867106648E-2</v>
      </c>
      <c r="V610">
        <f t="shared" si="492"/>
        <v>-1.4723694065437343</v>
      </c>
      <c r="X610">
        <f t="shared" si="509"/>
        <v>-59.215658470698827</v>
      </c>
      <c r="Y610">
        <f t="shared" si="493"/>
        <v>-174.60065594005454</v>
      </c>
      <c r="Z610">
        <f t="shared" si="510"/>
        <v>5.399344059945463</v>
      </c>
      <c r="AC610">
        <v>1</v>
      </c>
      <c r="AD610">
        <f t="shared" si="494"/>
        <v>327.43940545008002</v>
      </c>
      <c r="AE610">
        <f t="shared" si="495"/>
        <v>-0.61103665031251075</v>
      </c>
      <c r="AF610">
        <f t="shared" si="496"/>
        <v>6.0337428435899995E-2</v>
      </c>
      <c r="AG610">
        <f t="shared" si="473"/>
        <v>50.783794077795022</v>
      </c>
      <c r="AH610">
        <f t="shared" si="474"/>
        <v>-530.86053306836493</v>
      </c>
      <c r="AJ610">
        <f t="shared" si="497"/>
        <v>18000</v>
      </c>
      <c r="AK610">
        <f t="shared" si="498"/>
        <v>295591.19580144004</v>
      </c>
      <c r="AL610">
        <v>1</v>
      </c>
      <c r="AM610">
        <f t="shared" si="499"/>
        <v>509.07372610248001</v>
      </c>
      <c r="AN610">
        <f t="shared" si="475"/>
        <v>580.71237672690881</v>
      </c>
      <c r="AO610">
        <f t="shared" si="476"/>
        <v>-34.217612754515777</v>
      </c>
      <c r="AQ610">
        <f t="shared" si="500"/>
        <v>6.3768999096457048E-4</v>
      </c>
      <c r="AR610">
        <f t="shared" si="501"/>
        <v>-2.5252523642196993</v>
      </c>
      <c r="AT610">
        <f t="shared" si="523"/>
        <v>-1340.5244318846319</v>
      </c>
      <c r="AU610">
        <f t="shared" si="524"/>
        <v>-128.58042050753406</v>
      </c>
      <c r="AV610">
        <f t="shared" si="511"/>
        <v>-3.0459671987670016</v>
      </c>
      <c r="AW610">
        <f t="shared" si="512"/>
        <v>548.84044649972043</v>
      </c>
      <c r="AX610">
        <f t="shared" si="513"/>
        <v>-2124.1191865699129</v>
      </c>
      <c r="AY610">
        <f t="shared" si="521"/>
        <v>-1.3179416406603504</v>
      </c>
      <c r="BA610">
        <f t="shared" si="502"/>
        <v>0.6138335202245655</v>
      </c>
      <c r="BB610">
        <f t="shared" si="514"/>
        <v>-4.2389879860190289</v>
      </c>
      <c r="BC610">
        <f t="shared" si="515"/>
        <v>-1.7280255581066513</v>
      </c>
      <c r="BD610">
        <f t="shared" si="503"/>
        <v>-279.00857148338349</v>
      </c>
      <c r="BF610">
        <f t="shared" si="504"/>
        <v>-62.69954452561624</v>
      </c>
      <c r="BG610">
        <f t="shared" si="505"/>
        <v>-192.44586324007062</v>
      </c>
      <c r="BH610">
        <f t="shared" si="516"/>
        <v>-12.445863240070622</v>
      </c>
      <c r="BI610">
        <f t="shared" si="517"/>
        <v>-12.445863240070622</v>
      </c>
      <c r="BJ610">
        <f t="shared" si="506"/>
        <v>0</v>
      </c>
      <c r="BK610">
        <f t="shared" si="518"/>
        <v>0</v>
      </c>
      <c r="BM610">
        <f t="shared" si="519"/>
        <v>-58.460556539597221</v>
      </c>
      <c r="BN610">
        <f t="shared" si="507"/>
        <v>-93.437291756687159</v>
      </c>
      <c r="BQ610" s="56">
        <f t="shared" si="520"/>
        <v>12.662972814266109</v>
      </c>
    </row>
    <row r="611" spans="1:69" x14ac:dyDescent="0.25">
      <c r="A611">
        <f t="shared" si="525"/>
        <v>1985000</v>
      </c>
      <c r="B611">
        <f t="shared" si="508"/>
        <v>1985</v>
      </c>
      <c r="C611">
        <f t="shared" si="477"/>
        <v>16.493544923536824</v>
      </c>
      <c r="D611">
        <f t="shared" si="478"/>
        <v>1.5101293396782822</v>
      </c>
      <c r="F611">
        <f t="shared" si="479"/>
        <v>4.8135727403729373E-6</v>
      </c>
      <c r="G611">
        <f t="shared" si="480"/>
        <v>8.2566427480989374E-4</v>
      </c>
      <c r="H611">
        <f t="shared" si="481"/>
        <v>-3.1407669857251905</v>
      </c>
      <c r="J611">
        <f t="shared" si="482"/>
        <v>15</v>
      </c>
      <c r="M611">
        <f t="shared" si="483"/>
        <v>9.1842855363540629E-4</v>
      </c>
      <c r="N611">
        <f t="shared" si="484"/>
        <v>-1.5707963250000001</v>
      </c>
      <c r="O611">
        <f t="shared" si="485"/>
        <v>328.26779578576367</v>
      </c>
      <c r="P611">
        <f t="shared" si="486"/>
        <v>1.5677500287434436</v>
      </c>
      <c r="Q611">
        <f t="shared" si="487"/>
        <v>510.36024551593249</v>
      </c>
      <c r="R611">
        <f t="shared" si="488"/>
        <v>1.5688369252767296</v>
      </c>
      <c r="S611">
        <f t="shared" si="489"/>
        <v>6.0629779991866257E-2</v>
      </c>
      <c r="T611">
        <f t="shared" si="490"/>
        <v>-1.5101293396782822</v>
      </c>
      <c r="U611">
        <f t="shared" si="491"/>
        <v>9.8022927567489773E-2</v>
      </c>
      <c r="V611">
        <f t="shared" si="492"/>
        <v>-1.4726157411286513</v>
      </c>
      <c r="X611">
        <f t="shared" si="509"/>
        <v>-59.259260775710594</v>
      </c>
      <c r="Y611">
        <f t="shared" si="493"/>
        <v>-174.61416508281567</v>
      </c>
      <c r="Z611">
        <f t="shared" si="510"/>
        <v>5.3858349171843258</v>
      </c>
      <c r="AC611">
        <v>1</v>
      </c>
      <c r="AD611">
        <f t="shared" si="494"/>
        <v>328.26627263556003</v>
      </c>
      <c r="AE611">
        <f t="shared" si="495"/>
        <v>-0.61412659052076646</v>
      </c>
      <c r="AF611">
        <f t="shared" si="496"/>
        <v>6.0489795679424994E-2</v>
      </c>
      <c r="AG611">
        <f t="shared" si="473"/>
        <v>50.530733657664477</v>
      </c>
      <c r="AH611">
        <f t="shared" si="474"/>
        <v>-529.54827864611025</v>
      </c>
      <c r="AJ611">
        <f t="shared" si="497"/>
        <v>18000</v>
      </c>
      <c r="AK611">
        <f t="shared" si="498"/>
        <v>296337.63821508002</v>
      </c>
      <c r="AL611">
        <v>1</v>
      </c>
      <c r="AM611">
        <f t="shared" si="499"/>
        <v>510.35926581485995</v>
      </c>
      <c r="AN611">
        <f t="shared" si="475"/>
        <v>580.71203853786778</v>
      </c>
      <c r="AO611">
        <f t="shared" si="476"/>
        <v>-34.131422956825915</v>
      </c>
      <c r="AQ611">
        <f t="shared" si="500"/>
        <v>6.344814931582909E-4</v>
      </c>
      <c r="AR611">
        <f t="shared" si="501"/>
        <v>-2.5188915278384147</v>
      </c>
      <c r="AT611">
        <f t="shared" si="523"/>
        <v>-1333.8426118477616</v>
      </c>
      <c r="AU611">
        <f t="shared" si="524"/>
        <v>-127.61742548828526</v>
      </c>
      <c r="AV611">
        <f t="shared" si="511"/>
        <v>-3.0462064768115624</v>
      </c>
      <c r="AW611">
        <f t="shared" si="512"/>
        <v>549.00308966153534</v>
      </c>
      <c r="AX611">
        <f t="shared" si="513"/>
        <v>-2118.7944155702698</v>
      </c>
      <c r="AY611">
        <f t="shared" si="521"/>
        <v>-1.3172610909788394</v>
      </c>
      <c r="BA611">
        <f t="shared" si="502"/>
        <v>0.61218697683290646</v>
      </c>
      <c r="BB611">
        <f t="shared" si="514"/>
        <v>-4.2623182693494623</v>
      </c>
      <c r="BC611">
        <f t="shared" si="515"/>
        <v>-1.7289453858327231</v>
      </c>
      <c r="BD611">
        <f t="shared" si="503"/>
        <v>-279.06127373002676</v>
      </c>
      <c r="BF611">
        <f t="shared" si="504"/>
        <v>-62.744862153422417</v>
      </c>
      <c r="BG611">
        <f t="shared" si="505"/>
        <v>-192.48992887041976</v>
      </c>
      <c r="BH611">
        <f t="shared" si="516"/>
        <v>-12.48992887041976</v>
      </c>
      <c r="BI611">
        <f t="shared" si="517"/>
        <v>-12.48992887041976</v>
      </c>
      <c r="BJ611">
        <f t="shared" si="506"/>
        <v>0</v>
      </c>
      <c r="BK611">
        <f t="shared" si="518"/>
        <v>0</v>
      </c>
      <c r="BM611">
        <f t="shared" si="519"/>
        <v>-58.482543884072946</v>
      </c>
      <c r="BN611">
        <f t="shared" si="507"/>
        <v>-93.428655140393033</v>
      </c>
      <c r="BQ611" s="56">
        <f t="shared" si="520"/>
        <v>12.639642530935674</v>
      </c>
    </row>
    <row r="612" spans="1:69" x14ac:dyDescent="0.25">
      <c r="A612">
        <f t="shared" si="525"/>
        <v>1990000</v>
      </c>
      <c r="B612">
        <f t="shared" si="508"/>
        <v>1990</v>
      </c>
      <c r="C612">
        <f t="shared" si="477"/>
        <v>16.534937848051484</v>
      </c>
      <c r="D612">
        <f t="shared" si="478"/>
        <v>1.5102813969628364</v>
      </c>
      <c r="F612">
        <f t="shared" si="479"/>
        <v>4.7894142123898373E-6</v>
      </c>
      <c r="G612">
        <f t="shared" si="480"/>
        <v>8.2358972238171782E-4</v>
      </c>
      <c r="H612">
        <f t="shared" si="481"/>
        <v>-3.1407690602776186</v>
      </c>
      <c r="J612">
        <f t="shared" si="482"/>
        <v>15</v>
      </c>
      <c r="M612">
        <f t="shared" si="483"/>
        <v>9.1612094420416156E-4</v>
      </c>
      <c r="N612">
        <f t="shared" si="484"/>
        <v>-1.5707963250000001</v>
      </c>
      <c r="O612">
        <f t="shared" si="485"/>
        <v>329.09465914425078</v>
      </c>
      <c r="P612">
        <f t="shared" si="486"/>
        <v>1.5677576827114741</v>
      </c>
      <c r="Q612">
        <f t="shared" si="487"/>
        <v>511.64578276675672</v>
      </c>
      <c r="R612">
        <f t="shared" si="488"/>
        <v>1.5688418483835687</v>
      </c>
      <c r="S612">
        <f t="shared" si="489"/>
        <v>6.0478001743311229E-2</v>
      </c>
      <c r="T612">
        <f t="shared" si="490"/>
        <v>-1.5102813969628361</v>
      </c>
      <c r="U612">
        <f t="shared" si="491"/>
        <v>9.7778996442842284E-2</v>
      </c>
      <c r="V612">
        <f t="shared" si="492"/>
        <v>-1.4728608497157762</v>
      </c>
      <c r="X612">
        <f t="shared" si="509"/>
        <v>-59.302754434407177</v>
      </c>
      <c r="Y612">
        <f t="shared" si="493"/>
        <v>-174.62760702018554</v>
      </c>
      <c r="Z612">
        <f t="shared" si="510"/>
        <v>5.3723929798144638</v>
      </c>
      <c r="AC612">
        <v>1</v>
      </c>
      <c r="AD612">
        <f t="shared" si="494"/>
        <v>329.09313982103998</v>
      </c>
      <c r="AE612">
        <f t="shared" si="495"/>
        <v>-0.61722432376863945</v>
      </c>
      <c r="AF612">
        <f t="shared" si="496"/>
        <v>6.0642162922949994E-2</v>
      </c>
      <c r="AG612">
        <f t="shared" si="473"/>
        <v>50.279554014699613</v>
      </c>
      <c r="AH612">
        <f t="shared" si="474"/>
        <v>-528.24243368121336</v>
      </c>
      <c r="AJ612">
        <f t="shared" si="497"/>
        <v>18000</v>
      </c>
      <c r="AK612">
        <f t="shared" si="498"/>
        <v>297084.08062872005</v>
      </c>
      <c r="AL612">
        <v>1</v>
      </c>
      <c r="AM612">
        <f t="shared" si="499"/>
        <v>511.64480552723995</v>
      </c>
      <c r="AN612">
        <f t="shared" si="475"/>
        <v>580.71170289477357</v>
      </c>
      <c r="AO612">
        <f t="shared" si="476"/>
        <v>-34.045666268721305</v>
      </c>
      <c r="AQ612">
        <f t="shared" si="500"/>
        <v>6.3129714961130084E-4</v>
      </c>
      <c r="AR612">
        <f t="shared" si="501"/>
        <v>-2.5125626554529776</v>
      </c>
      <c r="AT612">
        <f t="shared" si="523"/>
        <v>-1327.2104705538795</v>
      </c>
      <c r="AU612">
        <f t="shared" si="524"/>
        <v>-126.66400769285177</v>
      </c>
      <c r="AV612">
        <f t="shared" si="511"/>
        <v>-3.0464445643179756</v>
      </c>
      <c r="AW612">
        <f t="shared" si="512"/>
        <v>549.16448246477773</v>
      </c>
      <c r="AX612">
        <f t="shared" si="513"/>
        <v>-2113.4962121125454</v>
      </c>
      <c r="AY612">
        <f t="shared" si="521"/>
        <v>-1.3165809677460953</v>
      </c>
      <c r="BA612">
        <f t="shared" si="502"/>
        <v>0.61054843399493808</v>
      </c>
      <c r="BB612">
        <f t="shared" si="514"/>
        <v>-4.2855975669817452</v>
      </c>
      <c r="BC612">
        <f t="shared" si="515"/>
        <v>-1.7298635965718803</v>
      </c>
      <c r="BD612">
        <f t="shared" si="503"/>
        <v>-279.11388333014418</v>
      </c>
      <c r="BF612">
        <f t="shared" si="504"/>
        <v>-62.790073077232321</v>
      </c>
      <c r="BG612">
        <f t="shared" si="505"/>
        <v>-192.53394509297669</v>
      </c>
      <c r="BH612">
        <f t="shared" si="516"/>
        <v>-12.533945092976694</v>
      </c>
      <c r="BI612">
        <f t="shared" si="517"/>
        <v>-12.533945092976694</v>
      </c>
      <c r="BJ612">
        <f t="shared" si="506"/>
        <v>0</v>
      </c>
      <c r="BK612">
        <f t="shared" si="518"/>
        <v>0</v>
      </c>
      <c r="BM612">
        <f t="shared" si="519"/>
        <v>-58.504475510250572</v>
      </c>
      <c r="BN612">
        <f t="shared" si="507"/>
        <v>-93.42006176283256</v>
      </c>
      <c r="BQ612" s="56">
        <f t="shared" si="520"/>
        <v>12.616363233303392</v>
      </c>
    </row>
    <row r="613" spans="1:69" x14ac:dyDescent="0.25">
      <c r="A613">
        <f t="shared" si="525"/>
        <v>1995000</v>
      </c>
      <c r="B613">
        <f t="shared" si="508"/>
        <v>1995</v>
      </c>
      <c r="C613">
        <f t="shared" si="477"/>
        <v>16.576331152967995</v>
      </c>
      <c r="D613">
        <f t="shared" si="478"/>
        <v>1.5104326948363225</v>
      </c>
      <c r="F613">
        <f t="shared" si="479"/>
        <v>4.7654371008351563E-6</v>
      </c>
      <c r="G613">
        <f t="shared" si="480"/>
        <v>8.2152556885545886E-4</v>
      </c>
      <c r="H613">
        <f t="shared" si="481"/>
        <v>-3.1407711244311449</v>
      </c>
      <c r="J613">
        <f t="shared" si="482"/>
        <v>15</v>
      </c>
      <c r="M613">
        <f t="shared" si="483"/>
        <v>9.1382490173748442E-4</v>
      </c>
      <c r="N613">
        <f t="shared" si="484"/>
        <v>-1.5707963250000001</v>
      </c>
      <c r="O613">
        <f t="shared" si="485"/>
        <v>329.92152252192074</v>
      </c>
      <c r="P613">
        <f t="shared" si="486"/>
        <v>1.5677652983141035</v>
      </c>
      <c r="Q613">
        <f t="shared" si="487"/>
        <v>512.93132002991956</v>
      </c>
      <c r="R613">
        <f t="shared" si="488"/>
        <v>1.5688467468132745</v>
      </c>
      <c r="S613">
        <f t="shared" si="489"/>
        <v>6.0326980124365458E-2</v>
      </c>
      <c r="T613">
        <f t="shared" si="490"/>
        <v>-1.5104326948363225</v>
      </c>
      <c r="U613">
        <f t="shared" si="491"/>
        <v>9.7536270538806646E-2</v>
      </c>
      <c r="V613">
        <f t="shared" si="492"/>
        <v>-1.4731047414057727</v>
      </c>
      <c r="X613">
        <f t="shared" si="509"/>
        <v>-59.346139984327436</v>
      </c>
      <c r="Y613">
        <f t="shared" si="493"/>
        <v>-174.64098225074378</v>
      </c>
      <c r="Z613">
        <f t="shared" si="510"/>
        <v>5.3590177492562248</v>
      </c>
      <c r="AC613">
        <v>1</v>
      </c>
      <c r="AD613">
        <f t="shared" si="494"/>
        <v>329.92000700652</v>
      </c>
      <c r="AE613">
        <f t="shared" si="495"/>
        <v>-0.62032985005612962</v>
      </c>
      <c r="AF613">
        <f t="shared" si="496"/>
        <v>6.0794530166474993E-2</v>
      </c>
      <c r="AG613">
        <f t="shared" si="473"/>
        <v>50.030236617361581</v>
      </c>
      <c r="AH613">
        <f t="shared" si="474"/>
        <v>-526.94295179842277</v>
      </c>
      <c r="AJ613">
        <f t="shared" si="497"/>
        <v>18000</v>
      </c>
      <c r="AK613">
        <f t="shared" si="498"/>
        <v>297830.52304236003</v>
      </c>
      <c r="AL613">
        <v>1</v>
      </c>
      <c r="AM613">
        <f t="shared" si="499"/>
        <v>512.93034523962001</v>
      </c>
      <c r="AN613">
        <f t="shared" si="475"/>
        <v>580.71136977213496</v>
      </c>
      <c r="AO613">
        <f t="shared" si="476"/>
        <v>-33.960339433788597</v>
      </c>
      <c r="AQ613">
        <f t="shared" si="500"/>
        <v>6.2813671847936146E-4</v>
      </c>
      <c r="AR613">
        <f t="shared" si="501"/>
        <v>-2.5062655067326518</v>
      </c>
      <c r="AT613">
        <f t="shared" si="523"/>
        <v>-1320.6275182796198</v>
      </c>
      <c r="AU613">
        <f t="shared" si="524"/>
        <v>-125.72004854433469</v>
      </c>
      <c r="AV613">
        <f t="shared" si="511"/>
        <v>-3.0466814701202938</v>
      </c>
      <c r="AW613">
        <f t="shared" si="512"/>
        <v>549.32463774845826</v>
      </c>
      <c r="AX613">
        <f t="shared" si="513"/>
        <v>-2108.2243783080376</v>
      </c>
      <c r="AY613">
        <f t="shared" si="521"/>
        <v>-1.31590126976567</v>
      </c>
      <c r="BA613">
        <f t="shared" si="502"/>
        <v>0.6089178325223995</v>
      </c>
      <c r="BB613">
        <f t="shared" si="514"/>
        <v>-4.3088261437190969</v>
      </c>
      <c r="BC613">
        <f t="shared" si="515"/>
        <v>-1.7307802003546238</v>
      </c>
      <c r="BD613">
        <f t="shared" si="503"/>
        <v>-279.16640085844108</v>
      </c>
      <c r="BF613">
        <f t="shared" si="504"/>
        <v>-62.835177844506262</v>
      </c>
      <c r="BG613">
        <f t="shared" si="505"/>
        <v>-192.57791215894915</v>
      </c>
      <c r="BH613">
        <f t="shared" si="516"/>
        <v>-12.577912158949147</v>
      </c>
      <c r="BI613">
        <f t="shared" si="517"/>
        <v>-12.577912158949147</v>
      </c>
      <c r="BJ613">
        <f t="shared" si="506"/>
        <v>0</v>
      </c>
      <c r="BK613">
        <f t="shared" si="518"/>
        <v>0</v>
      </c>
      <c r="BM613">
        <f t="shared" si="519"/>
        <v>-58.52635170078716</v>
      </c>
      <c r="BN613">
        <f t="shared" si="507"/>
        <v>-93.411511300508053</v>
      </c>
      <c r="BQ613" s="56">
        <f t="shared" si="520"/>
        <v>12.59313465656604</v>
      </c>
    </row>
    <row r="614" spans="1:69" x14ac:dyDescent="0.25">
      <c r="A614">
        <f t="shared" si="525"/>
        <v>2000000</v>
      </c>
      <c r="B614">
        <f t="shared" si="508"/>
        <v>2000</v>
      </c>
      <c r="C614">
        <f t="shared" si="477"/>
        <v>16.61772483544372</v>
      </c>
      <c r="D614">
        <f t="shared" si="478"/>
        <v>1.5105832389667202</v>
      </c>
      <c r="F614">
        <f t="shared" si="479"/>
        <v>4.7416395938007938E-6</v>
      </c>
      <c r="G614">
        <f t="shared" si="480"/>
        <v>8.1947173623792881E-4</v>
      </c>
      <c r="H614">
        <f t="shared" si="481"/>
        <v>-3.1407731782637622</v>
      </c>
      <c r="J614">
        <f t="shared" si="482"/>
        <v>15</v>
      </c>
      <c r="M614">
        <f t="shared" si="483"/>
        <v>9.1154033948314067E-4</v>
      </c>
      <c r="N614">
        <f t="shared" si="484"/>
        <v>-1.5707963250000001</v>
      </c>
      <c r="O614">
        <f t="shared" si="485"/>
        <v>330.74838591862948</v>
      </c>
      <c r="P614">
        <f t="shared" si="486"/>
        <v>1.5677728758390685</v>
      </c>
      <c r="Q614">
        <f t="shared" si="487"/>
        <v>514.21685730532852</v>
      </c>
      <c r="R614">
        <f t="shared" si="488"/>
        <v>1.5688516207509249</v>
      </c>
      <c r="S614">
        <f t="shared" si="489"/>
        <v>6.0176709501598799E-2</v>
      </c>
      <c r="T614">
        <f t="shared" si="490"/>
        <v>-1.5105832389667202</v>
      </c>
      <c r="U614">
        <f t="shared" si="491"/>
        <v>9.7294740988423431E-2</v>
      </c>
      <c r="V614">
        <f t="shared" si="492"/>
        <v>-1.4733474252097425</v>
      </c>
      <c r="X614">
        <f t="shared" si="509"/>
        <v>-59.389417959049496</v>
      </c>
      <c r="Y614">
        <f t="shared" si="493"/>
        <v>-174.65429126816682</v>
      </c>
      <c r="Z614">
        <f t="shared" si="510"/>
        <v>5.3457087318331844</v>
      </c>
      <c r="AC614">
        <v>1</v>
      </c>
      <c r="AD614">
        <f t="shared" si="494"/>
        <v>330.74687419200001</v>
      </c>
      <c r="AE614">
        <f t="shared" si="495"/>
        <v>-0.62344316938323718</v>
      </c>
      <c r="AF614">
        <f t="shared" si="496"/>
        <v>6.0946897409999992E-2</v>
      </c>
      <c r="AG614">
        <f t="shared" si="473"/>
        <v>49.782763161051783</v>
      </c>
      <c r="AH614">
        <f t="shared" si="474"/>
        <v>-525.64978706405327</v>
      </c>
      <c r="AJ614">
        <f t="shared" si="497"/>
        <v>18000</v>
      </c>
      <c r="AK614">
        <f t="shared" si="498"/>
        <v>298576.96545600001</v>
      </c>
      <c r="AL614">
        <v>1</v>
      </c>
      <c r="AM614">
        <f t="shared" si="499"/>
        <v>514.21588495200001</v>
      </c>
      <c r="AN614">
        <f t="shared" si="475"/>
        <v>580.71103914477908</v>
      </c>
      <c r="AO614">
        <f t="shared" si="476"/>
        <v>-33.875439228177946</v>
      </c>
      <c r="AQ614">
        <f t="shared" si="500"/>
        <v>6.2499996093750242E-4</v>
      </c>
      <c r="AR614">
        <f t="shared" si="501"/>
        <v>-2.4999998437500097</v>
      </c>
      <c r="AT614">
        <f t="shared" si="523"/>
        <v>-1314.093271302328</v>
      </c>
      <c r="AU614">
        <f t="shared" si="524"/>
        <v>-124.78543122045504</v>
      </c>
      <c r="AV614">
        <f t="shared" si="511"/>
        <v>-3.0469172029656755</v>
      </c>
      <c r="AW614">
        <f t="shared" si="512"/>
        <v>549.48356818659101</v>
      </c>
      <c r="AX614">
        <f t="shared" si="513"/>
        <v>-2102.9787182241375</v>
      </c>
      <c r="AY614">
        <f t="shared" si="521"/>
        <v>-1.3152219958574507</v>
      </c>
      <c r="BA614">
        <f t="shared" si="502"/>
        <v>0.60729511381200707</v>
      </c>
      <c r="BB614">
        <f t="shared" si="514"/>
        <v>-4.332004262383891</v>
      </c>
      <c r="BC614">
        <f t="shared" si="515"/>
        <v>-1.7316952071082248</v>
      </c>
      <c r="BD614">
        <f t="shared" si="503"/>
        <v>-279.21882688370829</v>
      </c>
      <c r="BF614">
        <f t="shared" si="504"/>
        <v>-62.880176998571173</v>
      </c>
      <c r="BG614">
        <f t="shared" si="505"/>
        <v>-192.62183031684515</v>
      </c>
      <c r="BH614">
        <f t="shared" si="516"/>
        <v>-12.621830316845148</v>
      </c>
      <c r="BI614">
        <f t="shared" si="517"/>
        <v>-12.621830316845148</v>
      </c>
      <c r="BJ614">
        <f t="shared" si="506"/>
        <v>0</v>
      </c>
      <c r="BK614">
        <f t="shared" si="518"/>
        <v>0</v>
      </c>
      <c r="BM614">
        <f t="shared" si="519"/>
        <v>-58.548172736187283</v>
      </c>
      <c r="BN614">
        <f t="shared" si="507"/>
        <v>-93.40300343313686</v>
      </c>
      <c r="BQ614" s="56">
        <f t="shared" si="520"/>
        <v>12.569956537901243</v>
      </c>
    </row>
    <row r="615" spans="1:69" x14ac:dyDescent="0.25">
      <c r="A615">
        <f>A614+250000</f>
        <v>2250000</v>
      </c>
      <c r="B615">
        <f t="shared" si="508"/>
        <v>2250</v>
      </c>
      <c r="C615">
        <f t="shared" si="477"/>
        <v>18.68783489466993</v>
      </c>
      <c r="D615">
        <f t="shared" ref="D615:D626" si="526">ATAN(A615/Fesr)</f>
        <v>1.5172600099901654</v>
      </c>
      <c r="F615">
        <f t="shared" si="479"/>
        <v>3.7464771804480324E-6</v>
      </c>
      <c r="G615">
        <f t="shared" ref="G615:G626" si="527">-ATAN(A615*Fo/(Q*(Fo^2-A615^2)))</f>
        <v>7.2841862616480207E-4</v>
      </c>
      <c r="H615">
        <f t="shared" si="481"/>
        <v>-3.1408642313738353</v>
      </c>
      <c r="J615">
        <f t="shared" si="482"/>
        <v>15</v>
      </c>
      <c r="M615">
        <f t="shared" ref="M615:M626" si="528">1/(2*Pi*_Rfb1*(Cc1ea_u+Cc2ea_u)*A615)</f>
        <v>8.1025807954056967E-4</v>
      </c>
      <c r="N615">
        <f t="shared" si="484"/>
        <v>-1.5707963250000001</v>
      </c>
      <c r="O615">
        <f t="shared" ref="O615:O626" si="529">SQRT(1+(A615/Fz1_u)^2)</f>
        <v>372.09157722364853</v>
      </c>
      <c r="P615">
        <f t="shared" si="486"/>
        <v>1.5681088131154663</v>
      </c>
      <c r="Q615">
        <f t="shared" ref="Q615:Q626" si="530">SQRT(1+(A615/Fz2_u)^2)</f>
        <v>578.49373488524111</v>
      </c>
      <c r="R615">
        <f t="shared" si="488"/>
        <v>1.5690676987429015</v>
      </c>
      <c r="S615">
        <f t="shared" ref="S615:S626" si="531">1/SQRT(1+(A615/Fp1_u)^2)</f>
        <v>5.3510746731030692E-2</v>
      </c>
      <c r="T615">
        <f t="shared" si="490"/>
        <v>-1.5172600099901654</v>
      </c>
      <c r="U615">
        <f t="shared" si="491"/>
        <v>8.6570253577274825E-2</v>
      </c>
      <c r="V615">
        <f t="shared" si="492"/>
        <v>-1.4841175747634565</v>
      </c>
      <c r="X615">
        <f t="shared" ref="X615:X626" si="532">20*LOG(C615*J615*O615*Q615*F615*M615*S615*U615)</f>
        <v>-61.426901802233623</v>
      </c>
      <c r="Y615">
        <f t="shared" ref="Y615:Y626" si="533">(180/Pi)*(D615+H615+N615+P615+R615+T615+V615)</f>
        <v>-175.24496419680833</v>
      </c>
      <c r="Z615">
        <f t="shared" si="510"/>
        <v>4.7550358031916744</v>
      </c>
      <c r="AC615">
        <v>1</v>
      </c>
      <c r="AD615">
        <f t="shared" si="494"/>
        <v>372.09023346600003</v>
      </c>
      <c r="AE615">
        <f t="shared" si="495"/>
        <v>-0.78904526125065944</v>
      </c>
      <c r="AF615">
        <f t="shared" si="496"/>
        <v>6.8565259586249996E-2</v>
      </c>
      <c r="AG615">
        <f t="shared" si="473"/>
        <v>39.412832256080875</v>
      </c>
      <c r="AH615">
        <f t="shared" si="474"/>
        <v>-468.14536571177445</v>
      </c>
      <c r="AJ615">
        <f t="shared" si="497"/>
        <v>18000</v>
      </c>
      <c r="AK615">
        <f t="shared" si="498"/>
        <v>335899.08613800001</v>
      </c>
      <c r="AL615">
        <v>1</v>
      </c>
      <c r="AM615">
        <f t="shared" si="499"/>
        <v>578.49287057100003</v>
      </c>
      <c r="AN615">
        <f t="shared" si="475"/>
        <v>580.69721296972659</v>
      </c>
      <c r="AO615">
        <f t="shared" si="476"/>
        <v>-30.111525436496031</v>
      </c>
      <c r="AQ615">
        <f t="shared" si="500"/>
        <v>4.9382713610730193E-4</v>
      </c>
      <c r="AR615">
        <f t="shared" si="501"/>
        <v>-2.2222221124828585</v>
      </c>
      <c r="AT615">
        <f t="shared" si="523"/>
        <v>-1040.303520415001</v>
      </c>
      <c r="AU615">
        <f t="shared" si="524"/>
        <v>-87.815250240271936</v>
      </c>
      <c r="AV615">
        <f t="shared" si="511"/>
        <v>-3.0573791930192189</v>
      </c>
      <c r="AW615">
        <f t="shared" si="512"/>
        <v>556.10720800898662</v>
      </c>
      <c r="AX615">
        <f t="shared" si="513"/>
        <v>-1870.2419765098884</v>
      </c>
      <c r="AY615">
        <f t="shared" si="521"/>
        <v>-1.2817770357025517</v>
      </c>
      <c r="BA615">
        <f t="shared" si="502"/>
        <v>0.5350655664406152</v>
      </c>
      <c r="BB615">
        <f t="shared" si="514"/>
        <v>-5.4318599334585311</v>
      </c>
      <c r="BC615">
        <f t="shared" si="515"/>
        <v>-1.7756021573166672</v>
      </c>
      <c r="BD615">
        <f t="shared" si="503"/>
        <v>-281.73450982481768</v>
      </c>
      <c r="BF615">
        <f t="shared" si="504"/>
        <v>-65.006393148761305</v>
      </c>
      <c r="BG615">
        <f t="shared" si="505"/>
        <v>-194.76017941602348</v>
      </c>
      <c r="BH615">
        <f t="shared" si="516"/>
        <v>-14.760179416023476</v>
      </c>
      <c r="BI615">
        <f t="shared" si="517"/>
        <v>-14.760179416023476</v>
      </c>
      <c r="BJ615">
        <f t="shared" si="506"/>
        <v>0</v>
      </c>
      <c r="BK615">
        <f t="shared" si="518"/>
        <v>0</v>
      </c>
      <c r="BM615">
        <f t="shared" si="519"/>
        <v>-59.574533215302765</v>
      </c>
      <c r="BN615">
        <f t="shared" si="507"/>
        <v>-93.025669591205784</v>
      </c>
      <c r="BQ615" s="56">
        <f t="shared" si="520"/>
        <v>11.470100866826606</v>
      </c>
    </row>
    <row r="616" spans="1:69" x14ac:dyDescent="0.25">
      <c r="A616">
        <f t="shared" ref="A616:A626" si="534">A615+250000</f>
        <v>2500000</v>
      </c>
      <c r="B616">
        <f t="shared" si="508"/>
        <v>2500</v>
      </c>
      <c r="C616">
        <f t="shared" si="477"/>
        <v>20.758611869027806</v>
      </c>
      <c r="D616">
        <f t="shared" si="526"/>
        <v>1.5226048976093813</v>
      </c>
      <c r="F616">
        <f t="shared" si="479"/>
        <v>3.0346444962685609E-6</v>
      </c>
      <c r="G616">
        <f t="shared" si="527"/>
        <v>6.5557631617401888E-4</v>
      </c>
      <c r="H616">
        <f t="shared" si="481"/>
        <v>-3.1409370736838262</v>
      </c>
      <c r="J616">
        <f t="shared" si="482"/>
        <v>15</v>
      </c>
      <c r="M616">
        <f t="shared" si="528"/>
        <v>7.2923227158651262E-4</v>
      </c>
      <c r="N616">
        <f t="shared" si="484"/>
        <v>-1.5707963250000001</v>
      </c>
      <c r="O616">
        <f t="shared" si="529"/>
        <v>413.43480212229861</v>
      </c>
      <c r="P616">
        <f t="shared" si="486"/>
        <v>1.5683775633769725</v>
      </c>
      <c r="Q616">
        <f t="shared" si="530"/>
        <v>642.77063407292746</v>
      </c>
      <c r="R616">
        <f t="shared" si="488"/>
        <v>1.5692405612536728</v>
      </c>
      <c r="S616">
        <f t="shared" si="531"/>
        <v>4.8172777944368091E-2</v>
      </c>
      <c r="T616">
        <f t="shared" si="490"/>
        <v>-1.5226048976093813</v>
      </c>
      <c r="U616">
        <f t="shared" si="491"/>
        <v>7.7968759321648026E-2</v>
      </c>
      <c r="V616">
        <f t="shared" si="492"/>
        <v>-1.4927483535793189</v>
      </c>
      <c r="X616">
        <f t="shared" si="532"/>
        <v>-63.251027141886446</v>
      </c>
      <c r="Y616">
        <f t="shared" si="533"/>
        <v>-175.71834240631102</v>
      </c>
      <c r="Z616">
        <f t="shared" si="510"/>
        <v>4.2816575936889762</v>
      </c>
      <c r="AC616">
        <v>1</v>
      </c>
      <c r="AD616">
        <f t="shared" si="494"/>
        <v>413.43359273999999</v>
      </c>
      <c r="AE616">
        <f t="shared" si="495"/>
        <v>-0.97412995216130815</v>
      </c>
      <c r="AF616">
        <f t="shared" si="496"/>
        <v>7.6183621762500001E-2</v>
      </c>
      <c r="AG616">
        <f t="shared" ref="AG616:AG626" si="535">AC616*AE616/(AE616^2+AF616^2)+AD616*AF616/(AE616^2+AF616^2)</f>
        <v>31.969917297062437</v>
      </c>
      <c r="AH616">
        <f t="shared" ref="AH616:AH626" si="536">AD616*AE616/(AE616^2+AF616^2)-AC616*AF616/(AE616^2+AF616^2)</f>
        <v>-421.91291597284157</v>
      </c>
      <c r="AJ616">
        <f t="shared" si="497"/>
        <v>18000</v>
      </c>
      <c r="AK616">
        <f t="shared" si="498"/>
        <v>373221.20682000002</v>
      </c>
      <c r="AL616">
        <v>1</v>
      </c>
      <c r="AM616">
        <f t="shared" si="499"/>
        <v>642.76985618999993</v>
      </c>
      <c r="AN616">
        <f t="shared" ref="AN616:AN626" si="537">AJ616*AL616/(AL616^2+AM616^2)+AK616*AM616/(AL616^2+AM616^2)</f>
        <v>580.68732317457739</v>
      </c>
      <c r="AO616">
        <f t="shared" ref="AO616:AO626" si="538">AK616*AL616/(AL616^2+AM616^2)-AJ616*AM616/(AL616^2+AM616^2)</f>
        <v>-27.100388279061349</v>
      </c>
      <c r="AQ616">
        <f t="shared" si="500"/>
        <v>3.9999998400000063E-4</v>
      </c>
      <c r="AR616">
        <f t="shared" si="501"/>
        <v>-1.9999999200000032</v>
      </c>
      <c r="AT616">
        <f t="shared" si="523"/>
        <v>-843.81301022624382</v>
      </c>
      <c r="AU616">
        <f t="shared" si="524"/>
        <v>-64.108597196170123</v>
      </c>
      <c r="AV616">
        <f t="shared" si="511"/>
        <v>-3.0657634437948063</v>
      </c>
      <c r="AW616">
        <f t="shared" si="512"/>
        <v>560.8179940553099</v>
      </c>
      <c r="AX616">
        <f t="shared" si="513"/>
        <v>-1683.8170276018209</v>
      </c>
      <c r="AY616">
        <f t="shared" si="521"/>
        <v>-1.2492886412611732</v>
      </c>
      <c r="BA616">
        <f t="shared" si="502"/>
        <v>0.47682336648399748</v>
      </c>
      <c r="BB616">
        <f t="shared" si="514"/>
        <v>-6.4328494073693889</v>
      </c>
      <c r="BC616">
        <f t="shared" si="515"/>
        <v>-1.816474802533633</v>
      </c>
      <c r="BD616">
        <f t="shared" si="503"/>
        <v>-284.07633989596133</v>
      </c>
      <c r="BF616">
        <f t="shared" si="504"/>
        <v>-66.9249016200407</v>
      </c>
      <c r="BG616">
        <f t="shared" si="505"/>
        <v>-196.79994354120163</v>
      </c>
      <c r="BH616">
        <f t="shared" si="516"/>
        <v>-16.799943541201628</v>
      </c>
      <c r="BI616">
        <f t="shared" si="517"/>
        <v>-16.799943541201628</v>
      </c>
      <c r="BJ616">
        <f t="shared" si="506"/>
        <v>0</v>
      </c>
      <c r="BK616">
        <f t="shared" si="518"/>
        <v>0</v>
      </c>
      <c r="BM616">
        <f t="shared" si="519"/>
        <v>-60.492052212671311</v>
      </c>
      <c r="BN616">
        <f t="shared" si="507"/>
        <v>-92.723603645240289</v>
      </c>
      <c r="BQ616" s="56">
        <f t="shared" si="520"/>
        <v>10.46911139291575</v>
      </c>
    </row>
    <row r="617" spans="1:69" x14ac:dyDescent="0.25">
      <c r="A617">
        <f t="shared" si="534"/>
        <v>2750000</v>
      </c>
      <c r="B617">
        <f t="shared" si="508"/>
        <v>2750</v>
      </c>
      <c r="C617">
        <f t="shared" si="477"/>
        <v>22.829874282221091</v>
      </c>
      <c r="D617">
        <f t="shared" si="526"/>
        <v>1.5269800518133745</v>
      </c>
      <c r="F617">
        <f t="shared" si="479"/>
        <v>2.5079694229560133E-6</v>
      </c>
      <c r="G617">
        <f t="shared" si="527"/>
        <v>5.9597816833454806E-4</v>
      </c>
      <c r="H617">
        <f t="shared" si="481"/>
        <v>-3.1409966718316658</v>
      </c>
      <c r="J617">
        <f t="shared" si="482"/>
        <v>15</v>
      </c>
      <c r="M617">
        <f t="shared" si="528"/>
        <v>6.6293842871501148E-4</v>
      </c>
      <c r="N617">
        <f t="shared" si="484"/>
        <v>-1.5707963250000001</v>
      </c>
      <c r="O617">
        <f t="shared" si="529"/>
        <v>454.77805145273237</v>
      </c>
      <c r="P617">
        <f t="shared" si="486"/>
        <v>1.5685974502162026</v>
      </c>
      <c r="Q617">
        <f t="shared" si="530"/>
        <v>707.04754897537191</v>
      </c>
      <c r="R617">
        <f t="shared" si="488"/>
        <v>1.5693819942866536</v>
      </c>
      <c r="S617">
        <f t="shared" si="531"/>
        <v>4.3802256098219368E-2</v>
      </c>
      <c r="T617">
        <f t="shared" si="490"/>
        <v>-1.5269800518133745</v>
      </c>
      <c r="U617">
        <f t="shared" si="491"/>
        <v>7.0918111425540997E-2</v>
      </c>
      <c r="V617">
        <f t="shared" si="492"/>
        <v>-1.499818634755411</v>
      </c>
      <c r="X617">
        <f t="shared" si="532"/>
        <v>-64.902160594551461</v>
      </c>
      <c r="Y617">
        <f t="shared" si="533"/>
        <v>-176.10615229672109</v>
      </c>
      <c r="Z617">
        <f t="shared" si="510"/>
        <v>3.8938477032789081</v>
      </c>
      <c r="AC617">
        <v>1</v>
      </c>
      <c r="AD617">
        <f t="shared" si="494"/>
        <v>454.77695201400002</v>
      </c>
      <c r="AE617">
        <f t="shared" si="495"/>
        <v>-1.1786972421151831</v>
      </c>
      <c r="AF617">
        <f t="shared" si="496"/>
        <v>8.3801983938749991E-2</v>
      </c>
      <c r="AG617">
        <f t="shared" si="535"/>
        <v>26.449324750693091</v>
      </c>
      <c r="AH617">
        <f t="shared" si="536"/>
        <v>-383.94969459157107</v>
      </c>
      <c r="AJ617">
        <f t="shared" si="497"/>
        <v>18000</v>
      </c>
      <c r="AK617">
        <f t="shared" si="498"/>
        <v>410543.32750200003</v>
      </c>
      <c r="AL617">
        <v>1</v>
      </c>
      <c r="AM617">
        <f t="shared" si="499"/>
        <v>707.04684180899994</v>
      </c>
      <c r="AN617">
        <f t="shared" si="537"/>
        <v>580.68000583740161</v>
      </c>
      <c r="AO617">
        <f t="shared" si="538"/>
        <v>-24.636726966483241</v>
      </c>
      <c r="AQ617">
        <f t="shared" si="500"/>
        <v>3.3057850146847931E-4</v>
      </c>
      <c r="AR617">
        <f t="shared" si="501"/>
        <v>-1.8181817580766362</v>
      </c>
      <c r="AT617">
        <f t="shared" si="523"/>
        <v>-698.0815871473493</v>
      </c>
      <c r="AU617">
        <f t="shared" si="524"/>
        <v>-48.216605289832408</v>
      </c>
      <c r="AV617">
        <f t="shared" si="511"/>
        <v>-3.0726320199491868</v>
      </c>
      <c r="AW617">
        <f t="shared" si="512"/>
        <v>564.2888489276711</v>
      </c>
      <c r="AX617">
        <f t="shared" si="513"/>
        <v>-1531.1468600642092</v>
      </c>
      <c r="AY617">
        <f t="shared" si="521"/>
        <v>-1.2177012198583341</v>
      </c>
      <c r="BA617">
        <f t="shared" si="502"/>
        <v>0.42881278731987854</v>
      </c>
      <c r="BB617">
        <f t="shared" si="514"/>
        <v>-7.3546454467321345</v>
      </c>
      <c r="BC617">
        <f t="shared" si="515"/>
        <v>-1.8549308000908526</v>
      </c>
      <c r="BD617">
        <f t="shared" si="503"/>
        <v>-286.27970625547317</v>
      </c>
      <c r="BF617">
        <f t="shared" si="504"/>
        <v>-68.676305120599153</v>
      </c>
      <c r="BG617">
        <f t="shared" si="505"/>
        <v>-198.75604675216115</v>
      </c>
      <c r="BH617">
        <f t="shared" si="516"/>
        <v>-18.756046752161154</v>
      </c>
      <c r="BI617">
        <f t="shared" si="517"/>
        <v>-18.756046752161154</v>
      </c>
      <c r="BJ617">
        <f t="shared" si="506"/>
        <v>0</v>
      </c>
      <c r="BK617">
        <f t="shared" si="518"/>
        <v>0</v>
      </c>
      <c r="BM617">
        <f t="shared" si="519"/>
        <v>-61.321659673867011</v>
      </c>
      <c r="BN617">
        <f t="shared" si="507"/>
        <v>-92.47634049668801</v>
      </c>
      <c r="BQ617" s="56">
        <f t="shared" si="520"/>
        <v>9.5473153535530013</v>
      </c>
    </row>
    <row r="618" spans="1:69" x14ac:dyDescent="0.25">
      <c r="A618">
        <f t="shared" si="534"/>
        <v>3000000</v>
      </c>
      <c r="B618">
        <f t="shared" si="508"/>
        <v>3000</v>
      </c>
      <c r="C618">
        <f t="shared" si="477"/>
        <v>24.901501000736417</v>
      </c>
      <c r="D618">
        <f t="shared" si="526"/>
        <v>1.5306273034225049</v>
      </c>
      <c r="F618">
        <f t="shared" si="479"/>
        <v>2.1073901840931367E-6</v>
      </c>
      <c r="G618">
        <f t="shared" si="527"/>
        <v>5.4631311117582873E-4</v>
      </c>
      <c r="H618">
        <f t="shared" si="481"/>
        <v>-3.1410463368888242</v>
      </c>
      <c r="J618">
        <f t="shared" si="482"/>
        <v>15</v>
      </c>
      <c r="M618">
        <f t="shared" si="528"/>
        <v>6.0769355965542722E-4</v>
      </c>
      <c r="N618">
        <f t="shared" si="484"/>
        <v>-1.5707963250000001</v>
      </c>
      <c r="O618">
        <f t="shared" si="529"/>
        <v>496.1213191070326</v>
      </c>
      <c r="P618">
        <f t="shared" si="486"/>
        <v>1.5687806894122247</v>
      </c>
      <c r="Q618">
        <f t="shared" si="530"/>
        <v>771.32447566389283</v>
      </c>
      <c r="R618">
        <f t="shared" si="488"/>
        <v>1.5694998551909336</v>
      </c>
      <c r="S618">
        <f t="shared" si="531"/>
        <v>4.0158221786326345E-2</v>
      </c>
      <c r="T618">
        <f t="shared" si="490"/>
        <v>-1.5306273034225049</v>
      </c>
      <c r="U618">
        <f t="shared" si="491"/>
        <v>6.5034395233803569E-2</v>
      </c>
      <c r="V618">
        <f t="shared" si="492"/>
        <v>-1.5057160005567956</v>
      </c>
      <c r="X618">
        <f t="shared" si="532"/>
        <v>-66.410220920226649</v>
      </c>
      <c r="Y618">
        <f t="shared" si="533"/>
        <v>-176.42964030096104</v>
      </c>
      <c r="Z618">
        <f t="shared" si="510"/>
        <v>3.5703596990389599</v>
      </c>
      <c r="AC618">
        <v>1</v>
      </c>
      <c r="AD618">
        <f t="shared" si="494"/>
        <v>496.12031128799998</v>
      </c>
      <c r="AE618">
        <f t="shared" si="495"/>
        <v>-1.4027471311122837</v>
      </c>
      <c r="AF618">
        <f t="shared" si="496"/>
        <v>9.1420346114999995E-2</v>
      </c>
      <c r="AG618">
        <f t="shared" si="535"/>
        <v>22.242647422090371</v>
      </c>
      <c r="AH618">
        <f t="shared" si="536"/>
        <v>-352.22804581348964</v>
      </c>
      <c r="AJ618">
        <f t="shared" si="497"/>
        <v>18000</v>
      </c>
      <c r="AK618">
        <f t="shared" si="498"/>
        <v>447865.44818400004</v>
      </c>
      <c r="AL618">
        <v>1</v>
      </c>
      <c r="AM618">
        <f t="shared" si="499"/>
        <v>771.32382742799996</v>
      </c>
      <c r="AN618">
        <f t="shared" si="537"/>
        <v>580.67444039826444</v>
      </c>
      <c r="AO618">
        <f t="shared" si="538"/>
        <v>-22.583673601380813</v>
      </c>
      <c r="AQ618">
        <f t="shared" si="500"/>
        <v>2.7777777006172862E-4</v>
      </c>
      <c r="AR618">
        <f t="shared" si="501"/>
        <v>-1.6666666203703717</v>
      </c>
      <c r="AT618">
        <f t="shared" si="523"/>
        <v>-587.04054820262809</v>
      </c>
      <c r="AU618">
        <f t="shared" si="524"/>
        <v>-37.168919128184392</v>
      </c>
      <c r="AV618">
        <f t="shared" si="511"/>
        <v>-3.0783612980692405</v>
      </c>
      <c r="AW618">
        <f t="shared" si="512"/>
        <v>566.92038093887993</v>
      </c>
      <c r="AX618">
        <f t="shared" si="513"/>
        <v>-1403.8335761300311</v>
      </c>
      <c r="AY618">
        <f t="shared" si="521"/>
        <v>-1.1869863036757744</v>
      </c>
      <c r="BA618">
        <f t="shared" si="502"/>
        <v>0.38852198994835491</v>
      </c>
      <c r="BB618">
        <f t="shared" si="514"/>
        <v>-8.2116879108541614</v>
      </c>
      <c r="BC618">
        <f t="shared" si="515"/>
        <v>-1.8913749943934661</v>
      </c>
      <c r="BD618">
        <f t="shared" si="503"/>
        <v>-288.36780477915363</v>
      </c>
      <c r="BF618">
        <f t="shared" si="504"/>
        <v>-70.290453151329629</v>
      </c>
      <c r="BG618">
        <f t="shared" si="505"/>
        <v>-200.63801874974507</v>
      </c>
      <c r="BH618">
        <f t="shared" si="516"/>
        <v>-20.638018749745072</v>
      </c>
      <c r="BI618">
        <f t="shared" si="517"/>
        <v>-20.638018749745072</v>
      </c>
      <c r="BJ618">
        <f t="shared" si="506"/>
        <v>0</v>
      </c>
      <c r="BK618">
        <f t="shared" si="518"/>
        <v>0</v>
      </c>
      <c r="BM618">
        <f t="shared" si="519"/>
        <v>-62.078765240475477</v>
      </c>
      <c r="BN618">
        <f t="shared" si="507"/>
        <v>-92.270213970591456</v>
      </c>
      <c r="BQ618" s="56">
        <f t="shared" si="520"/>
        <v>8.6902728894309771</v>
      </c>
    </row>
    <row r="619" spans="1:69" x14ac:dyDescent="0.25">
      <c r="A619">
        <f t="shared" si="534"/>
        <v>3250000</v>
      </c>
      <c r="B619">
        <f t="shared" si="508"/>
        <v>3250</v>
      </c>
      <c r="C619">
        <f t="shared" si="477"/>
        <v>26.973408085963335</v>
      </c>
      <c r="D619">
        <f t="shared" si="526"/>
        <v>1.5337142786792346</v>
      </c>
      <c r="F619">
        <f t="shared" si="479"/>
        <v>1.7956455505847747E-6</v>
      </c>
      <c r="G619">
        <f t="shared" si="527"/>
        <v>5.0428887498843856E-4</v>
      </c>
      <c r="H619">
        <f t="shared" si="481"/>
        <v>-3.1410883611250116</v>
      </c>
      <c r="J619">
        <f t="shared" si="482"/>
        <v>15</v>
      </c>
      <c r="M619">
        <f t="shared" si="528"/>
        <v>5.6094790122039433E-4</v>
      </c>
      <c r="N619">
        <f t="shared" si="484"/>
        <v>-1.5707963250000001</v>
      </c>
      <c r="O619">
        <f t="shared" si="529"/>
        <v>537.46460085663148</v>
      </c>
      <c r="P619">
        <f t="shared" si="486"/>
        <v>1.5689357380689202</v>
      </c>
      <c r="Q619">
        <f t="shared" si="530"/>
        <v>835.60141141863051</v>
      </c>
      <c r="R619">
        <f t="shared" si="488"/>
        <v>1.5695995836766661</v>
      </c>
      <c r="S619">
        <f t="shared" si="531"/>
        <v>3.7073550246710919E-2</v>
      </c>
      <c r="T619">
        <f t="shared" si="490"/>
        <v>-1.5337142786792346</v>
      </c>
      <c r="U619">
        <f t="shared" si="491"/>
        <v>6.0050538044385537E-2</v>
      </c>
      <c r="V619">
        <f t="shared" si="492"/>
        <v>-1.5107096390133383</v>
      </c>
      <c r="X619">
        <f t="shared" si="532"/>
        <v>-67.797993328251636</v>
      </c>
      <c r="Y619">
        <f t="shared" si="533"/>
        <v>-176.70356486564148</v>
      </c>
      <c r="Z619">
        <f t="shared" si="510"/>
        <v>3.2964351343585179</v>
      </c>
      <c r="AC619">
        <v>1</v>
      </c>
      <c r="AD619">
        <f t="shared" si="494"/>
        <v>537.46367056199995</v>
      </c>
      <c r="AE619">
        <f t="shared" si="495"/>
        <v>-1.6462796191526106</v>
      </c>
      <c r="AF619">
        <f t="shared" si="496"/>
        <v>9.9038708291249999E-2</v>
      </c>
      <c r="AG619">
        <f t="shared" si="535"/>
        <v>18.964180122893225</v>
      </c>
      <c r="AH619">
        <f t="shared" si="536"/>
        <v>-325.33081040905307</v>
      </c>
      <c r="AJ619">
        <f t="shared" si="497"/>
        <v>18000</v>
      </c>
      <c r="AK619">
        <f t="shared" si="498"/>
        <v>485187.56886600005</v>
      </c>
      <c r="AL619">
        <v>1</v>
      </c>
      <c r="AM619">
        <f t="shared" si="499"/>
        <v>835.60081304699997</v>
      </c>
      <c r="AN619">
        <f t="shared" si="537"/>
        <v>580.67010917548214</v>
      </c>
      <c r="AO619">
        <f t="shared" si="538"/>
        <v>-20.846473123099667</v>
      </c>
      <c r="AQ619">
        <f t="shared" si="500"/>
        <v>2.3668638493049978E-4</v>
      </c>
      <c r="AR619">
        <f t="shared" si="501"/>
        <v>-1.5384615020482484</v>
      </c>
      <c r="AT619">
        <f t="shared" si="523"/>
        <v>-500.50443868124927</v>
      </c>
      <c r="AU619">
        <f t="shared" si="524"/>
        <v>-29.252662410402074</v>
      </c>
      <c r="AV619">
        <f t="shared" si="511"/>
        <v>-3.0832127083815788</v>
      </c>
      <c r="AW619">
        <f t="shared" si="512"/>
        <v>568.96333451178816</v>
      </c>
      <c r="AX619">
        <f t="shared" si="513"/>
        <v>-1296.0494660984327</v>
      </c>
      <c r="AY619">
        <f t="shared" si="521"/>
        <v>-1.1571291029240904</v>
      </c>
      <c r="BA619">
        <f t="shared" si="502"/>
        <v>0.35420747535779334</v>
      </c>
      <c r="BB619">
        <f t="shared" si="514"/>
        <v>-9.0148455499667772</v>
      </c>
      <c r="BC619">
        <f t="shared" si="515"/>
        <v>-1.9260836054574884</v>
      </c>
      <c r="BD619">
        <f t="shared" si="503"/>
        <v>-290.35646170815551</v>
      </c>
      <c r="BF619">
        <f t="shared" si="504"/>
        <v>-71.789891635139909</v>
      </c>
      <c r="BG619">
        <f t="shared" si="505"/>
        <v>-202.4522128362465</v>
      </c>
      <c r="BH619">
        <f t="shared" si="516"/>
        <v>-22.452212836246503</v>
      </c>
      <c r="BI619">
        <f t="shared" si="517"/>
        <v>-22.452212836246503</v>
      </c>
      <c r="BJ619">
        <f t="shared" si="506"/>
        <v>0</v>
      </c>
      <c r="BK619">
        <f t="shared" si="518"/>
        <v>0</v>
      </c>
      <c r="BM619">
        <f t="shared" si="519"/>
        <v>-62.77504608517313</v>
      </c>
      <c r="BN619">
        <f t="shared" si="507"/>
        <v>-92.095751128090981</v>
      </c>
      <c r="BQ619" s="56">
        <f t="shared" si="520"/>
        <v>7.8871152503183604</v>
      </c>
    </row>
    <row r="620" spans="1:69" x14ac:dyDescent="0.25">
      <c r="A620">
        <f t="shared" si="534"/>
        <v>3500000</v>
      </c>
      <c r="B620">
        <f t="shared" si="508"/>
        <v>3500</v>
      </c>
      <c r="C620">
        <f t="shared" si="477"/>
        <v>29.045535539712926</v>
      </c>
      <c r="D620">
        <f t="shared" si="526"/>
        <v>1.5363608225856866</v>
      </c>
      <c r="F620">
        <f t="shared" si="479"/>
        <v>1.5482858564188502E-6</v>
      </c>
      <c r="G620">
        <f t="shared" si="527"/>
        <v>4.6826813001696197E-4</v>
      </c>
      <c r="H620">
        <f t="shared" si="481"/>
        <v>-3.1411243818699832</v>
      </c>
      <c r="J620">
        <f t="shared" si="482"/>
        <v>15</v>
      </c>
      <c r="M620">
        <f t="shared" si="528"/>
        <v>5.2088019399036613E-4</v>
      </c>
      <c r="N620">
        <f t="shared" si="484"/>
        <v>-1.5707963250000001</v>
      </c>
      <c r="O620">
        <f t="shared" si="529"/>
        <v>578.80789368111789</v>
      </c>
      <c r="P620">
        <f t="shared" si="486"/>
        <v>1.5690686369889997</v>
      </c>
      <c r="Q620">
        <f t="shared" si="530"/>
        <v>899.87835429682718</v>
      </c>
      <c r="R620">
        <f t="shared" si="488"/>
        <v>1.5696850652548873</v>
      </c>
      <c r="S620">
        <f t="shared" si="531"/>
        <v>3.4428698986552889E-2</v>
      </c>
      <c r="T620">
        <f t="shared" si="490"/>
        <v>-1.5363608225856866</v>
      </c>
      <c r="U620">
        <f t="shared" si="491"/>
        <v>5.5775068867496023E-2</v>
      </c>
      <c r="V620">
        <f t="shared" si="492"/>
        <v>-1.5149922993142391</v>
      </c>
      <c r="X620">
        <f t="shared" si="532"/>
        <v>-69.083227688169927</v>
      </c>
      <c r="Y620">
        <f t="shared" si="533"/>
        <v>-176.93849478202091</v>
      </c>
      <c r="Z620">
        <f t="shared" si="510"/>
        <v>3.0615052179790894</v>
      </c>
      <c r="AC620">
        <v>1</v>
      </c>
      <c r="AD620">
        <f t="shared" si="494"/>
        <v>578.80702983599997</v>
      </c>
      <c r="AE620">
        <f t="shared" si="495"/>
        <v>-1.9092947062361636</v>
      </c>
      <c r="AF620">
        <f t="shared" si="496"/>
        <v>0.10665707046749999</v>
      </c>
      <c r="AG620">
        <f t="shared" si="535"/>
        <v>16.359894400282418</v>
      </c>
      <c r="AH620">
        <f t="shared" si="536"/>
        <v>-302.23837605650931</v>
      </c>
      <c r="AJ620">
        <f t="shared" si="497"/>
        <v>18000</v>
      </c>
      <c r="AK620">
        <f t="shared" si="498"/>
        <v>522509.68954800005</v>
      </c>
      <c r="AL620">
        <v>1</v>
      </c>
      <c r="AM620">
        <f t="shared" si="499"/>
        <v>899.87779866599988</v>
      </c>
      <c r="AN620">
        <f t="shared" si="537"/>
        <v>580.66667248126043</v>
      </c>
      <c r="AO620">
        <f t="shared" si="538"/>
        <v>-19.357443147660241</v>
      </c>
      <c r="AQ620">
        <f t="shared" si="500"/>
        <v>2.0408162848813003E-4</v>
      </c>
      <c r="AR620">
        <f t="shared" si="501"/>
        <v>-1.4285713994169102</v>
      </c>
      <c r="AT620">
        <f t="shared" si="523"/>
        <v>-431.7657610866508</v>
      </c>
      <c r="AU620">
        <f t="shared" si="524"/>
        <v>-23.432958537701548</v>
      </c>
      <c r="AV620">
        <f t="shared" si="511"/>
        <v>-3.087373458773147</v>
      </c>
      <c r="AW620">
        <f t="shared" si="512"/>
        <v>570.58123744248871</v>
      </c>
      <c r="AX620">
        <f t="shared" si="513"/>
        <v>-1203.6243124609846</v>
      </c>
      <c r="AY620">
        <f t="shared" si="521"/>
        <v>-1.1281212656877369</v>
      </c>
      <c r="BA620">
        <f t="shared" si="502"/>
        <v>0.32462089282569462</v>
      </c>
      <c r="BB620">
        <f t="shared" si="514"/>
        <v>-9.7724706423268888</v>
      </c>
      <c r="BC620">
        <f t="shared" si="515"/>
        <v>-1.9592521930854101</v>
      </c>
      <c r="BD620">
        <f t="shared" si="503"/>
        <v>-292.25688179381683</v>
      </c>
      <c r="BF620">
        <f t="shared" si="504"/>
        <v>-73.192034763008564</v>
      </c>
      <c r="BG620">
        <f t="shared" si="505"/>
        <v>-204.2030609622629</v>
      </c>
      <c r="BH620">
        <f t="shared" si="516"/>
        <v>-24.203060962262896</v>
      </c>
      <c r="BI620">
        <f t="shared" si="517"/>
        <v>-24.203060962262896</v>
      </c>
      <c r="BJ620">
        <f t="shared" si="506"/>
        <v>0</v>
      </c>
      <c r="BK620">
        <f t="shared" si="518"/>
        <v>0</v>
      </c>
      <c r="BM620">
        <f t="shared" si="519"/>
        <v>-63.419564120681677</v>
      </c>
      <c r="BN620">
        <f t="shared" si="507"/>
        <v>-91.946179168446093</v>
      </c>
      <c r="BQ620" s="56">
        <f t="shared" si="520"/>
        <v>7.1294901579582479</v>
      </c>
    </row>
    <row r="621" spans="1:69" x14ac:dyDescent="0.25">
      <c r="A621">
        <f t="shared" si="534"/>
        <v>3750000</v>
      </c>
      <c r="B621">
        <f t="shared" si="508"/>
        <v>3750</v>
      </c>
      <c r="C621">
        <f t="shared" si="477"/>
        <v>31.117839339197698</v>
      </c>
      <c r="D621">
        <f t="shared" si="526"/>
        <v>1.5386548857212563</v>
      </c>
      <c r="F621">
        <f t="shared" si="479"/>
        <v>1.3487287610302905E-6</v>
      </c>
      <c r="G621">
        <f t="shared" si="527"/>
        <v>4.3705017107041058E-4</v>
      </c>
      <c r="H621">
        <f t="shared" si="481"/>
        <v>-3.14115559982893</v>
      </c>
      <c r="J621">
        <f t="shared" si="482"/>
        <v>15</v>
      </c>
      <c r="M621">
        <f t="shared" si="528"/>
        <v>4.8615484772434171E-4</v>
      </c>
      <c r="N621">
        <f t="shared" si="484"/>
        <v>-1.5707963250000001</v>
      </c>
      <c r="O621">
        <f t="shared" si="529"/>
        <v>620.15119536552095</v>
      </c>
      <c r="P621">
        <f t="shared" si="486"/>
        <v>1.5691838161026035</v>
      </c>
      <c r="Q621">
        <f t="shared" si="530"/>
        <v>964.15530287379261</v>
      </c>
      <c r="R621">
        <f t="shared" si="488"/>
        <v>1.5697591493025269</v>
      </c>
      <c r="S621">
        <f t="shared" si="531"/>
        <v>3.2135907287764248E-2</v>
      </c>
      <c r="T621">
        <f t="shared" si="490"/>
        <v>-1.5386548857212563</v>
      </c>
      <c r="U621">
        <f t="shared" si="491"/>
        <v>5.2067170287500179E-2</v>
      </c>
      <c r="V621">
        <f t="shared" si="492"/>
        <v>-1.5187056021627943</v>
      </c>
      <c r="X621">
        <f t="shared" si="532"/>
        <v>-70.280018931185126</v>
      </c>
      <c r="Y621">
        <f t="shared" si="533"/>
        <v>-177.1421960404659</v>
      </c>
      <c r="Z621">
        <f t="shared" si="510"/>
        <v>2.8578039595340954</v>
      </c>
      <c r="AC621">
        <v>1</v>
      </c>
      <c r="AD621">
        <f t="shared" si="494"/>
        <v>620.15038910999999</v>
      </c>
      <c r="AE621">
        <f t="shared" si="495"/>
        <v>-2.1917923923629425</v>
      </c>
      <c r="AF621">
        <f t="shared" si="496"/>
        <v>0.11427543264374999</v>
      </c>
      <c r="AG621">
        <f t="shared" si="535"/>
        <v>14.257002206017987</v>
      </c>
      <c r="AH621">
        <f t="shared" si="536"/>
        <v>-282.19879134988912</v>
      </c>
      <c r="AJ621">
        <f t="shared" si="497"/>
        <v>18000</v>
      </c>
      <c r="AK621">
        <f t="shared" si="498"/>
        <v>559831.81023000006</v>
      </c>
      <c r="AL621">
        <v>1</v>
      </c>
      <c r="AM621">
        <f t="shared" si="499"/>
        <v>964.15478428500001</v>
      </c>
      <c r="AN621">
        <f t="shared" si="537"/>
        <v>580.66389993074415</v>
      </c>
      <c r="AO621">
        <f t="shared" si="538"/>
        <v>-18.066949813444243</v>
      </c>
      <c r="AQ621">
        <f t="shared" si="500"/>
        <v>1.77777774617284E-4</v>
      </c>
      <c r="AR621">
        <f t="shared" si="501"/>
        <v>-1.33333330962963</v>
      </c>
      <c r="AT621">
        <f t="shared" si="523"/>
        <v>-376.26251386590417</v>
      </c>
      <c r="AU621">
        <f t="shared" si="524"/>
        <v>-19.059504609872768</v>
      </c>
      <c r="AV621">
        <f t="shared" si="511"/>
        <v>-3.0909811063174404</v>
      </c>
      <c r="AW621">
        <f t="shared" si="512"/>
        <v>571.88446507028414</v>
      </c>
      <c r="AX621">
        <f t="shared" si="513"/>
        <v>-1123.4955971621946</v>
      </c>
      <c r="AY621">
        <f t="shared" si="521"/>
        <v>-1.0999568491576568</v>
      </c>
      <c r="BA621">
        <f t="shared" si="502"/>
        <v>0.29884450198886697</v>
      </c>
      <c r="BB621">
        <f t="shared" si="514"/>
        <v>-10.491094594354751</v>
      </c>
      <c r="BC621">
        <f t="shared" si="515"/>
        <v>-1.9910242571597836</v>
      </c>
      <c r="BD621">
        <f t="shared" si="503"/>
        <v>-294.0772869737778</v>
      </c>
      <c r="BF621">
        <f t="shared" si="504"/>
        <v>-74.510588354191256</v>
      </c>
      <c r="BG621">
        <f t="shared" si="505"/>
        <v>-205.89381466376369</v>
      </c>
      <c r="BH621">
        <f t="shared" si="516"/>
        <v>-25.893814663763692</v>
      </c>
      <c r="BI621">
        <f t="shared" si="517"/>
        <v>-25.893814663763692</v>
      </c>
      <c r="BJ621">
        <f t="shared" si="506"/>
        <v>0</v>
      </c>
      <c r="BK621">
        <f t="shared" si="518"/>
        <v>0</v>
      </c>
      <c r="BM621">
        <f t="shared" si="519"/>
        <v>-64.019493759836507</v>
      </c>
      <c r="BN621">
        <f t="shared" si="507"/>
        <v>-91.816527689985918</v>
      </c>
      <c r="BQ621" s="56">
        <f t="shared" si="520"/>
        <v>6.4108662059303869</v>
      </c>
    </row>
    <row r="622" spans="1:69" x14ac:dyDescent="0.25">
      <c r="A622">
        <f t="shared" si="534"/>
        <v>4000000</v>
      </c>
      <c r="B622">
        <f t="shared" si="508"/>
        <v>4000</v>
      </c>
      <c r="C622">
        <f t="shared" si="477"/>
        <v>33.190286452908055</v>
      </c>
      <c r="D622">
        <f t="shared" si="526"/>
        <v>1.5406624694383642</v>
      </c>
      <c r="F622">
        <f t="shared" si="479"/>
        <v>1.1854059565912878E-6</v>
      </c>
      <c r="G622">
        <f t="shared" si="527"/>
        <v>4.0973447122506231E-4</v>
      </c>
      <c r="H622">
        <f t="shared" si="481"/>
        <v>-3.1411829155287752</v>
      </c>
      <c r="J622">
        <f t="shared" si="482"/>
        <v>15</v>
      </c>
      <c r="M622">
        <f t="shared" si="528"/>
        <v>4.5577016974157034E-4</v>
      </c>
      <c r="N622">
        <f t="shared" si="484"/>
        <v>-1.5707963250000001</v>
      </c>
      <c r="O622">
        <f t="shared" si="529"/>
        <v>661.49450424861027</v>
      </c>
      <c r="P622">
        <f t="shared" si="486"/>
        <v>1.5692845978622074</v>
      </c>
      <c r="Q622">
        <f t="shared" si="530"/>
        <v>1028.432256081009</v>
      </c>
      <c r="R622">
        <f t="shared" si="488"/>
        <v>1.5698239728535788</v>
      </c>
      <c r="S622">
        <f t="shared" si="531"/>
        <v>3.0129297058609224E-2</v>
      </c>
      <c r="T622">
        <f t="shared" si="490"/>
        <v>-1.5406624694383639</v>
      </c>
      <c r="U622">
        <f t="shared" si="491"/>
        <v>4.8820986375987599E-2</v>
      </c>
      <c r="V622">
        <f t="shared" si="492"/>
        <v>-1.5219559255429009</v>
      </c>
      <c r="X622">
        <f t="shared" si="532"/>
        <v>-71.39974518162208</v>
      </c>
      <c r="Y622">
        <f t="shared" si="533"/>
        <v>-177.32050244135252</v>
      </c>
      <c r="Z622">
        <f t="shared" si="510"/>
        <v>2.6794975586474834</v>
      </c>
      <c r="AC622">
        <v>1</v>
      </c>
      <c r="AD622">
        <f t="shared" si="494"/>
        <v>661.49374838400001</v>
      </c>
      <c r="AE622">
        <f t="shared" si="495"/>
        <v>-2.4937726775329487</v>
      </c>
      <c r="AF622">
        <f t="shared" si="496"/>
        <v>0.12189379481999998</v>
      </c>
      <c r="AG622">
        <f t="shared" si="535"/>
        <v>12.534683280750222</v>
      </c>
      <c r="AH622">
        <f t="shared" si="536"/>
        <v>-264.64555258698914</v>
      </c>
      <c r="AJ622">
        <f t="shared" si="497"/>
        <v>18000</v>
      </c>
      <c r="AK622">
        <f t="shared" si="498"/>
        <v>597153.93091200001</v>
      </c>
      <c r="AL622">
        <v>1</v>
      </c>
      <c r="AM622">
        <f t="shared" si="499"/>
        <v>1028.431769904</v>
      </c>
      <c r="AN622">
        <f t="shared" si="537"/>
        <v>580.66163080065087</v>
      </c>
      <c r="AO622">
        <f t="shared" si="538"/>
        <v>-16.937767656502263</v>
      </c>
      <c r="AQ622">
        <f t="shared" si="500"/>
        <v>1.562499975585938E-4</v>
      </c>
      <c r="AR622">
        <f t="shared" si="501"/>
        <v>-1.2499999804687503</v>
      </c>
      <c r="AT622">
        <f t="shared" si="523"/>
        <v>-330.80497702064605</v>
      </c>
      <c r="AU622">
        <f t="shared" si="524"/>
        <v>-15.709704723065359</v>
      </c>
      <c r="AV622">
        <f t="shared" si="511"/>
        <v>-3.0941389812711377</v>
      </c>
      <c r="AW622">
        <f t="shared" si="512"/>
        <v>572.94972144523376</v>
      </c>
      <c r="AX622">
        <f t="shared" si="513"/>
        <v>-1053.3638174794223</v>
      </c>
      <c r="AY622">
        <f t="shared" si="521"/>
        <v>-1.0726300586587254</v>
      </c>
      <c r="BA622">
        <f t="shared" si="502"/>
        <v>0.27618806479345742</v>
      </c>
      <c r="BB622">
        <f t="shared" si="514"/>
        <v>-11.175901859560346</v>
      </c>
      <c r="BC622">
        <f t="shared" si="515"/>
        <v>-2.0215089226124121</v>
      </c>
      <c r="BD622">
        <f t="shared" si="503"/>
        <v>-295.82392964607749</v>
      </c>
      <c r="BF622">
        <f t="shared" si="504"/>
        <v>-75.756514561071512</v>
      </c>
      <c r="BG622">
        <f t="shared" si="505"/>
        <v>-207.52699633623988</v>
      </c>
      <c r="BH622">
        <f t="shared" si="516"/>
        <v>-27.526996336239876</v>
      </c>
      <c r="BI622">
        <f t="shared" si="517"/>
        <v>-27.526996336239876</v>
      </c>
      <c r="BJ622">
        <f t="shared" si="506"/>
        <v>0</v>
      </c>
      <c r="BK622">
        <f t="shared" si="518"/>
        <v>0</v>
      </c>
      <c r="BM622">
        <f t="shared" si="519"/>
        <v>-64.580612701511171</v>
      </c>
      <c r="BN622">
        <f t="shared" si="507"/>
        <v>-91.703066690162387</v>
      </c>
      <c r="BQ622" s="56">
        <f t="shared" si="520"/>
        <v>5.7260589407247906</v>
      </c>
    </row>
    <row r="623" spans="1:69" x14ac:dyDescent="0.25">
      <c r="A623">
        <f>A622+250000</f>
        <v>4250000</v>
      </c>
      <c r="B623">
        <f t="shared" si="508"/>
        <v>4250</v>
      </c>
      <c r="C623">
        <f t="shared" si="477"/>
        <v>35.262851612520542</v>
      </c>
      <c r="D623">
        <f t="shared" si="526"/>
        <v>1.5424340691651743</v>
      </c>
      <c r="F623">
        <f t="shared" si="479"/>
        <v>1.0500480500977052E-6</v>
      </c>
      <c r="G623">
        <f t="shared" si="527"/>
        <v>3.8563239346472381E-4</v>
      </c>
      <c r="H623">
        <f t="shared" si="481"/>
        <v>-3.1412070176065354</v>
      </c>
      <c r="J623">
        <f t="shared" si="482"/>
        <v>15</v>
      </c>
      <c r="M623">
        <f t="shared" si="528"/>
        <v>4.2896015975677209E-4</v>
      </c>
      <c r="N623">
        <f t="shared" si="484"/>
        <v>-1.5707963250000001</v>
      </c>
      <c r="O623">
        <f t="shared" si="529"/>
        <v>702.83781906003264</v>
      </c>
      <c r="P623">
        <f t="shared" si="486"/>
        <v>1.5693735229697801</v>
      </c>
      <c r="Q623">
        <f t="shared" si="530"/>
        <v>1092.7092131013735</v>
      </c>
      <c r="R623">
        <f t="shared" si="488"/>
        <v>1.5698811701113109</v>
      </c>
      <c r="S623">
        <f t="shared" si="531"/>
        <v>2.8358455265850846E-2</v>
      </c>
      <c r="T623">
        <f t="shared" si="490"/>
        <v>-1.5424340691651743</v>
      </c>
      <c r="U623">
        <f t="shared" si="491"/>
        <v>4.5955417757359479E-2</v>
      </c>
      <c r="V623">
        <f t="shared" si="492"/>
        <v>-1.5248247181013188</v>
      </c>
      <c r="X623">
        <f t="shared" si="532"/>
        <v>-72.451723281980861</v>
      </c>
      <c r="Y623">
        <f t="shared" si="533"/>
        <v>-177.47788089993696</v>
      </c>
      <c r="Z623">
        <f t="shared" si="510"/>
        <v>2.522119100063037</v>
      </c>
      <c r="AC623">
        <v>1</v>
      </c>
      <c r="AD623">
        <f t="shared" si="494"/>
        <v>702.83710765800004</v>
      </c>
      <c r="AE623">
        <f t="shared" si="495"/>
        <v>-2.8152355617461802</v>
      </c>
      <c r="AF623">
        <f t="shared" si="496"/>
        <v>0.12951215699624999</v>
      </c>
      <c r="AG623">
        <f t="shared" si="535"/>
        <v>11.106410020649783</v>
      </c>
      <c r="AH623">
        <f t="shared" si="536"/>
        <v>-249.14387345430194</v>
      </c>
      <c r="AJ623">
        <f t="shared" si="497"/>
        <v>18000</v>
      </c>
      <c r="AK623">
        <f t="shared" si="498"/>
        <v>634476.05159400008</v>
      </c>
      <c r="AL623">
        <v>1</v>
      </c>
      <c r="AM623">
        <f t="shared" si="499"/>
        <v>1092.7087555229998</v>
      </c>
      <c r="AN623">
        <f t="shared" si="537"/>
        <v>580.65975020070084</v>
      </c>
      <c r="AO623">
        <f t="shared" si="538"/>
        <v>-15.941430103634461</v>
      </c>
      <c r="AQ623">
        <f t="shared" si="500"/>
        <v>1.3840830258258404E-4</v>
      </c>
      <c r="AR623">
        <f t="shared" si="501"/>
        <v>-1.1764705719519644</v>
      </c>
      <c r="AT623">
        <f t="shared" si="523"/>
        <v>-293.1088980817517</v>
      </c>
      <c r="AU623">
        <f t="shared" si="524"/>
        <v>-13.100848129950537</v>
      </c>
      <c r="AV623">
        <f t="shared" si="511"/>
        <v>-3.096926201663051</v>
      </c>
      <c r="AW623">
        <f t="shared" si="512"/>
        <v>573.83166490321582</v>
      </c>
      <c r="AX623">
        <f t="shared" si="513"/>
        <v>-991.46890639476146</v>
      </c>
      <c r="AY623">
        <f t="shared" si="521"/>
        <v>-1.0461340076093262</v>
      </c>
      <c r="BA623">
        <f t="shared" si="502"/>
        <v>0.25612201384098876</v>
      </c>
      <c r="BB623">
        <f t="shared" si="514"/>
        <v>-11.831061841112451</v>
      </c>
      <c r="BC623">
        <f t="shared" si="515"/>
        <v>-2.0507921940537246</v>
      </c>
      <c r="BD623">
        <f t="shared" si="503"/>
        <v>-297.50173751191784</v>
      </c>
      <c r="BF623">
        <f t="shared" si="504"/>
        <v>-76.938704611693765</v>
      </c>
      <c r="BG623">
        <f t="shared" si="505"/>
        <v>-209.10467996196624</v>
      </c>
      <c r="BH623">
        <f t="shared" si="516"/>
        <v>-29.104679961966241</v>
      </c>
      <c r="BI623">
        <f t="shared" si="517"/>
        <v>-29.104679961966241</v>
      </c>
      <c r="BJ623">
        <f t="shared" si="506"/>
        <v>0</v>
      </c>
      <c r="BK623">
        <f t="shared" si="518"/>
        <v>0</v>
      </c>
      <c r="BM623">
        <f t="shared" si="519"/>
        <v>-65.107642770581307</v>
      </c>
      <c r="BN623">
        <f t="shared" si="507"/>
        <v>-91.602942450048374</v>
      </c>
      <c r="BQ623" s="56">
        <f t="shared" si="520"/>
        <v>5.0708989591726858</v>
      </c>
    </row>
    <row r="624" spans="1:69" x14ac:dyDescent="0.25">
      <c r="A624">
        <f t="shared" si="534"/>
        <v>4500000</v>
      </c>
      <c r="B624">
        <f t="shared" si="508"/>
        <v>4500</v>
      </c>
      <c r="C624">
        <f t="shared" si="477"/>
        <v>37.335515159185526</v>
      </c>
      <c r="D624">
        <f t="shared" si="526"/>
        <v>1.5440089743382059</v>
      </c>
      <c r="F624">
        <f t="shared" si="479"/>
        <v>9.3661683423153342E-7</v>
      </c>
      <c r="G624">
        <f t="shared" si="527"/>
        <v>3.6420833200027843E-4</v>
      </c>
      <c r="H624">
        <f t="shared" si="481"/>
        <v>-3.1412284416679999</v>
      </c>
      <c r="J624">
        <f t="shared" si="482"/>
        <v>15</v>
      </c>
      <c r="M624">
        <f t="shared" si="528"/>
        <v>4.0512903977028483E-4</v>
      </c>
      <c r="N624">
        <f t="shared" si="484"/>
        <v>-1.5707963250000001</v>
      </c>
      <c r="O624">
        <f t="shared" si="529"/>
        <v>744.18113881173417</v>
      </c>
      <c r="P624">
        <f t="shared" si="486"/>
        <v>1.5694525675287789</v>
      </c>
      <c r="Q624">
        <f t="shared" si="530"/>
        <v>1156.9861732993627</v>
      </c>
      <c r="R624">
        <f t="shared" si="488"/>
        <v>1.5699320121232225</v>
      </c>
      <c r="S624">
        <f t="shared" si="531"/>
        <v>2.6784148972803807E-2</v>
      </c>
      <c r="T624">
        <f t="shared" si="490"/>
        <v>-1.5440089743382059</v>
      </c>
      <c r="U624">
        <f t="shared" si="491"/>
        <v>4.3407290688522601E-2</v>
      </c>
      <c r="V624">
        <f t="shared" si="492"/>
        <v>-1.5273753932508969</v>
      </c>
      <c r="X624">
        <f t="shared" si="532"/>
        <v>-73.443677993762151</v>
      </c>
      <c r="Y624">
        <f t="shared" si="533"/>
        <v>-177.61780937704995</v>
      </c>
      <c r="Z624">
        <f t="shared" si="510"/>
        <v>2.3821906229500485</v>
      </c>
      <c r="AC624">
        <v>1</v>
      </c>
      <c r="AD624">
        <f t="shared" si="494"/>
        <v>744.18046693200006</v>
      </c>
      <c r="AE624">
        <f t="shared" si="495"/>
        <v>-3.1561810450026377</v>
      </c>
      <c r="AF624">
        <f t="shared" si="496"/>
        <v>0.13713051917249999</v>
      </c>
      <c r="AG624">
        <f t="shared" si="535"/>
        <v>9.9089040976037452</v>
      </c>
      <c r="AH624">
        <f t="shared" si="536"/>
        <v>-235.35457667893206</v>
      </c>
      <c r="AJ624">
        <f t="shared" si="497"/>
        <v>18000</v>
      </c>
      <c r="AK624">
        <f t="shared" si="498"/>
        <v>671798.17227600003</v>
      </c>
      <c r="AL624">
        <v>1</v>
      </c>
      <c r="AM624">
        <f t="shared" si="499"/>
        <v>1156.9857411420001</v>
      </c>
      <c r="AN624">
        <f t="shared" si="537"/>
        <v>580.65817423933709</v>
      </c>
      <c r="AO624">
        <f t="shared" si="538"/>
        <v>-15.055796460003855</v>
      </c>
      <c r="AQ624">
        <f t="shared" si="500"/>
        <v>1.234567885992989E-4</v>
      </c>
      <c r="AR624">
        <f t="shared" si="501"/>
        <v>-1.1111110973936902</v>
      </c>
      <c r="AT624">
        <f t="shared" si="523"/>
        <v>-261.50385864887716</v>
      </c>
      <c r="AU624">
        <f t="shared" si="524"/>
        <v>-11.038949426076259</v>
      </c>
      <c r="AV624">
        <f t="shared" si="511"/>
        <v>-3.0994043682012573</v>
      </c>
      <c r="AW624">
        <f t="shared" si="512"/>
        <v>574.57010289987056</v>
      </c>
      <c r="AX624">
        <f t="shared" si="513"/>
        <v>-936.44088310480117</v>
      </c>
      <c r="AY624">
        <f t="shared" si="521"/>
        <v>-1.0204600877872974</v>
      </c>
      <c r="BA624">
        <f t="shared" si="502"/>
        <v>0.23823285565280886</v>
      </c>
      <c r="BB624">
        <f t="shared" si="514"/>
        <v>-12.459966868423402</v>
      </c>
      <c r="BC624">
        <f t="shared" si="515"/>
        <v>-2.07894428041396</v>
      </c>
      <c r="BD624">
        <f t="shared" si="503"/>
        <v>-299.11473324669026</v>
      </c>
      <c r="BF624">
        <f t="shared" si="504"/>
        <v>-78.064459538733018</v>
      </c>
      <c r="BG624">
        <f t="shared" si="505"/>
        <v>-210.62866778539083</v>
      </c>
      <c r="BH624">
        <f t="shared" si="516"/>
        <v>-30.628667785390832</v>
      </c>
      <c r="BI624">
        <f t="shared" si="517"/>
        <v>-30.628667785390832</v>
      </c>
      <c r="BJ624">
        <f t="shared" si="506"/>
        <v>0</v>
      </c>
      <c r="BK624">
        <f t="shared" si="518"/>
        <v>0</v>
      </c>
      <c r="BM624">
        <f t="shared" si="519"/>
        <v>-65.604492670309625</v>
      </c>
      <c r="BN624">
        <f t="shared" si="507"/>
        <v>-91.513934538700568</v>
      </c>
      <c r="BQ624" s="56">
        <f t="shared" si="520"/>
        <v>4.4419939318617354</v>
      </c>
    </row>
    <row r="625" spans="1:69" x14ac:dyDescent="0.25">
      <c r="A625">
        <f t="shared" si="534"/>
        <v>4750000</v>
      </c>
      <c r="B625">
        <f t="shared" si="508"/>
        <v>4750</v>
      </c>
      <c r="C625">
        <f t="shared" si="477"/>
        <v>39.408261569009625</v>
      </c>
      <c r="D625">
        <f t="shared" si="526"/>
        <v>1.5454182129250758</v>
      </c>
      <c r="F625">
        <f t="shared" si="479"/>
        <v>8.4062001953179686E-7</v>
      </c>
      <c r="G625">
        <f t="shared" si="527"/>
        <v>3.4503944066746671E-4</v>
      </c>
      <c r="H625">
        <f t="shared" si="481"/>
        <v>-3.1412476105593328</v>
      </c>
      <c r="J625">
        <f t="shared" si="482"/>
        <v>15</v>
      </c>
      <c r="M625">
        <f t="shared" si="528"/>
        <v>3.8380645872974353E-4</v>
      </c>
      <c r="N625">
        <f t="shared" si="484"/>
        <v>-1.5707963250000001</v>
      </c>
      <c r="O625">
        <f t="shared" si="529"/>
        <v>785.5244627236724</v>
      </c>
      <c r="P625">
        <f t="shared" si="486"/>
        <v>1.5695232916221462</v>
      </c>
      <c r="Q625">
        <f t="shared" si="530"/>
        <v>1221.263136173246</v>
      </c>
      <c r="R625">
        <f t="shared" si="488"/>
        <v>1.5699775023482021</v>
      </c>
      <c r="S625">
        <f t="shared" si="531"/>
        <v>2.5375389834155816E-2</v>
      </c>
      <c r="T625">
        <f t="shared" si="490"/>
        <v>-1.5454182129250758</v>
      </c>
      <c r="U625">
        <f t="shared" si="491"/>
        <v>4.1126667757137074E-2</v>
      </c>
      <c r="V625">
        <f t="shared" si="492"/>
        <v>-1.5296580565777547</v>
      </c>
      <c r="X625">
        <f t="shared" si="532"/>
        <v>-74.382084967433428</v>
      </c>
      <c r="Y625">
        <f t="shared" si="533"/>
        <v>-177.74303605848229</v>
      </c>
      <c r="Z625">
        <f t="shared" si="510"/>
        <v>2.2569639415177107</v>
      </c>
      <c r="AC625">
        <v>1</v>
      </c>
      <c r="AD625">
        <f t="shared" si="494"/>
        <v>785.52382620600008</v>
      </c>
      <c r="AE625">
        <f t="shared" si="495"/>
        <v>-3.5166091273023219</v>
      </c>
      <c r="AF625">
        <f t="shared" si="496"/>
        <v>0.14474888134875</v>
      </c>
      <c r="AG625">
        <f t="shared" si="535"/>
        <v>8.8950278274374686</v>
      </c>
      <c r="AH625">
        <f t="shared" si="536"/>
        <v>-223.00922635664645</v>
      </c>
      <c r="AJ625">
        <f t="shared" si="497"/>
        <v>18000</v>
      </c>
      <c r="AK625">
        <f t="shared" si="498"/>
        <v>709120.29295800009</v>
      </c>
      <c r="AL625">
        <v>1</v>
      </c>
      <c r="AM625">
        <f t="shared" si="499"/>
        <v>1221.2627267609998</v>
      </c>
      <c r="AN625">
        <f t="shared" si="537"/>
        <v>580.65684050307482</v>
      </c>
      <c r="AO625">
        <f t="shared" si="538"/>
        <v>-14.263387212099756</v>
      </c>
      <c r="AQ625">
        <f t="shared" si="500"/>
        <v>1.1080332287198534E-4</v>
      </c>
      <c r="AR625">
        <f t="shared" si="501"/>
        <v>-1.0526315672838606</v>
      </c>
      <c r="AT625">
        <f t="shared" si="523"/>
        <v>-234.74556585991769</v>
      </c>
      <c r="AU625">
        <f t="shared" si="524"/>
        <v>-9.3878972463404846</v>
      </c>
      <c r="AV625">
        <f t="shared" si="511"/>
        <v>-3.1016221553878958</v>
      </c>
      <c r="AW625">
        <f t="shared" si="512"/>
        <v>575.19458726109519</v>
      </c>
      <c r="AX625">
        <f t="shared" si="513"/>
        <v>-887.1974998933631</v>
      </c>
      <c r="AY625">
        <f t="shared" si="521"/>
        <v>-0.99559771202264646</v>
      </c>
      <c r="BA625">
        <f t="shared" si="502"/>
        <v>0.22219264799707603</v>
      </c>
      <c r="BB625">
        <f t="shared" si="514"/>
        <v>-13.065406305484014</v>
      </c>
      <c r="BC625">
        <f t="shared" si="515"/>
        <v>-2.1060244433652491</v>
      </c>
      <c r="BD625">
        <f t="shared" si="503"/>
        <v>-300.66631229409859</v>
      </c>
      <c r="BF625">
        <f t="shared" si="504"/>
        <v>-79.13984101039037</v>
      </c>
      <c r="BG625">
        <f t="shared" si="505"/>
        <v>-212.10060170592487</v>
      </c>
      <c r="BH625">
        <f t="shared" si="516"/>
        <v>-32.100601705924873</v>
      </c>
      <c r="BI625">
        <f t="shared" si="517"/>
        <v>-32.100601705924873</v>
      </c>
      <c r="BJ625">
        <f t="shared" si="506"/>
        <v>0</v>
      </c>
      <c r="BK625">
        <f t="shared" si="518"/>
        <v>0</v>
      </c>
      <c r="BM625">
        <f t="shared" si="519"/>
        <v>-66.074434704906352</v>
      </c>
      <c r="BN625">
        <f t="shared" si="507"/>
        <v>-91.434289411826271</v>
      </c>
      <c r="BQ625" s="56">
        <f t="shared" si="520"/>
        <v>3.8365544948011228</v>
      </c>
    </row>
    <row r="626" spans="1:69" x14ac:dyDescent="0.25">
      <c r="A626">
        <f t="shared" si="534"/>
        <v>5000000</v>
      </c>
      <c r="B626">
        <f t="shared" si="508"/>
        <v>5000</v>
      </c>
      <c r="C626">
        <f t="shared" si="477"/>
        <v>41.481078420356532</v>
      </c>
      <c r="D626">
        <f t="shared" si="526"/>
        <v>1.5466866140207001</v>
      </c>
      <c r="F626">
        <f t="shared" si="479"/>
        <v>7.5865950948469863E-7</v>
      </c>
      <c r="G626">
        <f t="shared" si="527"/>
        <v>3.2778744287872183E-4</v>
      </c>
      <c r="H626">
        <f t="shared" si="481"/>
        <v>-3.1412648625571213</v>
      </c>
      <c r="J626">
        <f t="shared" si="482"/>
        <v>15</v>
      </c>
      <c r="M626">
        <f t="shared" si="528"/>
        <v>3.6461613579325631E-4</v>
      </c>
      <c r="N626">
        <f t="shared" si="484"/>
        <v>-1.5707963250000001</v>
      </c>
      <c r="O626">
        <f t="shared" si="529"/>
        <v>826.86779017181277</v>
      </c>
      <c r="P626">
        <f t="shared" si="486"/>
        <v>1.5695869433170853</v>
      </c>
      <c r="Q626">
        <f t="shared" si="530"/>
        <v>1285.5401013216401</v>
      </c>
      <c r="R626">
        <f t="shared" si="488"/>
        <v>1.5700184435535864</v>
      </c>
      <c r="S626">
        <f t="shared" si="531"/>
        <v>2.4107377100139656E-2</v>
      </c>
      <c r="T626">
        <f t="shared" si="490"/>
        <v>-1.5466866140207001</v>
      </c>
      <c r="U626">
        <f t="shared" si="491"/>
        <v>3.9073556346850023E-2</v>
      </c>
      <c r="V626">
        <f t="shared" si="492"/>
        <v>-1.5317128210657898</v>
      </c>
      <c r="X626">
        <f t="shared" si="532"/>
        <v>-75.272426129896502</v>
      </c>
      <c r="Y626">
        <f t="shared" si="533"/>
        <v>-177.85576112657478</v>
      </c>
      <c r="Z626">
        <f t="shared" si="510"/>
        <v>2.1442388734252233</v>
      </c>
      <c r="AC626">
        <v>1</v>
      </c>
      <c r="AD626">
        <f t="shared" si="494"/>
        <v>826.86718547999999</v>
      </c>
      <c r="AE626">
        <f t="shared" si="495"/>
        <v>-3.8965198086452326</v>
      </c>
      <c r="AF626">
        <f t="shared" si="496"/>
        <v>0.152367243525</v>
      </c>
      <c r="AG626">
        <f t="shared" si="535"/>
        <v>8.0290867051870656</v>
      </c>
      <c r="AH626">
        <f t="shared" si="536"/>
        <v>-211.89262629663691</v>
      </c>
      <c r="AJ626">
        <f t="shared" si="497"/>
        <v>18000</v>
      </c>
      <c r="AK626">
        <f t="shared" si="498"/>
        <v>746442.41364000004</v>
      </c>
      <c r="AL626">
        <v>1</v>
      </c>
      <c r="AM626">
        <f t="shared" si="499"/>
        <v>1285.5397123799999</v>
      </c>
      <c r="AN626">
        <f t="shared" si="537"/>
        <v>580.65570178052053</v>
      </c>
      <c r="AO626">
        <f t="shared" si="538"/>
        <v>-13.550218737288139</v>
      </c>
      <c r="AQ626">
        <f t="shared" si="500"/>
        <v>9.9999999000000009E-5</v>
      </c>
      <c r="AR626">
        <f t="shared" si="501"/>
        <v>-0.99999999000000006</v>
      </c>
      <c r="AT626">
        <f t="shared" si="523"/>
        <v>-211.89182126904817</v>
      </c>
      <c r="AU626">
        <f t="shared" si="524"/>
        <v>-8.050275887313969</v>
      </c>
      <c r="AV626">
        <f t="shared" si="511"/>
        <v>-3.1036185313388307</v>
      </c>
      <c r="AW626">
        <f t="shared" si="512"/>
        <v>575.72743109403109</v>
      </c>
      <c r="AX626">
        <f t="shared" si="513"/>
        <v>-842.87249792375451</v>
      </c>
      <c r="AY626">
        <f t="shared" si="521"/>
        <v>-0.97153428529569585</v>
      </c>
      <c r="BA626">
        <f t="shared" si="502"/>
        <v>0.20773763924075225</v>
      </c>
      <c r="BB626">
        <f t="shared" si="514"/>
        <v>-13.649696161393445</v>
      </c>
      <c r="BC626">
        <f t="shared" si="515"/>
        <v>-2.1320842460431351</v>
      </c>
      <c r="BD626">
        <f t="shared" si="503"/>
        <v>-302.15942900419134</v>
      </c>
      <c r="BF626">
        <f t="shared" si="504"/>
        <v>-80.169932090327222</v>
      </c>
      <c r="BG626">
        <f t="shared" si="505"/>
        <v>-213.52203285308806</v>
      </c>
      <c r="BH626">
        <f t="shared" si="516"/>
        <v>-33.522032853088064</v>
      </c>
      <c r="BI626">
        <f t="shared" si="517"/>
        <v>-33.522032853088064</v>
      </c>
      <c r="BJ626">
        <f t="shared" si="506"/>
        <v>0</v>
      </c>
      <c r="BK626">
        <f t="shared" si="518"/>
        <v>0</v>
      </c>
      <c r="BM626">
        <f t="shared" si="519"/>
        <v>-66.520235928933772</v>
      </c>
      <c r="BN626">
        <f t="shared" si="507"/>
        <v>-91.362603848896768</v>
      </c>
      <c r="BQ626" s="56">
        <f t="shared" si="520"/>
        <v>3.2522646388916927</v>
      </c>
    </row>
    <row r="627" spans="1:69" x14ac:dyDescent="0.25">
      <c r="A627">
        <f>A626+100000</f>
        <v>5100000</v>
      </c>
      <c r="B627">
        <f t="shared" si="508"/>
        <v>5100</v>
      </c>
      <c r="C627">
        <f t="shared" ref="C627:C676" si="539">SQRT((A627/Fesr)^2+1)</f>
        <v>42.310222565464784</v>
      </c>
      <c r="D627">
        <f t="shared" ref="D627:D676" si="540">ATAN(A627/Fesr)</f>
        <v>1.5471591756625656</v>
      </c>
      <c r="F627">
        <f t="shared" ref="F627:F676" si="541">(Ro/(Ro+Rdcr))/SQRT((A627/(Q*Fo))^2+(1-(A627^2/Fo^2))^2)</f>
        <v>7.2919981601884417E-7</v>
      </c>
      <c r="G627">
        <f t="shared" ref="G627:G676" si="542">-ATAN(A627*Fo/(Q*(Fo^2-A627^2)))</f>
        <v>3.2136022904046219E-4</v>
      </c>
      <c r="H627">
        <f t="shared" si="481"/>
        <v>-3.1412712897709598</v>
      </c>
      <c r="J627">
        <f t="shared" si="482"/>
        <v>15</v>
      </c>
      <c r="M627">
        <f t="shared" ref="M627:M676" si="543">1/(2*Pi*_Rfb1*(Cc1ea_u+Cc2ea_u)*A627)</f>
        <v>3.5746679979731011E-4</v>
      </c>
      <c r="N627">
        <f t="shared" si="484"/>
        <v>-1.5707963250000001</v>
      </c>
      <c r="O627">
        <f t="shared" ref="O627:O676" si="544">SQRT(1+(A627/Fz1_u)^2)</f>
        <v>843.40512202471893</v>
      </c>
      <c r="P627">
        <f t="shared" si="486"/>
        <v>1.5696106566961645</v>
      </c>
      <c r="Q627">
        <f t="shared" ref="Q627:Q676" si="545">SQRT(1+(A627/Fz2_u)^2)</f>
        <v>1311.2508879429356</v>
      </c>
      <c r="R627">
        <f t="shared" si="488"/>
        <v>1.570033696160188</v>
      </c>
      <c r="S627">
        <f t="shared" ref="S627:S676" si="546">1/SQRT(1+(A627/Fp1_u)^2)</f>
        <v>2.3634950122343207E-2</v>
      </c>
      <c r="T627">
        <f t="shared" si="490"/>
        <v>-1.5471591756625656</v>
      </c>
      <c r="U627">
        <f t="shared" ref="U627:U676" si="547">1/SQRT(1+(A627/Fp2_u)^2)</f>
        <v>3.8308543766463456E-2</v>
      </c>
      <c r="V627">
        <f t="shared" si="492"/>
        <v>-1.5324784069195625</v>
      </c>
      <c r="X627">
        <f t="shared" ref="X627:X676" si="548">20*LOG(C627*J627*O627*Q627*F627*M627*S627*U627)</f>
        <v>-75.616176107995742</v>
      </c>
      <c r="Y627">
        <f t="shared" ref="Y627:Y676" si="549">(180/Pi)*(D627+H627+N627+P627+R627+T627+V627)</f>
        <v>-177.89776163060179</v>
      </c>
      <c r="Z627">
        <f t="shared" si="510"/>
        <v>2.1022383693982079</v>
      </c>
      <c r="AC627">
        <v>1</v>
      </c>
      <c r="AD627">
        <f t="shared" ref="AD627:AD676" si="550">Rcea1_u*Cc1ea_u*A627*2*Pi</f>
        <v>843.4045291896</v>
      </c>
      <c r="AE627">
        <f t="shared" ref="AE627:AE676" si="551">-Rcea1_u*Cc1ea_u*Cc2ea_u*(A627*2*Pi)^2</f>
        <v>-4.0539392089144988</v>
      </c>
      <c r="AF627">
        <f t="shared" ref="AF627:AF676" si="552">(Cc2ea_u+Cc1ea_u)*A627*2*Pi</f>
        <v>0.15541458839549999</v>
      </c>
      <c r="AG627">
        <f t="shared" ref="AG627:AG676" si="553">AC627*AE627/(AE627^2+AF627^2)+AD627*AF627/(AE627^2+AF627^2)</f>
        <v>7.717765032769635</v>
      </c>
      <c r="AH627">
        <f t="shared" ref="AH627:AH676" si="554">AD627*AE627/(AE627^2+AF627^2)-AC627*AF627/(AE627^2+AF627^2)</f>
        <v>-207.74980395900207</v>
      </c>
      <c r="AJ627">
        <f t="shared" si="497"/>
        <v>18000</v>
      </c>
      <c r="AK627">
        <f t="shared" ref="AK627:AK676" si="555">_Rfb1*Rcea2_u*Cc3ea_u*A627*2*Pi</f>
        <v>761371.26191280002</v>
      </c>
      <c r="AL627">
        <v>2</v>
      </c>
      <c r="AM627">
        <f t="shared" ref="AM627:AM676" si="556">(_Rfb1+Rcea2_u)*Cc3ea_u*A627*2*Pi</f>
        <v>1311.2505066275999</v>
      </c>
      <c r="AN627">
        <f t="shared" ref="AN627:AN676" si="557">AJ627*AL627/(AL627^2+AM627^2)+AK627*AM627/(AL627^2+AM627^2)</f>
        <v>580.66474822416706</v>
      </c>
      <c r="AO627">
        <f t="shared" ref="AO627:AO676" si="558">AK627*AL627/(AL627^2+AM627^2)-AJ627*AM627/(AL627^2+AM627^2)</f>
        <v>-12.841688463373011</v>
      </c>
      <c r="AQ627">
        <f t="shared" ref="AQ627:AQ676" si="559">Eadcg/(1+(Eadcg*A627/GBP)^2)</f>
        <v>9.6116877199953123E-5</v>
      </c>
      <c r="AR627">
        <f t="shared" ref="AR627:AR676" si="560">-(A627*Eadcg*Eadcg/GBP)/(1+(Eadcg*A627/GBP)^2)</f>
        <v>-0.98039214743952185</v>
      </c>
      <c r="AT627">
        <f t="shared" ref="AT627:AT676" si="561">-AR627*AH627+AG627*AQ627</f>
        <v>-203.6755346260318</v>
      </c>
      <c r="AU627">
        <f t="shared" ref="AU627:AU676" si="562">AQ627*AH627+AG627*AR627</f>
        <v>-7.5864044963061161</v>
      </c>
      <c r="AV627">
        <f t="shared" si="511"/>
        <v>-3.1043623645978191</v>
      </c>
      <c r="AW627">
        <f t="shared" si="512"/>
        <v>576.38998830321407</v>
      </c>
      <c r="AX627">
        <f t="shared" si="513"/>
        <v>-825.92383173468659</v>
      </c>
      <c r="AY627">
        <f t="shared" si="521"/>
        <v>-0.9614992685829532</v>
      </c>
      <c r="BA627">
        <f t="shared" si="502"/>
        <v>0.20236738756740336</v>
      </c>
      <c r="BB627">
        <f t="shared" si="514"/>
        <v>-13.877189494817227</v>
      </c>
      <c r="BC627">
        <f t="shared" si="515"/>
        <v>-2.142863096014866</v>
      </c>
      <c r="BD627">
        <f t="shared" si="503"/>
        <v>-302.77701161628192</v>
      </c>
      <c r="BF627">
        <f t="shared" si="504"/>
        <v>-80.569527108205818</v>
      </c>
      <c r="BG627">
        <f t="shared" si="505"/>
        <v>-214.11290792973645</v>
      </c>
      <c r="BH627">
        <f t="shared" si="516"/>
        <v>-34.112907929736451</v>
      </c>
      <c r="BI627">
        <f t="shared" si="517"/>
        <v>-34.112907929736451</v>
      </c>
      <c r="BJ627">
        <f t="shared" si="506"/>
        <v>0</v>
      </c>
      <c r="BK627">
        <f t="shared" si="518"/>
        <v>0</v>
      </c>
      <c r="BM627">
        <f t="shared" si="519"/>
        <v>-66.692337613388602</v>
      </c>
      <c r="BN627">
        <f t="shared" si="507"/>
        <v>-91.335896313454555</v>
      </c>
      <c r="BQ627" s="56">
        <f t="shared" si="520"/>
        <v>3.0247713054679108</v>
      </c>
    </row>
    <row r="628" spans="1:69" x14ac:dyDescent="0.25">
      <c r="A628">
        <f t="shared" ref="A628:A676" si="563">A627+100000</f>
        <v>5200000</v>
      </c>
      <c r="B628">
        <f t="shared" si="508"/>
        <v>5200</v>
      </c>
      <c r="C628">
        <f t="shared" si="539"/>
        <v>43.139375795856104</v>
      </c>
      <c r="D628">
        <f t="shared" si="540"/>
        <v>1.5476135718170769</v>
      </c>
      <c r="F628">
        <f t="shared" si="541"/>
        <v>7.0142332551902334E-7</v>
      </c>
      <c r="G628">
        <f t="shared" si="542"/>
        <v>3.1518021624303159E-4</v>
      </c>
      <c r="H628">
        <f t="shared" si="481"/>
        <v>-3.1412774697837573</v>
      </c>
      <c r="J628">
        <f t="shared" si="482"/>
        <v>15</v>
      </c>
      <c r="M628">
        <f t="shared" si="543"/>
        <v>3.5059243826274645E-4</v>
      </c>
      <c r="N628">
        <f t="shared" si="484"/>
        <v>-1.5707963250000001</v>
      </c>
      <c r="O628">
        <f t="shared" si="544"/>
        <v>859.94245433365131</v>
      </c>
      <c r="P628">
        <f t="shared" si="486"/>
        <v>1.5696334580234599</v>
      </c>
      <c r="Q628">
        <f t="shared" si="545"/>
        <v>1336.9616748575506</v>
      </c>
      <c r="R628">
        <f t="shared" si="488"/>
        <v>1.5700483621284087</v>
      </c>
      <c r="S628">
        <f t="shared" si="546"/>
        <v>2.3180678476485018E-2</v>
      </c>
      <c r="T628">
        <f t="shared" si="490"/>
        <v>-1.5476135718170769</v>
      </c>
      <c r="U628">
        <f t="shared" si="547"/>
        <v>3.7572891202930392E-2</v>
      </c>
      <c r="V628">
        <f t="shared" si="492"/>
        <v>-1.5332145895573361</v>
      </c>
      <c r="X628">
        <f t="shared" si="548"/>
        <v>-75.953260580847015</v>
      </c>
      <c r="Y628">
        <f t="shared" si="549"/>
        <v>-177.93814915949093</v>
      </c>
      <c r="Z628">
        <f t="shared" si="510"/>
        <v>2.0618508405090665</v>
      </c>
      <c r="AC628">
        <v>1</v>
      </c>
      <c r="AD628">
        <f t="shared" si="550"/>
        <v>859.94187289920012</v>
      </c>
      <c r="AE628">
        <f t="shared" si="551"/>
        <v>-4.2144758250306831</v>
      </c>
      <c r="AF628">
        <f t="shared" si="552"/>
        <v>0.158461933266</v>
      </c>
      <c r="AG628">
        <f t="shared" si="553"/>
        <v>7.4241971413611454</v>
      </c>
      <c r="AH628">
        <f t="shared" si="554"/>
        <v>-203.76565340981162</v>
      </c>
      <c r="AJ628">
        <f t="shared" si="497"/>
        <v>18000</v>
      </c>
      <c r="AK628">
        <f t="shared" si="555"/>
        <v>776300.1101856</v>
      </c>
      <c r="AL628">
        <v>3</v>
      </c>
      <c r="AM628">
        <f t="shared" si="556"/>
        <v>1336.9613008751999</v>
      </c>
      <c r="AN628">
        <f t="shared" si="557"/>
        <v>580.67244794140584</v>
      </c>
      <c r="AO628">
        <f t="shared" si="558"/>
        <v>-12.160398842908171</v>
      </c>
      <c r="AQ628">
        <f t="shared" si="559"/>
        <v>9.2455620446970963E-5</v>
      </c>
      <c r="AR628">
        <f t="shared" si="560"/>
        <v>-0.96153845264849802</v>
      </c>
      <c r="AT628">
        <f t="shared" si="561"/>
        <v>-195.92782467382739</v>
      </c>
      <c r="AU628">
        <f t="shared" si="562"/>
        <v>-7.1574903113735848</v>
      </c>
      <c r="AV628">
        <f t="shared" si="511"/>
        <v>-3.1050776312778119</v>
      </c>
      <c r="AW628">
        <f t="shared" si="512"/>
        <v>577.00504091208995</v>
      </c>
      <c r="AX628">
        <f t="shared" si="513"/>
        <v>-809.62501797745313</v>
      </c>
      <c r="AY628">
        <f t="shared" si="521"/>
        <v>-0.95160967694331267</v>
      </c>
      <c r="BA628">
        <f t="shared" si="502"/>
        <v>0.1972029042371933</v>
      </c>
      <c r="BB628">
        <f t="shared" si="514"/>
        <v>-14.101733868535147</v>
      </c>
      <c r="BC628">
        <f t="shared" si="515"/>
        <v>-2.1534679543344994</v>
      </c>
      <c r="BD628">
        <f t="shared" si="503"/>
        <v>-303.38462524102539</v>
      </c>
      <c r="BF628">
        <f t="shared" si="504"/>
        <v>-80.962827470361418</v>
      </c>
      <c r="BG628">
        <f t="shared" si="505"/>
        <v>-214.69484066122075</v>
      </c>
      <c r="BH628">
        <f t="shared" si="516"/>
        <v>-34.694840661220752</v>
      </c>
      <c r="BI628">
        <f t="shared" si="517"/>
        <v>-34.694840661220752</v>
      </c>
      <c r="BJ628">
        <f t="shared" si="506"/>
        <v>0</v>
      </c>
      <c r="BK628">
        <f t="shared" si="518"/>
        <v>0</v>
      </c>
      <c r="BM628">
        <f t="shared" si="519"/>
        <v>-66.861093601826255</v>
      </c>
      <c r="BN628">
        <f t="shared" si="507"/>
        <v>-91.310215420195377</v>
      </c>
      <c r="BQ628" s="56">
        <f t="shared" si="520"/>
        <v>2.8002269317499899</v>
      </c>
    </row>
    <row r="629" spans="1:69" x14ac:dyDescent="0.25">
      <c r="A629">
        <f t="shared" si="563"/>
        <v>5300000</v>
      </c>
      <c r="B629">
        <f t="shared" si="508"/>
        <v>5300</v>
      </c>
      <c r="C629">
        <f t="shared" si="539"/>
        <v>43.968537597543062</v>
      </c>
      <c r="D629">
        <f t="shared" si="540"/>
        <v>1.5480508299892111</v>
      </c>
      <c r="F629">
        <f t="shared" si="541"/>
        <v>6.7520420993373697E-7</v>
      </c>
      <c r="G629">
        <f t="shared" si="542"/>
        <v>3.0923341193738265E-4</v>
      </c>
      <c r="H629">
        <f t="shared" si="481"/>
        <v>-3.1412834165880628</v>
      </c>
      <c r="J629">
        <f t="shared" si="482"/>
        <v>15</v>
      </c>
      <c r="M629">
        <f t="shared" si="543"/>
        <v>3.4397748659741159E-4</v>
      </c>
      <c r="N629">
        <f t="shared" si="484"/>
        <v>-1.5707963250000001</v>
      </c>
      <c r="O629">
        <f t="shared" si="544"/>
        <v>876.47978707279731</v>
      </c>
      <c r="P629">
        <f t="shared" si="486"/>
        <v>1.5696553989244519</v>
      </c>
      <c r="Q629">
        <f t="shared" si="545"/>
        <v>1362.6724620488817</v>
      </c>
      <c r="R629">
        <f t="shared" si="488"/>
        <v>1.5700624746641705</v>
      </c>
      <c r="S629">
        <f t="shared" si="546"/>
        <v>2.2743535597051102E-2</v>
      </c>
      <c r="T629">
        <f t="shared" si="490"/>
        <v>-1.5480508299892108</v>
      </c>
      <c r="U629">
        <f t="shared" si="547"/>
        <v>3.6864941421033443E-2</v>
      </c>
      <c r="V629">
        <f t="shared" si="492"/>
        <v>-1.5339230302070479</v>
      </c>
      <c r="X629">
        <f t="shared" si="548"/>
        <v>-76.283932959696557</v>
      </c>
      <c r="Y629">
        <f t="shared" si="549"/>
        <v>-177.97701483582466</v>
      </c>
      <c r="Z629">
        <f t="shared" si="510"/>
        <v>2.0229851641753385</v>
      </c>
      <c r="AC629">
        <v>1</v>
      </c>
      <c r="AD629">
        <f t="shared" si="550"/>
        <v>876.4792166087999</v>
      </c>
      <c r="AE629">
        <f t="shared" si="551"/>
        <v>-4.3781296569937833</v>
      </c>
      <c r="AF629">
        <f t="shared" si="552"/>
        <v>0.16150927813650001</v>
      </c>
      <c r="AG629">
        <f t="shared" si="553"/>
        <v>7.1470589123130299</v>
      </c>
      <c r="AH629">
        <f t="shared" si="554"/>
        <v>-199.93124207383798</v>
      </c>
      <c r="AJ629">
        <f t="shared" si="497"/>
        <v>18000</v>
      </c>
      <c r="AK629">
        <f t="shared" si="555"/>
        <v>791228.9584584001</v>
      </c>
      <c r="AL629">
        <v>4</v>
      </c>
      <c r="AM629">
        <f t="shared" si="556"/>
        <v>1362.6720951227999</v>
      </c>
      <c r="AN629">
        <f t="shared" si="557"/>
        <v>580.6789326152707</v>
      </c>
      <c r="AO629">
        <f t="shared" si="558"/>
        <v>-11.504810530464505</v>
      </c>
      <c r="AQ629">
        <f t="shared" si="559"/>
        <v>8.8999643209330341E-5</v>
      </c>
      <c r="AR629">
        <f t="shared" si="560"/>
        <v>-0.94339621801890161</v>
      </c>
      <c r="AT629">
        <f t="shared" si="561"/>
        <v>-188.61374155058704</v>
      </c>
      <c r="AU629">
        <f t="shared" si="562"/>
        <v>-6.7603021570453663</v>
      </c>
      <c r="AV629">
        <f t="shared" si="511"/>
        <v>-3.1057659452500275</v>
      </c>
      <c r="AW629">
        <f t="shared" si="512"/>
        <v>577.57650023595886</v>
      </c>
      <c r="AX629">
        <f t="shared" si="513"/>
        <v>-793.9394527290857</v>
      </c>
      <c r="AY629">
        <f t="shared" si="521"/>
        <v>-0.9418633107001646</v>
      </c>
      <c r="BA629">
        <f t="shared" si="502"/>
        <v>0.19223318206831816</v>
      </c>
      <c r="BB629">
        <f t="shared" si="514"/>
        <v>-14.323432900951156</v>
      </c>
      <c r="BC629">
        <f t="shared" si="515"/>
        <v>-2.1639026345498626</v>
      </c>
      <c r="BD629">
        <f t="shared" si="503"/>
        <v>-303.98248837861752</v>
      </c>
      <c r="BF629">
        <f t="shared" si="504"/>
        <v>-81.35006446758679</v>
      </c>
      <c r="BG629">
        <f t="shared" si="505"/>
        <v>-215.26799147775205</v>
      </c>
      <c r="BH629">
        <f t="shared" si="516"/>
        <v>-35.267991477752048</v>
      </c>
      <c r="BI629">
        <f t="shared" si="517"/>
        <v>-35.267991477752048</v>
      </c>
      <c r="BJ629">
        <f t="shared" si="506"/>
        <v>0</v>
      </c>
      <c r="BK629">
        <f t="shared" si="518"/>
        <v>0</v>
      </c>
      <c r="BM629">
        <f t="shared" si="519"/>
        <v>-67.026631566635629</v>
      </c>
      <c r="BN629">
        <f t="shared" si="507"/>
        <v>-91.28550309913453</v>
      </c>
      <c r="BQ629" s="56">
        <f t="shared" si="520"/>
        <v>2.5785278993339817</v>
      </c>
    </row>
    <row r="630" spans="1:69" x14ac:dyDescent="0.25">
      <c r="A630">
        <f t="shared" si="563"/>
        <v>5400000</v>
      </c>
      <c r="B630">
        <f t="shared" si="508"/>
        <v>5400</v>
      </c>
      <c r="C630">
        <f t="shared" si="539"/>
        <v>44.797707494586732</v>
      </c>
      <c r="D630">
        <f t="shared" si="540"/>
        <v>1.5484719016381585</v>
      </c>
      <c r="F630">
        <f t="shared" si="541"/>
        <v>6.5042818304650582E-7</v>
      </c>
      <c r="G630">
        <f t="shared" si="542"/>
        <v>3.035068600629411E-4</v>
      </c>
      <c r="H630">
        <f t="shared" si="481"/>
        <v>-3.1412891431399372</v>
      </c>
      <c r="J630">
        <f t="shared" si="482"/>
        <v>15</v>
      </c>
      <c r="M630">
        <f t="shared" si="543"/>
        <v>3.3760753314190402E-4</v>
      </c>
      <c r="N630">
        <f t="shared" si="484"/>
        <v>-1.5707963250000001</v>
      </c>
      <c r="O630">
        <f t="shared" si="544"/>
        <v>893.01712021825574</v>
      </c>
      <c r="P630">
        <f t="shared" si="486"/>
        <v>1.56967652720052</v>
      </c>
      <c r="Q630">
        <f t="shared" si="545"/>
        <v>1388.3832495015561</v>
      </c>
      <c r="R630">
        <f t="shared" si="488"/>
        <v>1.5700760645136986</v>
      </c>
      <c r="S630">
        <f t="shared" si="546"/>
        <v>2.2322570861931679E-2</v>
      </c>
      <c r="T630">
        <f t="shared" si="490"/>
        <v>-1.5484719016381585</v>
      </c>
      <c r="U630">
        <f t="shared" si="547"/>
        <v>3.6183159525707137E-2</v>
      </c>
      <c r="V630">
        <f t="shared" si="492"/>
        <v>-1.534605267321804</v>
      </c>
      <c r="X630">
        <f t="shared" si="548"/>
        <v>-76.608432483003895</v>
      </c>
      <c r="Y630">
        <f t="shared" si="549"/>
        <v>-178.01444304835448</v>
      </c>
      <c r="Z630">
        <f t="shared" si="510"/>
        <v>1.9855569516455205</v>
      </c>
      <c r="AC630">
        <v>1</v>
      </c>
      <c r="AD630">
        <f t="shared" si="550"/>
        <v>893.01656031840002</v>
      </c>
      <c r="AE630">
        <f t="shared" si="551"/>
        <v>-4.5449007048037995</v>
      </c>
      <c r="AF630">
        <f t="shared" si="552"/>
        <v>0.164556623007</v>
      </c>
      <c r="AG630">
        <f t="shared" si="553"/>
        <v>6.8851473567323991</v>
      </c>
      <c r="AH630">
        <f t="shared" si="554"/>
        <v>-196.2382946623633</v>
      </c>
      <c r="AJ630">
        <f t="shared" si="497"/>
        <v>18000</v>
      </c>
      <c r="AK630">
        <f t="shared" si="555"/>
        <v>806157.80673120008</v>
      </c>
      <c r="AL630">
        <v>5</v>
      </c>
      <c r="AM630">
        <f t="shared" si="556"/>
        <v>1388.3828893703999</v>
      </c>
      <c r="AN630">
        <f t="shared" si="557"/>
        <v>580.68432014901975</v>
      </c>
      <c r="AO630">
        <f t="shared" si="558"/>
        <v>-10.873497876440164</v>
      </c>
      <c r="AQ630">
        <f t="shared" si="559"/>
        <v>8.5733881295148485E-5</v>
      </c>
      <c r="AR630">
        <f t="shared" si="560"/>
        <v>-0.9259259179876036</v>
      </c>
      <c r="AT630">
        <f t="shared" si="561"/>
        <v>-181.7015328391644</v>
      </c>
      <c r="AU630">
        <f t="shared" si="562"/>
        <v>-6.3919606574225147</v>
      </c>
      <c r="AV630">
        <f t="shared" si="511"/>
        <v>-3.1064288011187493</v>
      </c>
      <c r="AW630">
        <f t="shared" si="512"/>
        <v>578.10789914669635</v>
      </c>
      <c r="AX630">
        <f t="shared" si="513"/>
        <v>-778.83322552631785</v>
      </c>
      <c r="AY630">
        <f t="shared" si="521"/>
        <v>-0.93225801936779507</v>
      </c>
      <c r="BA630">
        <f t="shared" si="502"/>
        <v>0.1874480024414274</v>
      </c>
      <c r="BB630">
        <f t="shared" si="514"/>
        <v>-14.542383666415725</v>
      </c>
      <c r="BC630">
        <f t="shared" si="515"/>
        <v>-2.1741707817509544</v>
      </c>
      <c r="BD630">
        <f t="shared" si="503"/>
        <v>-304.57080987733138</v>
      </c>
      <c r="BF630">
        <f t="shared" si="504"/>
        <v>-81.731455671636994</v>
      </c>
      <c r="BG630">
        <f t="shared" si="505"/>
        <v>-215.832515455335</v>
      </c>
      <c r="BH630">
        <f t="shared" si="516"/>
        <v>-35.832515455334999</v>
      </c>
      <c r="BI630">
        <f t="shared" si="517"/>
        <v>-35.832515455334999</v>
      </c>
      <c r="BJ630">
        <f t="shared" si="506"/>
        <v>0</v>
      </c>
      <c r="BK630">
        <f t="shared" si="518"/>
        <v>0</v>
      </c>
      <c r="BM630">
        <f t="shared" si="519"/>
        <v>-67.189072005221263</v>
      </c>
      <c r="BN630">
        <f t="shared" si="507"/>
        <v>-91.261705578003614</v>
      </c>
      <c r="BQ630" s="56">
        <f t="shared" si="520"/>
        <v>2.3595771338694105</v>
      </c>
    </row>
    <row r="631" spans="1:69" x14ac:dyDescent="0.25">
      <c r="A631">
        <f t="shared" si="563"/>
        <v>5500000</v>
      </c>
      <c r="B631">
        <f t="shared" si="508"/>
        <v>5500</v>
      </c>
      <c r="C631">
        <f t="shared" si="539"/>
        <v>45.626885045640364</v>
      </c>
      <c r="D631">
        <f t="shared" si="540"/>
        <v>1.5488776690836119</v>
      </c>
      <c r="F631">
        <f t="shared" si="541"/>
        <v>6.2699125295809635E-7</v>
      </c>
      <c r="G631">
        <f t="shared" si="542"/>
        <v>2.9798854682102407E-4</v>
      </c>
      <c r="H631">
        <f t="shared" si="481"/>
        <v>-3.1412946614531791</v>
      </c>
      <c r="J631">
        <f t="shared" si="482"/>
        <v>15</v>
      </c>
      <c r="M631">
        <f t="shared" si="543"/>
        <v>3.3146921435750574E-4</v>
      </c>
      <c r="N631">
        <f t="shared" si="484"/>
        <v>-1.5707963250000001</v>
      </c>
      <c r="O631">
        <f t="shared" si="544"/>
        <v>909.55445374786461</v>
      </c>
      <c r="P631">
        <f t="shared" si="486"/>
        <v>1.569696887176586</v>
      </c>
      <c r="Q631">
        <f t="shared" si="545"/>
        <v>1414.0940372013185</v>
      </c>
      <c r="R631">
        <f t="shared" si="488"/>
        <v>1.5700891601871323</v>
      </c>
      <c r="S631">
        <f t="shared" si="546"/>
        <v>2.1916902698917641E-2</v>
      </c>
      <c r="T631">
        <f t="shared" si="490"/>
        <v>-1.5488776690836119</v>
      </c>
      <c r="U631">
        <f t="shared" si="547"/>
        <v>3.5526121884464086E-2</v>
      </c>
      <c r="V631">
        <f t="shared" si="492"/>
        <v>-1.5352627277116642</v>
      </c>
      <c r="X631">
        <f t="shared" si="548"/>
        <v>-76.926985253336241</v>
      </c>
      <c r="Y631">
        <f t="shared" si="549"/>
        <v>-178.05051206247327</v>
      </c>
      <c r="Z631">
        <f t="shared" si="510"/>
        <v>1.949487937526726</v>
      </c>
      <c r="AC631">
        <v>1</v>
      </c>
      <c r="AD631">
        <f t="shared" si="550"/>
        <v>909.55390402800003</v>
      </c>
      <c r="AE631">
        <f t="shared" si="551"/>
        <v>-4.7147889684607325</v>
      </c>
      <c r="AF631">
        <f t="shared" si="552"/>
        <v>0.16760396787749998</v>
      </c>
      <c r="AG631">
        <f t="shared" si="553"/>
        <v>6.6373675631023294</v>
      </c>
      <c r="AH631">
        <f t="shared" si="554"/>
        <v>-192.67913388385386</v>
      </c>
      <c r="AJ631">
        <f t="shared" si="497"/>
        <v>18000</v>
      </c>
      <c r="AK631">
        <f t="shared" si="555"/>
        <v>821086.65500400006</v>
      </c>
      <c r="AL631">
        <v>6</v>
      </c>
      <c r="AM631">
        <f t="shared" si="556"/>
        <v>1414.0936836179999</v>
      </c>
      <c r="AN631">
        <f t="shared" si="557"/>
        <v>580.68871627717488</v>
      </c>
      <c r="AO631">
        <f t="shared" si="558"/>
        <v>-10.265138632963611</v>
      </c>
      <c r="AQ631">
        <f t="shared" si="559"/>
        <v>8.26446274161601E-5</v>
      </c>
      <c r="AR631">
        <f t="shared" si="560"/>
        <v>-0.90909090157776118</v>
      </c>
      <c r="AT631">
        <f t="shared" si="561"/>
        <v>-175.16229899492558</v>
      </c>
      <c r="AU631">
        <f t="shared" si="562"/>
        <v>-6.0498943572743835</v>
      </c>
      <c r="AV631">
        <f t="shared" si="511"/>
        <v>-3.1070675850342124</v>
      </c>
      <c r="AW631">
        <f t="shared" si="512"/>
        <v>578.60243437233692</v>
      </c>
      <c r="AX631">
        <f t="shared" si="513"/>
        <v>-764.27487652990862</v>
      </c>
      <c r="AY631">
        <f t="shared" si="521"/>
        <v>-0.92279169585296927</v>
      </c>
      <c r="BA631">
        <f t="shared" si="502"/>
        <v>0.18283786385035752</v>
      </c>
      <c r="BB631">
        <f t="shared" si="514"/>
        <v>-14.758677226917058</v>
      </c>
      <c r="BC631">
        <f t="shared" si="515"/>
        <v>-2.1842758891812433</v>
      </c>
      <c r="BD631">
        <f t="shared" si="503"/>
        <v>-305.1497898852748</v>
      </c>
      <c r="BF631">
        <f t="shared" si="504"/>
        <v>-82.1072059949324</v>
      </c>
      <c r="BG631">
        <f t="shared" si="505"/>
        <v>-216.38856287722274</v>
      </c>
      <c r="BH631">
        <f t="shared" si="516"/>
        <v>-36.388562877222739</v>
      </c>
      <c r="BI631">
        <f t="shared" si="517"/>
        <v>-36.388562877222739</v>
      </c>
      <c r="BJ631">
        <f t="shared" si="506"/>
        <v>0</v>
      </c>
      <c r="BK631">
        <f t="shared" si="518"/>
        <v>0</v>
      </c>
      <c r="BM631">
        <f t="shared" si="519"/>
        <v>-67.348528768015328</v>
      </c>
      <c r="BN631">
        <f t="shared" si="507"/>
        <v>-91.238772991947911</v>
      </c>
      <c r="BQ631" s="56">
        <f t="shared" si="520"/>
        <v>2.1432835733680773</v>
      </c>
    </row>
    <row r="632" spans="1:69" x14ac:dyDescent="0.25">
      <c r="A632">
        <f t="shared" si="563"/>
        <v>5600000</v>
      </c>
      <c r="B632">
        <f t="shared" si="508"/>
        <v>5600</v>
      </c>
      <c r="C632">
        <f t="shared" si="539"/>
        <v>46.456069840862988</v>
      </c>
      <c r="D632">
        <f t="shared" si="540"/>
        <v>1.5492689516729385</v>
      </c>
      <c r="F632">
        <f t="shared" si="541"/>
        <v>6.0479862909427532E-7</v>
      </c>
      <c r="G632">
        <f t="shared" si="542"/>
        <v>2.9266731654400806E-4</v>
      </c>
      <c r="H632">
        <f t="shared" si="481"/>
        <v>-3.141299982683456</v>
      </c>
      <c r="J632">
        <f t="shared" si="482"/>
        <v>15</v>
      </c>
      <c r="M632">
        <f t="shared" si="543"/>
        <v>3.2555012124397886E-4</v>
      </c>
      <c r="N632">
        <f t="shared" si="484"/>
        <v>-1.5707963250000001</v>
      </c>
      <c r="O632">
        <f t="shared" si="544"/>
        <v>926.09178764104422</v>
      </c>
      <c r="P632">
        <f t="shared" si="486"/>
        <v>1.5697165200115133</v>
      </c>
      <c r="Q632">
        <f t="shared" si="545"/>
        <v>1439.8048251349321</v>
      </c>
      <c r="R632">
        <f t="shared" si="488"/>
        <v>1.5701017881581729</v>
      </c>
      <c r="S632">
        <f t="shared" si="546"/>
        <v>2.1525712429517556E-2</v>
      </c>
      <c r="T632">
        <f t="shared" si="490"/>
        <v>-1.5492689516729385</v>
      </c>
      <c r="U632">
        <f t="shared" si="547"/>
        <v>3.489250623133363E-2</v>
      </c>
      <c r="V632">
        <f t="shared" si="492"/>
        <v>-1.535896736486325</v>
      </c>
      <c r="X632">
        <f t="shared" si="548"/>
        <v>-77.239805181196047</v>
      </c>
      <c r="Y632">
        <f t="shared" si="549"/>
        <v>-178.08529456548638</v>
      </c>
      <c r="Z632">
        <f t="shared" si="510"/>
        <v>1.9147054345136212</v>
      </c>
      <c r="AC632">
        <v>1</v>
      </c>
      <c r="AD632">
        <f t="shared" si="550"/>
        <v>926.09124773760004</v>
      </c>
      <c r="AE632">
        <f t="shared" si="551"/>
        <v>-4.8877944479645787</v>
      </c>
      <c r="AF632">
        <f t="shared" si="552"/>
        <v>0.17065131274799999</v>
      </c>
      <c r="AG632">
        <f t="shared" si="553"/>
        <v>6.4027212561371787</v>
      </c>
      <c r="AH632">
        <f t="shared" si="554"/>
        <v>-189.24662745080809</v>
      </c>
      <c r="AJ632">
        <f t="shared" si="497"/>
        <v>18000</v>
      </c>
      <c r="AK632">
        <f t="shared" si="555"/>
        <v>836015.50327680004</v>
      </c>
      <c r="AL632">
        <v>7</v>
      </c>
      <c r="AM632">
        <f t="shared" si="556"/>
        <v>1439.8044778655999</v>
      </c>
      <c r="AN632">
        <f t="shared" si="557"/>
        <v>580.69221596638522</v>
      </c>
      <c r="AO632">
        <f t="shared" si="558"/>
        <v>-9.6785047570438909</v>
      </c>
      <c r="AQ632">
        <f t="shared" si="559"/>
        <v>7.9719387119583961E-5</v>
      </c>
      <c r="AR632">
        <f t="shared" si="560"/>
        <v>-0.89285713573934045</v>
      </c>
      <c r="AT632">
        <f t="shared" si="561"/>
        <v>-168.96969131304411</v>
      </c>
      <c r="AU632">
        <f t="shared" si="562"/>
        <v>-5.7318019868468602</v>
      </c>
      <c r="AV632">
        <f t="shared" si="511"/>
        <v>-3.1076835843505566</v>
      </c>
      <c r="AW632">
        <f t="shared" si="512"/>
        <v>579.06300343702185</v>
      </c>
      <c r="AX632">
        <f t="shared" si="513"/>
        <v>-750.23517945056142</v>
      </c>
      <c r="AY632">
        <f t="shared" si="521"/>
        <v>-0.91346227160239957</v>
      </c>
      <c r="BA632">
        <f t="shared" si="502"/>
        <v>0.17839391818226319</v>
      </c>
      <c r="BB632">
        <f t="shared" si="514"/>
        <v>-14.972399114097714</v>
      </c>
      <c r="BC632">
        <f t="shared" si="515"/>
        <v>-2.1942213127481569</v>
      </c>
      <c r="BD632">
        <f t="shared" si="503"/>
        <v>-305.71962068178004</v>
      </c>
      <c r="BF632">
        <f t="shared" si="504"/>
        <v>-82.477508652870654</v>
      </c>
      <c r="BG632">
        <f t="shared" si="505"/>
        <v>-216.93627971677398</v>
      </c>
      <c r="BH632">
        <f t="shared" si="516"/>
        <v>-36.936279716773981</v>
      </c>
      <c r="BI632">
        <f t="shared" si="517"/>
        <v>-36.936279716773981</v>
      </c>
      <c r="BJ632">
        <f t="shared" si="506"/>
        <v>0</v>
      </c>
      <c r="BK632">
        <f t="shared" si="518"/>
        <v>0</v>
      </c>
      <c r="BM632">
        <f t="shared" si="519"/>
        <v>-67.505109538772942</v>
      </c>
      <c r="BN632">
        <f t="shared" si="507"/>
        <v>-91.216659034993953</v>
      </c>
      <c r="BQ632" s="56">
        <f t="shared" si="520"/>
        <v>1.9295616861874223</v>
      </c>
    </row>
    <row r="633" spans="1:69" x14ac:dyDescent="0.25">
      <c r="A633">
        <f t="shared" si="563"/>
        <v>5700000</v>
      </c>
      <c r="B633">
        <f t="shared" si="508"/>
        <v>5700</v>
      </c>
      <c r="C633">
        <f t="shared" si="539"/>
        <v>47.285261499157777</v>
      </c>
      <c r="D633">
        <f t="shared" si="540"/>
        <v>1.5496465112998954</v>
      </c>
      <c r="F633">
        <f t="shared" si="541"/>
        <v>5.8376376224510123E-7</v>
      </c>
      <c r="G633">
        <f t="shared" si="542"/>
        <v>2.8753279642040918E-4</v>
      </c>
      <c r="H633">
        <f t="shared" si="481"/>
        <v>-3.1413051172035797</v>
      </c>
      <c r="J633">
        <f t="shared" si="482"/>
        <v>15</v>
      </c>
      <c r="M633">
        <f t="shared" si="543"/>
        <v>3.1983871560811955E-4</v>
      </c>
      <c r="N633">
        <f t="shared" si="484"/>
        <v>-1.5707963250000001</v>
      </c>
      <c r="O633">
        <f t="shared" si="544"/>
        <v>942.62912187865925</v>
      </c>
      <c r="P633">
        <f t="shared" si="486"/>
        <v>1.5697354639758287</v>
      </c>
      <c r="Q633">
        <f t="shared" si="545"/>
        <v>1465.5156132900893</v>
      </c>
      <c r="R633">
        <f t="shared" si="488"/>
        <v>1.5701139730427205</v>
      </c>
      <c r="S633">
        <f t="shared" si="546"/>
        <v>2.1148238759720338E-2</v>
      </c>
      <c r="T633">
        <f t="shared" si="490"/>
        <v>-1.5496465112998954</v>
      </c>
      <c r="U633">
        <f t="shared" si="547"/>
        <v>3.4281082807946749E-2</v>
      </c>
      <c r="V633">
        <f t="shared" si="492"/>
        <v>-1.5365085259542417</v>
      </c>
      <c r="X633">
        <f t="shared" si="548"/>
        <v>-77.54709484562342</v>
      </c>
      <c r="Y633">
        <f t="shared" si="549"/>
        <v>-178.11885815465888</v>
      </c>
      <c r="Z633">
        <f t="shared" si="510"/>
        <v>1.8811418453411193</v>
      </c>
      <c r="AC633">
        <v>1</v>
      </c>
      <c r="AD633">
        <f t="shared" si="550"/>
        <v>942.62859144720005</v>
      </c>
      <c r="AE633">
        <f t="shared" si="551"/>
        <v>-5.0639171433153436</v>
      </c>
      <c r="AF633">
        <f t="shared" si="552"/>
        <v>0.17369865761849998</v>
      </c>
      <c r="AG633">
        <f t="shared" si="553"/>
        <v>6.1802967435938303</v>
      </c>
      <c r="AH633">
        <f t="shared" si="554"/>
        <v>-185.93414061722152</v>
      </c>
      <c r="AJ633">
        <f t="shared" si="497"/>
        <v>18000</v>
      </c>
      <c r="AK633">
        <f t="shared" si="555"/>
        <v>850944.35154960002</v>
      </c>
      <c r="AL633">
        <v>8</v>
      </c>
      <c r="AM633">
        <f t="shared" si="556"/>
        <v>1465.5152721131999</v>
      </c>
      <c r="AN633">
        <f t="shared" si="557"/>
        <v>580.69490463643695</v>
      </c>
      <c r="AO633">
        <f t="shared" si="558"/>
        <v>-9.1124541770568293</v>
      </c>
      <c r="AQ633">
        <f t="shared" si="559"/>
        <v>7.694675225494958E-5</v>
      </c>
      <c r="AR633">
        <f t="shared" si="560"/>
        <v>-0.87719297570642529</v>
      </c>
      <c r="AT633">
        <f t="shared" si="561"/>
        <v>-163.09964653967506</v>
      </c>
      <c r="AU633">
        <f t="shared" si="562"/>
        <v>-5.435619919515613</v>
      </c>
      <c r="AV633">
        <f t="shared" si="511"/>
        <v>-3.1082779962701856</v>
      </c>
      <c r="AW633">
        <f t="shared" si="512"/>
        <v>579.49223699885135</v>
      </c>
      <c r="AX633">
        <f t="shared" si="513"/>
        <v>-736.68694710880675</v>
      </c>
      <c r="AY633">
        <f t="shared" si="521"/>
        <v>-0.9042677125588825</v>
      </c>
      <c r="BA633">
        <f t="shared" si="502"/>
        <v>0.17410791376878165</v>
      </c>
      <c r="BB633">
        <f t="shared" si="514"/>
        <v>-15.183629766854699</v>
      </c>
      <c r="BC633">
        <f t="shared" si="515"/>
        <v>-2.2040102837113031</v>
      </c>
      <c r="BD633">
        <f t="shared" si="503"/>
        <v>-306.28048740438533</v>
      </c>
      <c r="BF633">
        <f t="shared" si="504"/>
        <v>-82.842546039090564</v>
      </c>
      <c r="BG633">
        <f t="shared" si="505"/>
        <v>-217.47580805254864</v>
      </c>
      <c r="BH633">
        <f t="shared" si="516"/>
        <v>-37.475808052548643</v>
      </c>
      <c r="BI633">
        <f t="shared" si="517"/>
        <v>-37.475808052548643</v>
      </c>
      <c r="BJ633">
        <f t="shared" si="506"/>
        <v>0</v>
      </c>
      <c r="BK633">
        <f t="shared" si="518"/>
        <v>0</v>
      </c>
      <c r="BM633">
        <f t="shared" si="519"/>
        <v>-67.658916272235871</v>
      </c>
      <c r="BN633">
        <f t="shared" si="507"/>
        <v>-91.195320648163332</v>
      </c>
      <c r="BQ633" s="56">
        <f t="shared" si="520"/>
        <v>1.7183310334304376</v>
      </c>
    </row>
    <row r="634" spans="1:69" x14ac:dyDescent="0.25">
      <c r="A634">
        <f t="shared" si="563"/>
        <v>5800000</v>
      </c>
      <c r="B634">
        <f t="shared" si="508"/>
        <v>5800</v>
      </c>
      <c r="C634">
        <f t="shared" si="539"/>
        <v>48.114459665695698</v>
      </c>
      <c r="D634">
        <f t="shared" si="540"/>
        <v>1.5500110573530492</v>
      </c>
      <c r="F634">
        <f t="shared" si="541"/>
        <v>5.6380749944765882E-7</v>
      </c>
      <c r="G634">
        <f t="shared" si="542"/>
        <v>2.825753290070567E-4</v>
      </c>
      <c r="H634">
        <f t="shared" si="481"/>
        <v>-3.1413100746709932</v>
      </c>
      <c r="J634">
        <f t="shared" si="482"/>
        <v>15</v>
      </c>
      <c r="M634">
        <f t="shared" si="543"/>
        <v>3.1432425499418651E-4</v>
      </c>
      <c r="N634">
        <f t="shared" si="484"/>
        <v>-1.5707963250000001</v>
      </c>
      <c r="O634">
        <f t="shared" si="544"/>
        <v>959.1664564428944</v>
      </c>
      <c r="P634">
        <f t="shared" si="486"/>
        <v>1.5697537547007181</v>
      </c>
      <c r="Q634">
        <f t="shared" si="545"/>
        <v>1491.2264016553304</v>
      </c>
      <c r="R634">
        <f t="shared" si="488"/>
        <v>1.5701257377590276</v>
      </c>
      <c r="S634">
        <f t="shared" si="546"/>
        <v>2.0783772839768025E-2</v>
      </c>
      <c r="T634">
        <f t="shared" si="490"/>
        <v>-1.5500110573530492</v>
      </c>
      <c r="U634">
        <f t="shared" si="547"/>
        <v>3.3690706417203439E-2</v>
      </c>
      <c r="V634">
        <f t="shared" si="492"/>
        <v>-1.5370992436037285</v>
      </c>
      <c r="X634">
        <f t="shared" si="548"/>
        <v>-77.849046280222296</v>
      </c>
      <c r="Y634">
        <f t="shared" si="549"/>
        <v>-178.1512657749233</v>
      </c>
      <c r="Z634">
        <f t="shared" si="510"/>
        <v>1.8487342250766972</v>
      </c>
      <c r="AC634">
        <v>1</v>
      </c>
      <c r="AD634">
        <f t="shared" si="550"/>
        <v>959.16593515680006</v>
      </c>
      <c r="AE634">
        <f t="shared" si="551"/>
        <v>-5.2431570545130244</v>
      </c>
      <c r="AF634">
        <f t="shared" si="552"/>
        <v>0.17674600248899999</v>
      </c>
      <c r="AG634">
        <f t="shared" si="553"/>
        <v>5.9692600619624825</v>
      </c>
      <c r="AH634">
        <f t="shared" si="554"/>
        <v>-182.73549358555667</v>
      </c>
      <c r="AJ634">
        <f t="shared" si="497"/>
        <v>18000</v>
      </c>
      <c r="AK634">
        <f t="shared" si="555"/>
        <v>865873.19982240011</v>
      </c>
      <c r="AL634">
        <v>9</v>
      </c>
      <c r="AM634">
        <f t="shared" si="556"/>
        <v>1491.2260663607999</v>
      </c>
      <c r="AN634">
        <f t="shared" si="557"/>
        <v>580.69685922694146</v>
      </c>
      <c r="AO634">
        <f t="shared" si="558"/>
        <v>-8.5659234069926349</v>
      </c>
      <c r="AQ634">
        <f t="shared" si="559"/>
        <v>7.4316289578505582E-5</v>
      </c>
      <c r="AR634">
        <f t="shared" si="560"/>
        <v>-0.86206895911066472</v>
      </c>
      <c r="AT634">
        <f t="shared" si="561"/>
        <v>-157.53015313461506</v>
      </c>
      <c r="AU634">
        <f t="shared" si="562"/>
        <v>-5.1594940321344342</v>
      </c>
      <c r="AV634">
        <f t="shared" si="511"/>
        <v>-3.1088519355964652</v>
      </c>
      <c r="AW634">
        <f t="shared" si="512"/>
        <v>579.89252722531512</v>
      </c>
      <c r="AX634">
        <f t="shared" si="513"/>
        <v>-723.60485692705163</v>
      </c>
      <c r="AY634">
        <f t="shared" si="521"/>
        <v>-0.8952060158082823</v>
      </c>
      <c r="BA634">
        <f t="shared" si="502"/>
        <v>0.1699721443828387</v>
      </c>
      <c r="BB634">
        <f t="shared" si="514"/>
        <v>-15.392444929147723</v>
      </c>
      <c r="BC634">
        <f t="shared" si="515"/>
        <v>-2.213645919788183</v>
      </c>
      <c r="BD634">
        <f t="shared" si="503"/>
        <v>-306.83256868514536</v>
      </c>
      <c r="BF634">
        <f t="shared" si="504"/>
        <v>-83.202490522776202</v>
      </c>
      <c r="BG634">
        <f t="shared" si="505"/>
        <v>-218.00728642496117</v>
      </c>
      <c r="BH634">
        <f t="shared" si="516"/>
        <v>-38.007286424961165</v>
      </c>
      <c r="BI634">
        <f t="shared" si="517"/>
        <v>-38.007286424961165</v>
      </c>
      <c r="BJ634">
        <f t="shared" si="506"/>
        <v>0</v>
      </c>
      <c r="BK634">
        <f t="shared" si="518"/>
        <v>0</v>
      </c>
      <c r="BM634">
        <f t="shared" si="519"/>
        <v>-67.810045593628473</v>
      </c>
      <c r="BN634">
        <f t="shared" si="507"/>
        <v>-91.17471773981579</v>
      </c>
      <c r="BQ634" s="56">
        <f t="shared" si="520"/>
        <v>1.5095158711374126</v>
      </c>
    </row>
    <row r="635" spans="1:69" x14ac:dyDescent="0.25">
      <c r="A635">
        <f t="shared" si="563"/>
        <v>5900000</v>
      </c>
      <c r="B635">
        <f t="shared" si="508"/>
        <v>5900</v>
      </c>
      <c r="C635">
        <f t="shared" si="539"/>
        <v>48.943664009690934</v>
      </c>
      <c r="D635">
        <f t="shared" si="540"/>
        <v>1.550363251161486</v>
      </c>
      <c r="F635">
        <f t="shared" si="541"/>
        <v>5.4485733827458595E-7</v>
      </c>
      <c r="G635">
        <f t="shared" si="542"/>
        <v>2.7778591160446082E-4</v>
      </c>
      <c r="H635">
        <f t="shared" si="481"/>
        <v>-3.1413148640883959</v>
      </c>
      <c r="J635">
        <f t="shared" si="482"/>
        <v>15</v>
      </c>
      <c r="M635">
        <f t="shared" si="543"/>
        <v>3.0899672524852228E-4</v>
      </c>
      <c r="N635">
        <f t="shared" si="484"/>
        <v>-1.5707963250000001</v>
      </c>
      <c r="O635">
        <f t="shared" si="544"/>
        <v>975.70379131714151</v>
      </c>
      <c r="P635">
        <f t="shared" si="486"/>
        <v>1.5697714254016977</v>
      </c>
      <c r="Q635">
        <f t="shared" si="545"/>
        <v>1516.9371902199737</v>
      </c>
      <c r="R635">
        <f t="shared" si="488"/>
        <v>1.5701371036715686</v>
      </c>
      <c r="S635">
        <f t="shared" si="546"/>
        <v>2.0431653825549276E-2</v>
      </c>
      <c r="T635">
        <f t="shared" si="490"/>
        <v>-1.550363251161486</v>
      </c>
      <c r="U635">
        <f t="shared" si="547"/>
        <v>3.3120309281758298E-2</v>
      </c>
      <c r="V635">
        <f t="shared" si="492"/>
        <v>-1.5376699592746146</v>
      </c>
      <c r="X635">
        <f t="shared" si="548"/>
        <v>-78.14584169222924</v>
      </c>
      <c r="Y635">
        <f t="shared" si="549"/>
        <v>-178.18257611220025</v>
      </c>
      <c r="Z635">
        <f t="shared" si="510"/>
        <v>1.8174238877997482</v>
      </c>
      <c r="AC635">
        <v>1</v>
      </c>
      <c r="AD635">
        <f t="shared" si="550"/>
        <v>975.70327886639996</v>
      </c>
      <c r="AE635">
        <f t="shared" si="551"/>
        <v>-5.4255141815576211</v>
      </c>
      <c r="AF635">
        <f t="shared" si="552"/>
        <v>0.17979334735950001</v>
      </c>
      <c r="AG635">
        <f t="shared" si="553"/>
        <v>5.7688471604407789</v>
      </c>
      <c r="AH635">
        <f t="shared" si="554"/>
        <v>-179.64492321079882</v>
      </c>
      <c r="AJ635">
        <f t="shared" si="497"/>
        <v>18000</v>
      </c>
      <c r="AK635">
        <f t="shared" si="555"/>
        <v>880802.04809520009</v>
      </c>
      <c r="AL635">
        <v>10</v>
      </c>
      <c r="AM635">
        <f t="shared" si="556"/>
        <v>1516.9368606083999</v>
      </c>
      <c r="AN635">
        <f t="shared" si="557"/>
        <v>580.69814913126163</v>
      </c>
      <c r="AO635">
        <f t="shared" si="558"/>
        <v>-8.0379209084530476</v>
      </c>
      <c r="AQ635">
        <f t="shared" si="559"/>
        <v>7.1818442460367399E-5</v>
      </c>
      <c r="AR635">
        <f t="shared" si="560"/>
        <v>-0.84745762103233535</v>
      </c>
      <c r="AT635">
        <f t="shared" si="561"/>
        <v>-152.24104494514228</v>
      </c>
      <c r="AU635">
        <f t="shared" si="562"/>
        <v>-4.9017553092671973</v>
      </c>
      <c r="AV635">
        <f t="shared" si="511"/>
        <v>-3.1094064417002012</v>
      </c>
      <c r="AW635">
        <f t="shared" si="512"/>
        <v>580.26605274806104</v>
      </c>
      <c r="AX635">
        <f t="shared" si="513"/>
        <v>-710.96529401379871</v>
      </c>
      <c r="AY635">
        <f t="shared" si="521"/>
        <v>-0.88627520681606065</v>
      </c>
      <c r="BA635">
        <f t="shared" si="502"/>
        <v>0.16597940346831466</v>
      </c>
      <c r="BB635">
        <f t="shared" si="514"/>
        <v>-15.598916012093881</v>
      </c>
      <c r="BC635">
        <f t="shared" si="515"/>
        <v>-2.2231312348841406</v>
      </c>
      <c r="BD635">
        <f t="shared" si="503"/>
        <v>-307.37603720811649</v>
      </c>
      <c r="BF635">
        <f t="shared" si="504"/>
        <v>-83.557505176007055</v>
      </c>
      <c r="BG635">
        <f t="shared" si="505"/>
        <v>-218.53085014251897</v>
      </c>
      <c r="BH635">
        <f t="shared" si="516"/>
        <v>-38.530850142518972</v>
      </c>
      <c r="BI635">
        <f t="shared" si="517"/>
        <v>-38.530850142518972</v>
      </c>
      <c r="BJ635">
        <f t="shared" si="506"/>
        <v>0</v>
      </c>
      <c r="BK635">
        <f t="shared" si="518"/>
        <v>0</v>
      </c>
      <c r="BM635">
        <f t="shared" si="519"/>
        <v>-67.958589163913189</v>
      </c>
      <c r="BN635">
        <f t="shared" si="507"/>
        <v>-91.154812934402486</v>
      </c>
      <c r="BQ635" s="56">
        <f t="shared" si="520"/>
        <v>1.3030447881912564</v>
      </c>
    </row>
    <row r="636" spans="1:69" x14ac:dyDescent="0.25">
      <c r="A636">
        <f t="shared" si="563"/>
        <v>6000000</v>
      </c>
      <c r="B636">
        <f t="shared" si="508"/>
        <v>6000</v>
      </c>
      <c r="C636">
        <f t="shared" si="539"/>
        <v>49.772874222398556</v>
      </c>
      <c r="D636">
        <f t="shared" si="540"/>
        <v>1.5507037099963903</v>
      </c>
      <c r="F636">
        <f t="shared" si="541"/>
        <v>5.2684676738669596E-7</v>
      </c>
      <c r="G636">
        <f t="shared" si="542"/>
        <v>2.731561416946664E-4</v>
      </c>
      <c r="H636">
        <f t="shared" si="481"/>
        <v>-3.1413194938583056</v>
      </c>
      <c r="J636">
        <f t="shared" si="482"/>
        <v>15</v>
      </c>
      <c r="M636">
        <f t="shared" si="543"/>
        <v>3.0384677982771361E-4</v>
      </c>
      <c r="N636">
        <f t="shared" si="484"/>
        <v>-1.5707963250000001</v>
      </c>
      <c r="O636">
        <f t="shared" si="544"/>
        <v>992.24112648590017</v>
      </c>
      <c r="P636">
        <f t="shared" si="486"/>
        <v>1.5697885070799196</v>
      </c>
      <c r="Q636">
        <f t="shared" si="545"/>
        <v>1542.6479789740486</v>
      </c>
      <c r="R636">
        <f t="shared" si="488"/>
        <v>1.5701480907205201</v>
      </c>
      <c r="S636">
        <f t="shared" si="546"/>
        <v>2.0091264883191837E-2</v>
      </c>
      <c r="T636">
        <f t="shared" si="490"/>
        <v>-1.5507037099963903</v>
      </c>
      <c r="U636">
        <f t="shared" si="547"/>
        <v>3.2568894613854774E-2</v>
      </c>
      <c r="V636">
        <f t="shared" si="492"/>
        <v>-1.5382216716146087</v>
      </c>
      <c r="X636">
        <f t="shared" si="548"/>
        <v>-78.437654121350946</v>
      </c>
      <c r="Y636">
        <f t="shared" si="549"/>
        <v>-178.21284394749441</v>
      </c>
      <c r="Z636">
        <f t="shared" si="510"/>
        <v>1.7871560525055941</v>
      </c>
      <c r="AC636">
        <v>1</v>
      </c>
      <c r="AD636">
        <f t="shared" si="550"/>
        <v>992.24062257599996</v>
      </c>
      <c r="AE636">
        <f t="shared" si="551"/>
        <v>-5.6109885244491347</v>
      </c>
      <c r="AF636">
        <f t="shared" si="552"/>
        <v>0.18284069222999999</v>
      </c>
      <c r="AG636">
        <f t="shared" si="553"/>
        <v>5.5783569863897924</v>
      </c>
      <c r="AH636">
        <f t="shared" si="554"/>
        <v>-176.65704850473145</v>
      </c>
      <c r="AJ636">
        <f t="shared" si="497"/>
        <v>18000</v>
      </c>
      <c r="AK636">
        <f t="shared" si="555"/>
        <v>895730.89636800007</v>
      </c>
      <c r="AL636">
        <v>11</v>
      </c>
      <c r="AM636">
        <f t="shared" si="556"/>
        <v>1542.6476548559999</v>
      </c>
      <c r="AN636">
        <f t="shared" si="557"/>
        <v>580.69883701594244</v>
      </c>
      <c r="AO636">
        <f t="shared" si="558"/>
        <v>-7.5275211136327789</v>
      </c>
      <c r="AQ636">
        <f t="shared" si="559"/>
        <v>6.9444443962191359E-5</v>
      </c>
      <c r="AR636">
        <f t="shared" si="560"/>
        <v>-0.8333333275462963</v>
      </c>
      <c r="AT636">
        <f t="shared" si="561"/>
        <v>-147.2138186790562</v>
      </c>
      <c r="AU636">
        <f t="shared" si="562"/>
        <v>-4.6608986402147483</v>
      </c>
      <c r="AV636">
        <f t="shared" si="511"/>
        <v>-3.1099424847913419</v>
      </c>
      <c r="AW636">
        <f t="shared" si="512"/>
        <v>580.61480065720252</v>
      </c>
      <c r="AX636">
        <f t="shared" si="513"/>
        <v>-698.74620980832617</v>
      </c>
      <c r="AY636">
        <f t="shared" si="521"/>
        <v>-0.87747333716613207</v>
      </c>
      <c r="BA636">
        <f t="shared" si="502"/>
        <v>0.16212294298545532</v>
      </c>
      <c r="BB636">
        <f t="shared" si="514"/>
        <v>-15.803110423953211</v>
      </c>
      <c r="BC636">
        <f t="shared" si="515"/>
        <v>-2.2324691476252099</v>
      </c>
      <c r="BD636">
        <f t="shared" si="503"/>
        <v>-307.91106019825253</v>
      </c>
      <c r="BF636">
        <f t="shared" si="504"/>
        <v>-83.907744438222451</v>
      </c>
      <c r="BG636">
        <f t="shared" si="505"/>
        <v>-219.04663154457103</v>
      </c>
      <c r="BH636">
        <f t="shared" si="516"/>
        <v>-39.046631544571028</v>
      </c>
      <c r="BI636">
        <f t="shared" si="517"/>
        <v>-39.046631544571028</v>
      </c>
      <c r="BJ636">
        <f t="shared" si="506"/>
        <v>0</v>
      </c>
      <c r="BK636">
        <f t="shared" si="518"/>
        <v>0</v>
      </c>
      <c r="BM636">
        <f t="shared" si="519"/>
        <v>-68.104634014269237</v>
      </c>
      <c r="BN636">
        <f t="shared" si="507"/>
        <v>-91.135571346318471</v>
      </c>
      <c r="BQ636" s="56">
        <f t="shared" si="520"/>
        <v>1.0988503763319266</v>
      </c>
    </row>
    <row r="637" spans="1:69" x14ac:dyDescent="0.25">
      <c r="A637">
        <f t="shared" si="563"/>
        <v>6100000</v>
      </c>
      <c r="B637">
        <f t="shared" si="508"/>
        <v>6100</v>
      </c>
      <c r="C637">
        <f t="shared" si="539"/>
        <v>50.602090015308946</v>
      </c>
      <c r="D637">
        <f t="shared" si="540"/>
        <v>1.5510330106794032</v>
      </c>
      <c r="F637">
        <f t="shared" si="541"/>
        <v>5.0971468213070964E-7</v>
      </c>
      <c r="G637">
        <f t="shared" si="542"/>
        <v>2.6867816774589514E-4</v>
      </c>
      <c r="H637">
        <f t="shared" si="481"/>
        <v>-3.1413239718322541</v>
      </c>
      <c r="J637">
        <f t="shared" si="482"/>
        <v>15</v>
      </c>
      <c r="M637">
        <f t="shared" si="543"/>
        <v>2.9886568507643958E-4</v>
      </c>
      <c r="N637">
        <f t="shared" si="484"/>
        <v>-1.5707963250000001</v>
      </c>
      <c r="O637">
        <f t="shared" si="544"/>
        <v>1008.7784619346863</v>
      </c>
      <c r="P637">
        <f t="shared" si="486"/>
        <v>1.5698050287036776</v>
      </c>
      <c r="Q637">
        <f t="shared" si="545"/>
        <v>1568.3587679082389</v>
      </c>
      <c r="R637">
        <f t="shared" si="488"/>
        <v>1.5701587175385072</v>
      </c>
      <c r="S637">
        <f t="shared" si="546"/>
        <v>1.9762029586079633E-2</v>
      </c>
      <c r="T637">
        <f t="shared" si="490"/>
        <v>-1.5510330106794032</v>
      </c>
      <c r="U637">
        <f t="shared" si="547"/>
        <v>3.2035530815235413E-2</v>
      </c>
      <c r="V637">
        <f t="shared" si="492"/>
        <v>-1.5387553139022123</v>
      </c>
      <c r="X637">
        <f t="shared" si="548"/>
        <v>-78.724648044322166</v>
      </c>
      <c r="Y637">
        <f t="shared" si="549"/>
        <v>-178.24212047625292</v>
      </c>
      <c r="Z637">
        <f t="shared" si="510"/>
        <v>1.7578795237470786</v>
      </c>
      <c r="AC637">
        <v>1</v>
      </c>
      <c r="AD637">
        <f t="shared" si="550"/>
        <v>1008.7779662856</v>
      </c>
      <c r="AE637">
        <f t="shared" si="551"/>
        <v>-5.7995800831875641</v>
      </c>
      <c r="AF637">
        <f t="shared" si="552"/>
        <v>0.1858880371005</v>
      </c>
      <c r="AG637">
        <f t="shared" si="553"/>
        <v>5.3971453554119533</v>
      </c>
      <c r="AH637">
        <f t="shared" si="554"/>
        <v>-173.76683950808442</v>
      </c>
      <c r="AJ637">
        <f t="shared" si="497"/>
        <v>18000</v>
      </c>
      <c r="AK637">
        <f t="shared" si="555"/>
        <v>910659.74464080005</v>
      </c>
      <c r="AL637">
        <v>12</v>
      </c>
      <c r="AM637">
        <f t="shared" si="556"/>
        <v>1568.3584491035999</v>
      </c>
      <c r="AN637">
        <f t="shared" si="557"/>
        <v>580.69897954115311</v>
      </c>
      <c r="AO637">
        <f t="shared" si="558"/>
        <v>-7.0338590338269373</v>
      </c>
      <c r="AQ637">
        <f t="shared" si="559"/>
        <v>6.7186239806596079E-5</v>
      </c>
      <c r="AR637">
        <f t="shared" si="560"/>
        <v>-0.81967212564047209</v>
      </c>
      <c r="AT637">
        <f t="shared" si="561"/>
        <v>-142.43147209151618</v>
      </c>
      <c r="AU637">
        <f t="shared" si="562"/>
        <v>-4.4355643464107413</v>
      </c>
      <c r="AV637">
        <f t="shared" si="511"/>
        <v>-3.1104609715753964</v>
      </c>
      <c r="AW637">
        <f t="shared" si="512"/>
        <v>580.94058592715157</v>
      </c>
      <c r="AX637">
        <f t="shared" si="513"/>
        <v>-686.92699451752196</v>
      </c>
      <c r="AY637">
        <f t="shared" si="521"/>
        <v>-0.8687984827269053</v>
      </c>
      <c r="BA637">
        <f t="shared" si="502"/>
        <v>0.15839643633640585</v>
      </c>
      <c r="BB637">
        <f t="shared" si="514"/>
        <v>-16.005091871198726</v>
      </c>
      <c r="BC637">
        <f t="shared" si="515"/>
        <v>-2.2416624888484913</v>
      </c>
      <c r="BD637">
        <f t="shared" si="503"/>
        <v>-308.43779985057211</v>
      </c>
      <c r="BF637">
        <f t="shared" si="504"/>
        <v>-84.253354724055214</v>
      </c>
      <c r="BG637">
        <f t="shared" si="505"/>
        <v>-219.55476022654992</v>
      </c>
      <c r="BH637">
        <f t="shared" si="516"/>
        <v>-39.554760226549917</v>
      </c>
      <c r="BI637">
        <f t="shared" si="517"/>
        <v>-39.554760226549917</v>
      </c>
      <c r="BJ637">
        <f t="shared" si="506"/>
        <v>0</v>
      </c>
      <c r="BK637">
        <f t="shared" si="518"/>
        <v>0</v>
      </c>
      <c r="BM637">
        <f t="shared" si="519"/>
        <v>-68.248262852856485</v>
      </c>
      <c r="BN637">
        <f t="shared" si="507"/>
        <v>-91.116960375977811</v>
      </c>
      <c r="BQ637" s="56">
        <f t="shared" si="520"/>
        <v>0.89686892908640936</v>
      </c>
    </row>
    <row r="638" spans="1:69" x14ac:dyDescent="0.25">
      <c r="A638">
        <f t="shared" si="563"/>
        <v>6200000</v>
      </c>
      <c r="B638">
        <f t="shared" si="508"/>
        <v>6200</v>
      </c>
      <c r="C638">
        <f t="shared" si="539"/>
        <v>51.431311118516952</v>
      </c>
      <c r="D638">
        <f t="shared" si="540"/>
        <v>1.5513516928421112</v>
      </c>
      <c r="F638">
        <f t="shared" si="541"/>
        <v>4.9340486557828536E-7</v>
      </c>
      <c r="G638">
        <f t="shared" si="542"/>
        <v>2.6434464477804439E-4</v>
      </c>
      <c r="H638">
        <f t="shared" si="481"/>
        <v>-3.1413283053552221</v>
      </c>
      <c r="J638">
        <f t="shared" si="482"/>
        <v>15</v>
      </c>
      <c r="M638">
        <f t="shared" si="543"/>
        <v>2.9404527080101317E-4</v>
      </c>
      <c r="N638">
        <f t="shared" si="484"/>
        <v>-1.5707963250000001</v>
      </c>
      <c r="O638">
        <f t="shared" si="544"/>
        <v>1025.3157976499501</v>
      </c>
      <c r="P638">
        <f t="shared" si="486"/>
        <v>1.5698210173723459</v>
      </c>
      <c r="Q638">
        <f t="shared" si="545"/>
        <v>1594.0695570138296</v>
      </c>
      <c r="R638">
        <f t="shared" si="488"/>
        <v>1.5701690015560514</v>
      </c>
      <c r="S638">
        <f t="shared" si="546"/>
        <v>1.9443408660059759E-2</v>
      </c>
      <c r="T638">
        <f t="shared" si="490"/>
        <v>-1.5513516928421112</v>
      </c>
      <c r="U638">
        <f t="shared" si="547"/>
        <v>3.1519346236292038E-2</v>
      </c>
      <c r="V638">
        <f t="shared" si="492"/>
        <v>-1.5392717593075016</v>
      </c>
      <c r="X638">
        <f t="shared" si="548"/>
        <v>-79.006979930460744</v>
      </c>
      <c r="Y638">
        <f t="shared" si="549"/>
        <v>-178.27045359689731</v>
      </c>
      <c r="Z638">
        <f t="shared" si="510"/>
        <v>1.7295464031026881</v>
      </c>
      <c r="AC638">
        <v>1</v>
      </c>
      <c r="AD638">
        <f t="shared" si="550"/>
        <v>1025.3153099952001</v>
      </c>
      <c r="AE638">
        <f t="shared" si="551"/>
        <v>-5.9912888577729078</v>
      </c>
      <c r="AF638">
        <f t="shared" si="552"/>
        <v>0.18893538197099999</v>
      </c>
      <c r="AG638">
        <f t="shared" si="553"/>
        <v>5.2246195059557303</v>
      </c>
      <c r="AH638">
        <f t="shared" si="554"/>
        <v>-170.96958915346877</v>
      </c>
      <c r="AJ638">
        <f t="shared" si="497"/>
        <v>18000</v>
      </c>
      <c r="AK638">
        <f t="shared" si="555"/>
        <v>925588.59291360003</v>
      </c>
      <c r="AL638">
        <v>13</v>
      </c>
      <c r="AM638">
        <f t="shared" si="556"/>
        <v>1594.0692433511999</v>
      </c>
      <c r="AN638">
        <f t="shared" si="557"/>
        <v>580.69862799535781</v>
      </c>
      <c r="AO638">
        <f t="shared" si="558"/>
        <v>-6.5561253876835748</v>
      </c>
      <c r="AQ638">
        <f t="shared" si="559"/>
        <v>6.5036419972447842E-5</v>
      </c>
      <c r="AR638">
        <f t="shared" si="560"/>
        <v>-0.80645160765835322</v>
      </c>
      <c r="AT638">
        <f t="shared" si="561"/>
        <v>-137.87836024295464</v>
      </c>
      <c r="AU638">
        <f t="shared" si="562"/>
        <v>-4.224522049983892</v>
      </c>
      <c r="AV638">
        <f t="shared" si="511"/>
        <v>-3.1109627503638335</v>
      </c>
      <c r="AW638">
        <f t="shared" si="512"/>
        <v>581.24506860879728</v>
      </c>
      <c r="AX638">
        <f t="shared" si="513"/>
        <v>-675.48836180222543</v>
      </c>
      <c r="AY638">
        <f t="shared" si="521"/>
        <v>-0.86024874217970548</v>
      </c>
      <c r="BA638">
        <f t="shared" si="502"/>
        <v>0.15479394490487325</v>
      </c>
      <c r="BB638">
        <f t="shared" si="514"/>
        <v>-16.204920633506106</v>
      </c>
      <c r="BC638">
        <f t="shared" si="515"/>
        <v>-2.2507140081841279</v>
      </c>
      <c r="BD638">
        <f t="shared" si="503"/>
        <v>-308.95641370727776</v>
      </c>
      <c r="BF638">
        <f t="shared" si="504"/>
        <v>-84.594474980082083</v>
      </c>
      <c r="BG638">
        <f t="shared" si="505"/>
        <v>-220.05536323288217</v>
      </c>
      <c r="BH638">
        <f t="shared" si="516"/>
        <v>-40.055363232882172</v>
      </c>
      <c r="BI638">
        <f t="shared" si="517"/>
        <v>-40.055363232882172</v>
      </c>
      <c r="BJ638">
        <f t="shared" si="506"/>
        <v>0</v>
      </c>
      <c r="BK638">
        <f t="shared" si="518"/>
        <v>0</v>
      </c>
      <c r="BM638">
        <f t="shared" si="519"/>
        <v>-68.389554346575977</v>
      </c>
      <c r="BN638">
        <f t="shared" si="507"/>
        <v>-91.098949525604468</v>
      </c>
      <c r="BQ638" s="56">
        <f t="shared" si="520"/>
        <v>0.69704016677903047</v>
      </c>
    </row>
    <row r="639" spans="1:69" x14ac:dyDescent="0.25">
      <c r="A639">
        <f t="shared" si="563"/>
        <v>6300000</v>
      </c>
      <c r="B639">
        <f t="shared" si="508"/>
        <v>6300</v>
      </c>
      <c r="C639">
        <f t="shared" si="539"/>
        <v>52.26053727924613</v>
      </c>
      <c r="D639">
        <f t="shared" si="540"/>
        <v>1.5516602618753841</v>
      </c>
      <c r="F639">
        <f t="shared" si="541"/>
        <v>4.7786552676339829E-7</v>
      </c>
      <c r="G639">
        <f t="shared" si="542"/>
        <v>2.6014869416005878E-4</v>
      </c>
      <c r="H639">
        <f t="shared" si="481"/>
        <v>-3.1413325013058402</v>
      </c>
      <c r="J639">
        <f t="shared" si="482"/>
        <v>15</v>
      </c>
      <c r="M639">
        <f t="shared" si="543"/>
        <v>2.8937788555020343E-4</v>
      </c>
      <c r="N639">
        <f t="shared" si="484"/>
        <v>-1.5707963250000001</v>
      </c>
      <c r="O639">
        <f t="shared" si="544"/>
        <v>1041.8531336190022</v>
      </c>
      <c r="P639">
        <f t="shared" si="486"/>
        <v>1.5698364984647062</v>
      </c>
      <c r="Q639">
        <f t="shared" si="545"/>
        <v>1619.7803462826587</v>
      </c>
      <c r="R639">
        <f t="shared" si="488"/>
        <v>1.5701789590969746</v>
      </c>
      <c r="S639">
        <f t="shared" si="546"/>
        <v>1.913489703821173E-2</v>
      </c>
      <c r="T639">
        <f t="shared" si="490"/>
        <v>-1.5516602618753841</v>
      </c>
      <c r="U639">
        <f t="shared" si="547"/>
        <v>3.1019524432572571E-2</v>
      </c>
      <c r="V639">
        <f t="shared" si="492"/>
        <v>-1.5397718256530666</v>
      </c>
      <c r="X639">
        <f t="shared" si="548"/>
        <v>-79.284798752907776</v>
      </c>
      <c r="Y639">
        <f t="shared" si="549"/>
        <v>-178.29788817194381</v>
      </c>
      <c r="Z639">
        <f t="shared" si="510"/>
        <v>1.7021118280561893</v>
      </c>
      <c r="AC639">
        <v>1</v>
      </c>
      <c r="AD639">
        <f t="shared" si="550"/>
        <v>1041.8526537048001</v>
      </c>
      <c r="AE639">
        <f t="shared" si="551"/>
        <v>-6.18611484820517</v>
      </c>
      <c r="AF639">
        <f t="shared" si="552"/>
        <v>0.1919827268415</v>
      </c>
      <c r="AG639">
        <f t="shared" si="553"/>
        <v>5.0602332524869862</v>
      </c>
      <c r="AH639">
        <f t="shared" si="554"/>
        <v>-168.26088778945532</v>
      </c>
      <c r="AJ639">
        <f t="shared" si="497"/>
        <v>18000</v>
      </c>
      <c r="AK639">
        <f t="shared" si="555"/>
        <v>940517.44118640001</v>
      </c>
      <c r="AL639">
        <v>14</v>
      </c>
      <c r="AM639">
        <f t="shared" si="556"/>
        <v>1619.7800375988002</v>
      </c>
      <c r="AN639">
        <f t="shared" si="557"/>
        <v>580.69782885548807</v>
      </c>
      <c r="AO639">
        <f t="shared" si="558"/>
        <v>-6.0935621917251357</v>
      </c>
      <c r="AQ639">
        <f t="shared" si="559"/>
        <v>6.2988157829502655E-5</v>
      </c>
      <c r="AR639">
        <f t="shared" si="560"/>
        <v>-0.79365078865173355</v>
      </c>
      <c r="AT639">
        <f t="shared" si="561"/>
        <v>-133.54006755857131</v>
      </c>
      <c r="AU639">
        <f t="shared" si="562"/>
        <v>-4.0266565549546378</v>
      </c>
      <c r="AV639">
        <f t="shared" si="511"/>
        <v>-3.1114486156989551</v>
      </c>
      <c r="AW639">
        <f t="shared" si="512"/>
        <v>581.52976907474522</v>
      </c>
      <c r="AX639">
        <f t="shared" si="513"/>
        <v>-664.41224436424</v>
      </c>
      <c r="AY639">
        <f t="shared" si="521"/>
        <v>-0.85182223585368888</v>
      </c>
      <c r="BA639">
        <f t="shared" si="502"/>
        <v>0.15130988780356028</v>
      </c>
      <c r="BB639">
        <f t="shared" si="514"/>
        <v>-16.402653815185712</v>
      </c>
      <c r="BC639">
        <f t="shared" si="515"/>
        <v>-2.2596263798452663</v>
      </c>
      <c r="BD639">
        <f t="shared" si="503"/>
        <v>-309.46705498949643</v>
      </c>
      <c r="BF639">
        <f t="shared" si="504"/>
        <v>-84.931237195420238</v>
      </c>
      <c r="BG639">
        <f t="shared" si="505"/>
        <v>-220.54856522204747</v>
      </c>
      <c r="BH639">
        <f t="shared" si="516"/>
        <v>-40.548565222047472</v>
      </c>
      <c r="BI639">
        <f t="shared" si="517"/>
        <v>-40.548565222047472</v>
      </c>
      <c r="BJ639">
        <f t="shared" si="506"/>
        <v>0</v>
      </c>
      <c r="BK639">
        <f t="shared" si="518"/>
        <v>0</v>
      </c>
      <c r="BM639">
        <f t="shared" si="519"/>
        <v>-68.528583380234508</v>
      </c>
      <c r="BN639">
        <f t="shared" si="507"/>
        <v>-91.081510232551025</v>
      </c>
      <c r="BQ639" s="56">
        <f t="shared" si="520"/>
        <v>0.49930698509942517</v>
      </c>
    </row>
    <row r="640" spans="1:69" x14ac:dyDescent="0.25">
      <c r="A640">
        <f t="shared" si="563"/>
        <v>6400000</v>
      </c>
      <c r="B640">
        <f t="shared" si="508"/>
        <v>6400</v>
      </c>
      <c r="C640">
        <f t="shared" si="539"/>
        <v>53.08976826051132</v>
      </c>
      <c r="D640">
        <f t="shared" si="540"/>
        <v>1.5519591916024538</v>
      </c>
      <c r="F640">
        <f t="shared" si="541"/>
        <v>4.6304888902505783E-7</v>
      </c>
      <c r="G640">
        <f t="shared" si="542"/>
        <v>2.56083867176309E-4</v>
      </c>
      <c r="H640">
        <f t="shared" si="481"/>
        <v>-3.1413365661328241</v>
      </c>
      <c r="J640">
        <f t="shared" si="482"/>
        <v>15</v>
      </c>
      <c r="M640">
        <f t="shared" si="543"/>
        <v>2.8485635608848151E-4</v>
      </c>
      <c r="N640">
        <f t="shared" si="484"/>
        <v>-1.5707963250000001</v>
      </c>
      <c r="O640">
        <f t="shared" si="544"/>
        <v>1058.3904698299459</v>
      </c>
      <c r="P640">
        <f t="shared" si="486"/>
        <v>1.5698514957733691</v>
      </c>
      <c r="Q640">
        <f t="shared" si="545"/>
        <v>1645.4911357070744</v>
      </c>
      <c r="R640">
        <f t="shared" si="488"/>
        <v>1.5701886054648606</v>
      </c>
      <c r="S640">
        <f t="shared" si="546"/>
        <v>1.8836021191371635E-2</v>
      </c>
      <c r="T640">
        <f t="shared" si="490"/>
        <v>-1.5519591916024538</v>
      </c>
      <c r="U640">
        <f t="shared" si="547"/>
        <v>3.0535299864462104E-2</v>
      </c>
      <c r="V640">
        <f t="shared" si="492"/>
        <v>-1.5402562797296315</v>
      </c>
      <c r="X640">
        <f t="shared" si="548"/>
        <v>-79.558246459726419</v>
      </c>
      <c r="Y640">
        <f t="shared" si="549"/>
        <v>-178.32446626470195</v>
      </c>
      <c r="Z640">
        <f t="shared" si="510"/>
        <v>1.6755337352980462</v>
      </c>
      <c r="AC640">
        <v>1</v>
      </c>
      <c r="AD640">
        <f t="shared" si="550"/>
        <v>1058.3899974143999</v>
      </c>
      <c r="AE640">
        <f t="shared" si="551"/>
        <v>-6.3840580544843482</v>
      </c>
      <c r="AF640">
        <f t="shared" si="552"/>
        <v>0.19503007171200001</v>
      </c>
      <c r="AG640">
        <f t="shared" si="553"/>
        <v>4.9034826632191439</v>
      </c>
      <c r="AH640">
        <f t="shared" si="554"/>
        <v>-165.63660007699673</v>
      </c>
      <c r="AJ640">
        <f t="shared" si="497"/>
        <v>18000</v>
      </c>
      <c r="AK640">
        <f t="shared" si="555"/>
        <v>955446.28945920011</v>
      </c>
      <c r="AL640">
        <v>15</v>
      </c>
      <c r="AM640">
        <f t="shared" si="556"/>
        <v>1645.4908318463999</v>
      </c>
      <c r="AN640">
        <f t="shared" si="557"/>
        <v>580.69662428227821</v>
      </c>
      <c r="AO640">
        <f t="shared" si="558"/>
        <v>-5.6454587628069932</v>
      </c>
      <c r="AQ640">
        <f t="shared" si="559"/>
        <v>6.1035155877470973E-5</v>
      </c>
      <c r="AR640">
        <f t="shared" si="560"/>
        <v>-0.78124999523162841</v>
      </c>
      <c r="AT640">
        <f t="shared" si="561"/>
        <v>-129.40329373550816</v>
      </c>
      <c r="AU640">
        <f t="shared" si="562"/>
        <v>-3.8409554629630427</v>
      </c>
      <c r="AV640">
        <f t="shared" si="511"/>
        <v>-3.1119193125462146</v>
      </c>
      <c r="AW640">
        <f t="shared" si="512"/>
        <v>581.79608156378583</v>
      </c>
      <c r="AX640">
        <f t="shared" si="513"/>
        <v>-653.68169925207178</v>
      </c>
      <c r="AY640">
        <f t="shared" si="521"/>
        <v>-0.84351710481901976</v>
      </c>
      <c r="BA640">
        <f t="shared" si="502"/>
        <v>0.14793901447423691</v>
      </c>
      <c r="BB640">
        <f t="shared" si="514"/>
        <v>-16.598345575305757</v>
      </c>
      <c r="BC640">
        <f t="shared" si="515"/>
        <v>-2.2684022077271946</v>
      </c>
      <c r="BD640">
        <f t="shared" si="503"/>
        <v>-309.96987288943876</v>
      </c>
      <c r="BF640">
        <f t="shared" si="504"/>
        <v>-85.263766870560119</v>
      </c>
      <c r="BG640">
        <f t="shared" si="505"/>
        <v>-221.03448860766898</v>
      </c>
      <c r="BH640">
        <f t="shared" si="516"/>
        <v>-41.034488607668976</v>
      </c>
      <c r="BI640">
        <f t="shared" si="517"/>
        <v>-41.034488607668976</v>
      </c>
      <c r="BJ640">
        <f t="shared" si="506"/>
        <v>0</v>
      </c>
      <c r="BK640">
        <f t="shared" si="518"/>
        <v>0</v>
      </c>
      <c r="BM640">
        <f t="shared" si="519"/>
        <v>-68.665421295254362</v>
      </c>
      <c r="BN640">
        <f t="shared" si="507"/>
        <v>-91.064615718230257</v>
      </c>
      <c r="BQ640" s="56">
        <f t="shared" si="520"/>
        <v>0.30361522497938043</v>
      </c>
    </row>
    <row r="641" spans="1:69" x14ac:dyDescent="0.25">
      <c r="A641">
        <f t="shared" si="563"/>
        <v>6500000</v>
      </c>
      <c r="B641">
        <f t="shared" si="508"/>
        <v>6500</v>
      </c>
      <c r="C641">
        <f t="shared" si="539"/>
        <v>53.919003839904619</v>
      </c>
      <c r="D641">
        <f t="shared" si="540"/>
        <v>1.5522489267054556</v>
      </c>
      <c r="F641">
        <f t="shared" si="541"/>
        <v>4.4891082233675513E-7</v>
      </c>
      <c r="G641">
        <f t="shared" si="542"/>
        <v>2.521441119560861E-4</v>
      </c>
      <c r="H641">
        <f t="shared" si="481"/>
        <v>-3.1413405058880439</v>
      </c>
      <c r="J641">
        <f t="shared" si="482"/>
        <v>15</v>
      </c>
      <c r="M641">
        <f t="shared" si="543"/>
        <v>2.8047395061019716E-4</v>
      </c>
      <c r="N641">
        <f t="shared" si="484"/>
        <v>-1.5707963250000001</v>
      </c>
      <c r="O641">
        <f t="shared" si="544"/>
        <v>1074.9278062716178</v>
      </c>
      <c r="P641">
        <f t="shared" si="486"/>
        <v>1.5698660316267867</v>
      </c>
      <c r="Q641">
        <f t="shared" si="545"/>
        <v>1671.2019252798957</v>
      </c>
      <c r="R641">
        <f t="shared" si="488"/>
        <v>1.5701979550215353</v>
      </c>
      <c r="S641">
        <f t="shared" si="546"/>
        <v>1.8546336704757808E-2</v>
      </c>
      <c r="T641">
        <f t="shared" si="490"/>
        <v>-1.5522489267054556</v>
      </c>
      <c r="U641">
        <f t="shared" si="547"/>
        <v>3.0065953992495027E-2</v>
      </c>
      <c r="V641">
        <f t="shared" si="492"/>
        <v>-1.5407258412141944</v>
      </c>
      <c r="X641">
        <f t="shared" si="548"/>
        <v>-79.827458408581066</v>
      </c>
      <c r="Y641">
        <f t="shared" si="549"/>
        <v>-178.35022735417493</v>
      </c>
      <c r="Z641">
        <f t="shared" si="510"/>
        <v>1.6497726458250668</v>
      </c>
      <c r="AC641">
        <v>1</v>
      </c>
      <c r="AD641">
        <f t="shared" si="550"/>
        <v>1074.9273411239999</v>
      </c>
      <c r="AE641">
        <f t="shared" si="551"/>
        <v>-6.5851184766104423</v>
      </c>
      <c r="AF641">
        <f t="shared" si="552"/>
        <v>0.1980774165825</v>
      </c>
      <c r="AG641">
        <f t="shared" si="553"/>
        <v>4.7539021985285963</v>
      </c>
      <c r="AH641">
        <f t="shared" si="554"/>
        <v>-163.0928440046294</v>
      </c>
      <c r="AJ641">
        <f t="shared" si="497"/>
        <v>18000</v>
      </c>
      <c r="AK641">
        <f t="shared" si="555"/>
        <v>970375.13773200009</v>
      </c>
      <c r="AL641">
        <v>16</v>
      </c>
      <c r="AM641">
        <f t="shared" si="556"/>
        <v>1671.2016260939999</v>
      </c>
      <c r="AN641">
        <f t="shared" si="557"/>
        <v>580.69505255904301</v>
      </c>
      <c r="AO641">
        <f t="shared" si="558"/>
        <v>-5.2111480883429113</v>
      </c>
      <c r="AQ641">
        <f t="shared" si="559"/>
        <v>5.9171597283008303E-5</v>
      </c>
      <c r="AR641">
        <f t="shared" si="560"/>
        <v>-0.76923076467910789</v>
      </c>
      <c r="AT641">
        <f t="shared" si="561"/>
        <v>-125.45575181138511</v>
      </c>
      <c r="AU641">
        <f t="shared" si="562"/>
        <v>-3.6664982874690266</v>
      </c>
      <c r="AV641">
        <f t="shared" si="511"/>
        <v>-3.1123755401004294</v>
      </c>
      <c r="AW641">
        <f t="shared" si="512"/>
        <v>582.04528623644057</v>
      </c>
      <c r="AX641">
        <f t="shared" si="513"/>
        <v>-643.28082184747586</v>
      </c>
      <c r="AY641">
        <f t="shared" si="521"/>
        <v>-0.83533151019670693</v>
      </c>
      <c r="BA641">
        <f t="shared" si="502"/>
        <v>0.14467637982941228</v>
      </c>
      <c r="BB641">
        <f t="shared" si="514"/>
        <v>-16.792047338515253</v>
      </c>
      <c r="BC641">
        <f t="shared" si="515"/>
        <v>-2.2770440299037222</v>
      </c>
      <c r="BD641">
        <f t="shared" si="503"/>
        <v>-310.46501282802211</v>
      </c>
      <c r="BF641">
        <f t="shared" si="504"/>
        <v>-85.592183448350994</v>
      </c>
      <c r="BG641">
        <f t="shared" si="505"/>
        <v>-221.51325367900125</v>
      </c>
      <c r="BH641">
        <f t="shared" si="516"/>
        <v>-41.513253679001252</v>
      </c>
      <c r="BI641">
        <f t="shared" si="517"/>
        <v>-41.513253679001252</v>
      </c>
      <c r="BJ641">
        <f t="shared" si="506"/>
        <v>0</v>
      </c>
      <c r="BK641">
        <f t="shared" si="518"/>
        <v>0</v>
      </c>
      <c r="BM641">
        <f t="shared" si="519"/>
        <v>-68.800136109835734</v>
      </c>
      <c r="BN641">
        <f t="shared" si="507"/>
        <v>-91.04824085097917</v>
      </c>
      <c r="BQ641" s="56">
        <f t="shared" si="520"/>
        <v>0.10991346176987996</v>
      </c>
    </row>
    <row r="642" spans="1:69" x14ac:dyDescent="0.25">
      <c r="A642">
        <f t="shared" si="563"/>
        <v>6600000</v>
      </c>
      <c r="B642">
        <f t="shared" si="508"/>
        <v>6600</v>
      </c>
      <c r="C642">
        <f t="shared" si="539"/>
        <v>54.748243808491559</v>
      </c>
      <c r="D642">
        <f t="shared" si="540"/>
        <v>1.5525298849315543</v>
      </c>
      <c r="F642">
        <f t="shared" si="541"/>
        <v>4.3541051433195789E-7</v>
      </c>
      <c r="G642">
        <f t="shared" si="542"/>
        <v>2.4832374340951402E-4</v>
      </c>
      <c r="H642">
        <f t="shared" si="481"/>
        <v>-3.1413443262565908</v>
      </c>
      <c r="J642">
        <f t="shared" si="482"/>
        <v>15</v>
      </c>
      <c r="M642">
        <f t="shared" si="543"/>
        <v>2.7622434529792148E-4</v>
      </c>
      <c r="N642">
        <f t="shared" si="484"/>
        <v>-1.5707963250000001</v>
      </c>
      <c r="O642">
        <f t="shared" si="544"/>
        <v>1091.4651429335295</v>
      </c>
      <c r="P642">
        <f t="shared" si="486"/>
        <v>1.569880127000173</v>
      </c>
      <c r="Q642">
        <f t="shared" si="545"/>
        <v>1696.9127149943768</v>
      </c>
      <c r="R642">
        <f t="shared" si="488"/>
        <v>1.5702070212584103</v>
      </c>
      <c r="S642">
        <f t="shared" si="546"/>
        <v>1.8265426074633252E-2</v>
      </c>
      <c r="T642">
        <f t="shared" si="490"/>
        <v>-1.5525298849315543</v>
      </c>
      <c r="U642">
        <f t="shared" si="547"/>
        <v>2.9610811726493536E-2</v>
      </c>
      <c r="V642">
        <f t="shared" si="492"/>
        <v>-1.5411811862327351</v>
      </c>
      <c r="X642">
        <f t="shared" si="548"/>
        <v>-80.092563768323132</v>
      </c>
      <c r="Y642">
        <f t="shared" si="549"/>
        <v>-178.3752085304674</v>
      </c>
      <c r="Z642">
        <f t="shared" si="510"/>
        <v>1.624791469532596</v>
      </c>
      <c r="AC642">
        <v>1</v>
      </c>
      <c r="AD642">
        <f t="shared" si="550"/>
        <v>1091.4646848335999</v>
      </c>
      <c r="AE642">
        <f t="shared" si="551"/>
        <v>-6.7892961145834532</v>
      </c>
      <c r="AF642">
        <f t="shared" si="552"/>
        <v>0.20112476145299998</v>
      </c>
      <c r="AG642">
        <f t="shared" si="553"/>
        <v>4.6110612547978675</v>
      </c>
      <c r="AH642">
        <f t="shared" si="554"/>
        <v>-160.62597179937435</v>
      </c>
      <c r="AJ642">
        <f t="shared" si="497"/>
        <v>18000</v>
      </c>
      <c r="AK642">
        <f t="shared" si="555"/>
        <v>985303.98600480007</v>
      </c>
      <c r="AL642">
        <v>17</v>
      </c>
      <c r="AM642">
        <f t="shared" si="556"/>
        <v>1696.9124203415997</v>
      </c>
      <c r="AN642">
        <f t="shared" si="557"/>
        <v>580.69314848103249</v>
      </c>
      <c r="AO642">
        <f t="shared" si="558"/>
        <v>-4.7900035254537077</v>
      </c>
      <c r="AQ642">
        <f t="shared" si="559"/>
        <v>5.7392102517262957E-5</v>
      </c>
      <c r="AR642">
        <f t="shared" si="560"/>
        <v>-0.75757575322787107</v>
      </c>
      <c r="AT642">
        <f t="shared" si="561"/>
        <v>-121.68607693536956</v>
      </c>
      <c r="AU642">
        <f t="shared" si="562"/>
        <v>-3.5024468655237917</v>
      </c>
      <c r="AV642">
        <f t="shared" si="511"/>
        <v>-3.1128179552467423</v>
      </c>
      <c r="AW642">
        <f t="shared" si="512"/>
        <v>582.27855992436002</v>
      </c>
      <c r="AX642">
        <f t="shared" si="513"/>
        <v>-633.19466761952413</v>
      </c>
      <c r="AY642">
        <f t="shared" si="521"/>
        <v>-0.82726363264922309</v>
      </c>
      <c r="BA642">
        <f t="shared" si="502"/>
        <v>0.14151732166262779</v>
      </c>
      <c r="BB642">
        <f t="shared" si="514"/>
        <v>-16.983807988364138</v>
      </c>
      <c r="BC642">
        <f t="shared" si="515"/>
        <v>-2.2855543225975192</v>
      </c>
      <c r="BD642">
        <f t="shared" si="503"/>
        <v>-310.95261668235491</v>
      </c>
      <c r="BF642">
        <f t="shared" si="504"/>
        <v>-85.916600710639855</v>
      </c>
      <c r="BG642">
        <f t="shared" si="505"/>
        <v>-221.98497870373487</v>
      </c>
      <c r="BH642">
        <f t="shared" si="516"/>
        <v>-41.984978703734868</v>
      </c>
      <c r="BI642">
        <f t="shared" si="517"/>
        <v>-41.984978703734868</v>
      </c>
      <c r="BJ642">
        <f t="shared" si="506"/>
        <v>0</v>
      </c>
      <c r="BK642">
        <f t="shared" si="518"/>
        <v>0</v>
      </c>
      <c r="BM642">
        <f t="shared" si="519"/>
        <v>-68.932792722275721</v>
      </c>
      <c r="BN642">
        <f t="shared" si="507"/>
        <v>-91.032362021379996</v>
      </c>
      <c r="BQ642" s="56">
        <f t="shared" si="520"/>
        <v>-8.1847188079001834E-2</v>
      </c>
    </row>
    <row r="643" spans="1:69" x14ac:dyDescent="0.25">
      <c r="A643">
        <f t="shared" si="563"/>
        <v>6700000</v>
      </c>
      <c r="B643">
        <f t="shared" si="508"/>
        <v>6700</v>
      </c>
      <c r="C643">
        <f t="shared" si="539"/>
        <v>55.577487969806207</v>
      </c>
      <c r="D643">
        <f t="shared" si="540"/>
        <v>1.552802459101664</v>
      </c>
      <c r="F643">
        <f t="shared" si="541"/>
        <v>4.2251017544024753E-7</v>
      </c>
      <c r="G643">
        <f t="shared" si="542"/>
        <v>2.4461741585577612E-4</v>
      </c>
      <c r="H643">
        <f t="shared" si="481"/>
        <v>-3.1413480325841445</v>
      </c>
      <c r="J643">
        <f t="shared" si="482"/>
        <v>15</v>
      </c>
      <c r="M643">
        <f t="shared" si="543"/>
        <v>2.7210159387556441E-4</v>
      </c>
      <c r="N643">
        <f t="shared" si="484"/>
        <v>-1.5707963250000001</v>
      </c>
      <c r="O643">
        <f t="shared" si="544"/>
        <v>1108.00247980582</v>
      </c>
      <c r="P643">
        <f t="shared" si="486"/>
        <v>1.5698938016164927</v>
      </c>
      <c r="Q643">
        <f t="shared" si="545"/>
        <v>1722.6235048441749</v>
      </c>
      <c r="R643">
        <f t="shared" si="488"/>
        <v>1.5702158168614415</v>
      </c>
      <c r="S643">
        <f t="shared" si="546"/>
        <v>1.799289670204731E-2</v>
      </c>
      <c r="T643">
        <f t="shared" si="490"/>
        <v>-1.552802459101664</v>
      </c>
      <c r="U643">
        <f t="shared" si="547"/>
        <v>2.916923819169907E-2</v>
      </c>
      <c r="V643">
        <f t="shared" si="492"/>
        <v>-1.5416229506045411</v>
      </c>
      <c r="X643">
        <f t="shared" si="548"/>
        <v>-80.353685890459786</v>
      </c>
      <c r="Y643">
        <f t="shared" si="549"/>
        <v>-178.39944467273159</v>
      </c>
      <c r="Z643">
        <f t="shared" si="510"/>
        <v>1.6005553272684097</v>
      </c>
      <c r="AC643">
        <v>1</v>
      </c>
      <c r="AD643">
        <f t="shared" si="550"/>
        <v>1108.0020285432001</v>
      </c>
      <c r="AE643">
        <f t="shared" si="551"/>
        <v>-6.9965909684033791</v>
      </c>
      <c r="AF643">
        <f t="shared" si="552"/>
        <v>0.2041721063235</v>
      </c>
      <c r="AG643">
        <f t="shared" si="553"/>
        <v>4.4745610657730666</v>
      </c>
      <c r="AH643">
        <f t="shared" si="554"/>
        <v>-158.2325525366771</v>
      </c>
      <c r="AJ643">
        <f t="shared" si="497"/>
        <v>18000</v>
      </c>
      <c r="AK643">
        <f t="shared" si="555"/>
        <v>1000232.8342776</v>
      </c>
      <c r="AL643">
        <v>18</v>
      </c>
      <c r="AM643">
        <f t="shared" si="556"/>
        <v>1722.6232145892</v>
      </c>
      <c r="AN643">
        <f t="shared" si="557"/>
        <v>580.69094370149571</v>
      </c>
      <c r="AO643">
        <f t="shared" si="558"/>
        <v>-4.3814357948107485</v>
      </c>
      <c r="AQ643">
        <f t="shared" si="559"/>
        <v>5.5691690489576241E-5</v>
      </c>
      <c r="AR643">
        <f t="shared" si="560"/>
        <v>-0.7462686525603216</v>
      </c>
      <c r="AT643">
        <f t="shared" si="561"/>
        <v>-118.08374457685636</v>
      </c>
      <c r="AU643">
        <f t="shared" si="562"/>
        <v>-3.3480368956945914</v>
      </c>
      <c r="AV643">
        <f t="shared" si="511"/>
        <v>-3.1132471757123086</v>
      </c>
      <c r="AW643">
        <f t="shared" si="512"/>
        <v>582.49698573159742</v>
      </c>
      <c r="AX643">
        <f t="shared" si="513"/>
        <v>-623.40918084094312</v>
      </c>
      <c r="AY643">
        <f t="shared" si="521"/>
        <v>-0.81931167202098432</v>
      </c>
      <c r="BA643">
        <f t="shared" si="502"/>
        <v>0.13845744008731695</v>
      </c>
      <c r="BB643">
        <f t="shared" si="514"/>
        <v>-17.17367404473141</v>
      </c>
      <c r="BC643">
        <f t="shared" si="515"/>
        <v>-2.2939355036913245</v>
      </c>
      <c r="BD643">
        <f t="shared" si="503"/>
        <v>-311.43282298691349</v>
      </c>
      <c r="BF643">
        <f t="shared" si="504"/>
        <v>-86.23712714369843</v>
      </c>
      <c r="BG643">
        <f t="shared" si="505"/>
        <v>-222.44978001565059</v>
      </c>
      <c r="BH643">
        <f t="shared" si="516"/>
        <v>-42.449780015650589</v>
      </c>
      <c r="BI643">
        <f t="shared" si="517"/>
        <v>-42.449780015650589</v>
      </c>
      <c r="BJ643">
        <f t="shared" si="506"/>
        <v>0</v>
      </c>
      <c r="BK643">
        <f t="shared" si="518"/>
        <v>0</v>
      </c>
      <c r="BM643">
        <f t="shared" si="519"/>
        <v>-69.063453098967017</v>
      </c>
      <c r="BN643">
        <f t="shared" si="507"/>
        <v>-91.016957028737153</v>
      </c>
      <c r="BQ643" s="56">
        <f t="shared" si="520"/>
        <v>-0.27171324444627531</v>
      </c>
    </row>
    <row r="644" spans="1:69" x14ac:dyDescent="0.25">
      <c r="A644">
        <f t="shared" si="563"/>
        <v>6800000</v>
      </c>
      <c r="B644">
        <f t="shared" si="508"/>
        <v>6800</v>
      </c>
      <c r="C644">
        <f t="shared" si="539"/>
        <v>56.406736138934733</v>
      </c>
      <c r="D644">
        <f t="shared" si="540"/>
        <v>1.5530670189420634</v>
      </c>
      <c r="F644">
        <f t="shared" si="541"/>
        <v>4.1017477415104888E-7</v>
      </c>
      <c r="G644">
        <f t="shared" si="542"/>
        <v>2.4102009806650605E-4</v>
      </c>
      <c r="H644">
        <f t="shared" si="481"/>
        <v>-3.1413516299019335</v>
      </c>
      <c r="J644">
        <f t="shared" si="482"/>
        <v>15</v>
      </c>
      <c r="M644">
        <f t="shared" si="543"/>
        <v>2.681000998479826E-4</v>
      </c>
      <c r="N644">
        <f t="shared" si="484"/>
        <v>-1.5707963250000001</v>
      </c>
      <c r="O644">
        <f t="shared" si="544"/>
        <v>1124.5398168792076</v>
      </c>
      <c r="P644">
        <f t="shared" si="486"/>
        <v>1.5699070740385377</v>
      </c>
      <c r="Q644">
        <f t="shared" si="545"/>
        <v>1748.3342948233201</v>
      </c>
      <c r="R644">
        <f t="shared" si="488"/>
        <v>1.5702243537703517</v>
      </c>
      <c r="S644">
        <f t="shared" si="546"/>
        <v>1.7728379063396128E-2</v>
      </c>
      <c r="T644">
        <f t="shared" si="490"/>
        <v>-1.5530670189420634</v>
      </c>
      <c r="U644">
        <f t="shared" si="547"/>
        <v>2.874063577937926E-2</v>
      </c>
      <c r="V644">
        <f t="shared" si="492"/>
        <v>-1.5420517328008467</v>
      </c>
      <c r="X644">
        <f t="shared" si="548"/>
        <v>-80.610942653175144</v>
      </c>
      <c r="Y644">
        <f t="shared" si="549"/>
        <v>-178.42296861144627</v>
      </c>
      <c r="Z644">
        <f t="shared" si="510"/>
        <v>1.5770313885537348</v>
      </c>
      <c r="AC644">
        <v>1</v>
      </c>
      <c r="AD644">
        <f t="shared" si="550"/>
        <v>1124.5393722528001</v>
      </c>
      <c r="AE644">
        <f t="shared" si="551"/>
        <v>-7.2070030380702219</v>
      </c>
      <c r="AF644">
        <f t="shared" si="552"/>
        <v>0.20721945119399998</v>
      </c>
      <c r="AG644">
        <f t="shared" si="553"/>
        <v>4.3440319197977741</v>
      </c>
      <c r="AH644">
        <f t="shared" si="554"/>
        <v>-155.90935627568166</v>
      </c>
      <c r="AJ644">
        <f t="shared" si="497"/>
        <v>18000</v>
      </c>
      <c r="AK644">
        <f t="shared" si="555"/>
        <v>1015161.6825504</v>
      </c>
      <c r="AL644">
        <v>19</v>
      </c>
      <c r="AM644">
        <f t="shared" si="556"/>
        <v>1748.3340088368</v>
      </c>
      <c r="AN644">
        <f t="shared" si="557"/>
        <v>580.68846703977181</v>
      </c>
      <c r="AO644">
        <f t="shared" si="558"/>
        <v>-3.9848902389535734</v>
      </c>
      <c r="AQ644">
        <f t="shared" si="559"/>
        <v>5.4065743652326213E-5</v>
      </c>
      <c r="AR644">
        <f t="shared" si="560"/>
        <v>-0.73529411367163655</v>
      </c>
      <c r="AT644">
        <f t="shared" si="561"/>
        <v>-114.63899707252656</v>
      </c>
      <c r="AU644">
        <f t="shared" si="562"/>
        <v>-3.2025704555184022</v>
      </c>
      <c r="AV644">
        <f t="shared" si="511"/>
        <v>-3.1136637829404696</v>
      </c>
      <c r="AW644">
        <f t="shared" si="512"/>
        <v>582.70156162471164</v>
      </c>
      <c r="AX644">
        <f t="shared" si="513"/>
        <v>-613.91112955537972</v>
      </c>
      <c r="AY644">
        <f t="shared" si="521"/>
        <v>-0.81147384710206694</v>
      </c>
      <c r="BA644">
        <f t="shared" si="502"/>
        <v>0.13549257879271664</v>
      </c>
      <c r="BB644">
        <f t="shared" si="514"/>
        <v>-17.361689826807819</v>
      </c>
      <c r="BC644">
        <f t="shared" si="515"/>
        <v>-2.3021899358384026</v>
      </c>
      <c r="BD644">
        <f t="shared" si="503"/>
        <v>-311.90576711175856</v>
      </c>
      <c r="BF644">
        <f t="shared" si="504"/>
        <v>-86.553866275249547</v>
      </c>
      <c r="BG644">
        <f t="shared" si="505"/>
        <v>-222.90777208932195</v>
      </c>
      <c r="BH644">
        <f t="shared" si="516"/>
        <v>-42.907772089321952</v>
      </c>
      <c r="BI644">
        <f t="shared" si="517"/>
        <v>-42.907772089321952</v>
      </c>
      <c r="BJ644">
        <f t="shared" si="506"/>
        <v>0</v>
      </c>
      <c r="BK644">
        <f t="shared" si="518"/>
        <v>0</v>
      </c>
      <c r="BM644">
        <f t="shared" si="519"/>
        <v>-69.192176448441728</v>
      </c>
      <c r="BN644">
        <f t="shared" si="507"/>
        <v>-91.002004977563402</v>
      </c>
      <c r="BQ644" s="56">
        <f t="shared" si="520"/>
        <v>-0.45972902652268055</v>
      </c>
    </row>
    <row r="645" spans="1:69" x14ac:dyDescent="0.25">
      <c r="A645">
        <f t="shared" si="563"/>
        <v>6900000</v>
      </c>
      <c r="B645">
        <f t="shared" si="508"/>
        <v>6900</v>
      </c>
      <c r="C645">
        <f t="shared" si="539"/>
        <v>57.235988141678739</v>
      </c>
      <c r="D645">
        <f t="shared" si="540"/>
        <v>1.5533239127568585</v>
      </c>
      <c r="F645">
        <f t="shared" si="541"/>
        <v>3.9837179893759405E-7</v>
      </c>
      <c r="G645">
        <f t="shared" si="542"/>
        <v>2.375270504793237E-4</v>
      </c>
      <c r="H645">
        <f t="shared" si="481"/>
        <v>-3.1413551229495207</v>
      </c>
      <c r="J645">
        <f t="shared" si="482"/>
        <v>15</v>
      </c>
      <c r="M645">
        <f t="shared" si="543"/>
        <v>2.6421459115453356E-4</v>
      </c>
      <c r="N645">
        <f t="shared" si="484"/>
        <v>-1.5707963250000001</v>
      </c>
      <c r="O645">
        <f t="shared" si="544"/>
        <v>1141.0771541449492</v>
      </c>
      <c r="P645">
        <f t="shared" si="486"/>
        <v>1.5699199617529973</v>
      </c>
      <c r="Q645">
        <f t="shared" si="545"/>
        <v>1774.0450849261886</v>
      </c>
      <c r="R645">
        <f t="shared" si="488"/>
        <v>1.5702326432327067</v>
      </c>
      <c r="S645">
        <f t="shared" si="546"/>
        <v>1.7471525039886734E-2</v>
      </c>
      <c r="T645">
        <f t="shared" si="490"/>
        <v>-1.5533239127568585</v>
      </c>
      <c r="U645">
        <f t="shared" si="547"/>
        <v>2.8324441453148448E-2</v>
      </c>
      <c r="V645">
        <f t="shared" si="492"/>
        <v>-1.5424680966467017</v>
      </c>
      <c r="X645">
        <f t="shared" si="548"/>
        <v>-80.864446780301222</v>
      </c>
      <c r="Y645">
        <f t="shared" si="549"/>
        <v>-178.4458112766126</v>
      </c>
      <c r="Z645">
        <f t="shared" si="510"/>
        <v>1.5541887233873979</v>
      </c>
      <c r="AC645">
        <v>1</v>
      </c>
      <c r="AD645">
        <f t="shared" si="550"/>
        <v>1141.0767159624002</v>
      </c>
      <c r="AE645">
        <f t="shared" si="551"/>
        <v>-7.4205323235839789</v>
      </c>
      <c r="AF645">
        <f t="shared" si="552"/>
        <v>0.21026679606449999</v>
      </c>
      <c r="AG645">
        <f t="shared" si="553"/>
        <v>4.2191306566613322</v>
      </c>
      <c r="AH645">
        <f t="shared" si="554"/>
        <v>-153.65333956612378</v>
      </c>
      <c r="AJ645">
        <f t="shared" si="497"/>
        <v>18000</v>
      </c>
      <c r="AK645">
        <f t="shared" si="555"/>
        <v>1030090.5308232001</v>
      </c>
      <c r="AL645">
        <v>20</v>
      </c>
      <c r="AM645">
        <f t="shared" si="556"/>
        <v>1774.0448030843997</v>
      </c>
      <c r="AN645">
        <f t="shared" si="557"/>
        <v>580.68574475599485</v>
      </c>
      <c r="AO645">
        <f t="shared" si="558"/>
        <v>-3.5998443183490867</v>
      </c>
      <c r="AQ645">
        <f t="shared" si="559"/>
        <v>5.25099766198804E-5</v>
      </c>
      <c r="AR645">
        <f t="shared" si="560"/>
        <v>-0.72463767735434947</v>
      </c>
      <c r="AT645">
        <f t="shared" si="561"/>
        <v>-111.34277755448296</v>
      </c>
      <c r="AU645">
        <f t="shared" si="562"/>
        <v>-3.065409372765783</v>
      </c>
      <c r="AV645">
        <f t="shared" si="511"/>
        <v>-3.1140683247155083</v>
      </c>
      <c r="AW645">
        <f t="shared" si="512"/>
        <v>582.89320813063307</v>
      </c>
      <c r="AX645">
        <f t="shared" si="513"/>
        <v>-604.68804616602097</v>
      </c>
      <c r="AY645">
        <f t="shared" si="521"/>
        <v>-0.80374839549227017</v>
      </c>
      <c r="BA645">
        <f t="shared" si="502"/>
        <v>0.13261880793011424</v>
      </c>
      <c r="BB645">
        <f t="shared" si="514"/>
        <v>-17.547897602933553</v>
      </c>
      <c r="BC645">
        <f t="shared" si="515"/>
        <v>-2.3103199292232381</v>
      </c>
      <c r="BD645">
        <f t="shared" si="503"/>
        <v>-312.37158142071121</v>
      </c>
      <c r="BF645">
        <f t="shared" si="504"/>
        <v>-86.866916985619071</v>
      </c>
      <c r="BG645">
        <f t="shared" si="505"/>
        <v>-223.35906760377159</v>
      </c>
      <c r="BH645">
        <f t="shared" si="516"/>
        <v>-43.359067603771592</v>
      </c>
      <c r="BI645">
        <f t="shared" si="517"/>
        <v>-43.359067603771592</v>
      </c>
      <c r="BJ645">
        <f t="shared" si="506"/>
        <v>0</v>
      </c>
      <c r="BK645">
        <f t="shared" si="518"/>
        <v>0</v>
      </c>
      <c r="BM645">
        <f t="shared" si="519"/>
        <v>-69.319019382685511</v>
      </c>
      <c r="BN645">
        <f t="shared" si="507"/>
        <v>-90.987486183060412</v>
      </c>
      <c r="BQ645" s="56">
        <f t="shared" si="520"/>
        <v>-0.64593680264841602</v>
      </c>
    </row>
    <row r="646" spans="1:69" x14ac:dyDescent="0.25">
      <c r="A646">
        <f t="shared" si="563"/>
        <v>7000000</v>
      </c>
      <c r="B646">
        <f t="shared" si="508"/>
        <v>7000</v>
      </c>
      <c r="C646">
        <f t="shared" si="539"/>
        <v>58.065243813790246</v>
      </c>
      <c r="D646">
        <f t="shared" si="540"/>
        <v>1.5535734689571972</v>
      </c>
      <c r="F646">
        <f t="shared" si="541"/>
        <v>3.8707104381632822E-7</v>
      </c>
      <c r="G646">
        <f t="shared" si="542"/>
        <v>2.3413380436450244E-4</v>
      </c>
      <c r="H646">
        <f t="shared" si="481"/>
        <v>-3.1413585161956359</v>
      </c>
      <c r="J646">
        <f t="shared" si="482"/>
        <v>15</v>
      </c>
      <c r="M646">
        <f t="shared" si="543"/>
        <v>2.6044009699518306E-4</v>
      </c>
      <c r="N646">
        <f t="shared" si="484"/>
        <v>-1.5707963250000001</v>
      </c>
      <c r="O646">
        <f t="shared" si="544"/>
        <v>1157.6144915948007</v>
      </c>
      <c r="P646">
        <f t="shared" si="486"/>
        <v>1.5699324812473223</v>
      </c>
      <c r="Q646">
        <f t="shared" si="545"/>
        <v>1799.7558751474778</v>
      </c>
      <c r="R646">
        <f t="shared" si="488"/>
        <v>1.5702406958533544</v>
      </c>
      <c r="S646">
        <f t="shared" si="546"/>
        <v>1.7222006390034385E-2</v>
      </c>
      <c r="T646">
        <f t="shared" si="490"/>
        <v>-1.5535734689571972</v>
      </c>
      <c r="U646">
        <f t="shared" si="547"/>
        <v>2.7920124285514939E-2</v>
      </c>
      <c r="V646">
        <f t="shared" si="492"/>
        <v>-1.5428725737916962</v>
      </c>
      <c r="X646">
        <f t="shared" si="548"/>
        <v>-81.114306137395175</v>
      </c>
      <c r="Y646">
        <f t="shared" si="549"/>
        <v>-178.46800183327329</v>
      </c>
      <c r="Z646">
        <f t="shared" si="510"/>
        <v>1.5319981667267086</v>
      </c>
      <c r="AC646">
        <v>1</v>
      </c>
      <c r="AD646">
        <f t="shared" si="550"/>
        <v>1157.6140596719999</v>
      </c>
      <c r="AE646">
        <f t="shared" si="551"/>
        <v>-7.6371788249446544</v>
      </c>
      <c r="AF646">
        <f t="shared" si="552"/>
        <v>0.21331414093499998</v>
      </c>
      <c r="AG646">
        <f t="shared" si="553"/>
        <v>4.0995384124149838</v>
      </c>
      <c r="AH646">
        <f t="shared" si="554"/>
        <v>-151.46163219056328</v>
      </c>
      <c r="AJ646">
        <f t="shared" si="497"/>
        <v>18000</v>
      </c>
      <c r="AK646">
        <f t="shared" si="555"/>
        <v>1045019.3790960001</v>
      </c>
      <c r="AL646">
        <v>21</v>
      </c>
      <c r="AM646">
        <f t="shared" si="556"/>
        <v>1799.7555973319998</v>
      </c>
      <c r="AN646">
        <f t="shared" si="557"/>
        <v>580.68280079640454</v>
      </c>
      <c r="AO646">
        <f t="shared" si="558"/>
        <v>-3.2258053215014053</v>
      </c>
      <c r="AQ646">
        <f t="shared" si="559"/>
        <v>5.1020407902957101E-5</v>
      </c>
      <c r="AR646">
        <f t="shared" si="560"/>
        <v>-0.71428571064139945</v>
      </c>
      <c r="AT646">
        <f t="shared" si="561"/>
        <v>-108.18667042402075</v>
      </c>
      <c r="AU646">
        <f t="shared" si="562"/>
        <v>-2.9359693424695612</v>
      </c>
      <c r="AV646">
        <f t="shared" si="511"/>
        <v>-3.1144613175628599</v>
      </c>
      <c r="AW646">
        <f t="shared" si="512"/>
        <v>583.0727752457974</v>
      </c>
      <c r="AX646">
        <f t="shared" si="513"/>
        <v>-595.72817308734943</v>
      </c>
      <c r="AY646">
        <f t="shared" si="521"/>
        <v>-0.796133573545869</v>
      </c>
      <c r="BA646">
        <f t="shared" si="502"/>
        <v>0.12983240846430544</v>
      </c>
      <c r="BB646">
        <f t="shared" si="514"/>
        <v>-17.732337728462294</v>
      </c>
      <c r="BC646">
        <f t="shared" si="515"/>
        <v>-2.3183277440169912</v>
      </c>
      <c r="BD646">
        <f t="shared" si="503"/>
        <v>-312.83039541203993</v>
      </c>
      <c r="BF646">
        <f t="shared" si="504"/>
        <v>-87.176373795285599</v>
      </c>
      <c r="BG646">
        <f t="shared" si="505"/>
        <v>-223.80377749673474</v>
      </c>
      <c r="BH646">
        <f t="shared" si="516"/>
        <v>-43.803777496734739</v>
      </c>
      <c r="BI646">
        <f t="shared" si="517"/>
        <v>-43.803777496734739</v>
      </c>
      <c r="BJ646">
        <f t="shared" si="506"/>
        <v>0</v>
      </c>
      <c r="BK646">
        <f t="shared" si="518"/>
        <v>0</v>
      </c>
      <c r="BM646">
        <f t="shared" si="519"/>
        <v>-69.444036066823301</v>
      </c>
      <c r="BN646">
        <f t="shared" si="507"/>
        <v>-90.973382084694833</v>
      </c>
      <c r="BQ646" s="56">
        <f t="shared" si="520"/>
        <v>-0.83037692817715647</v>
      </c>
    </row>
    <row r="647" spans="1:69" x14ac:dyDescent="0.25">
      <c r="A647">
        <f t="shared" si="563"/>
        <v>7100000</v>
      </c>
      <c r="B647">
        <f t="shared" si="508"/>
        <v>7100</v>
      </c>
      <c r="C647">
        <f t="shared" si="539"/>
        <v>58.894503000271214</v>
      </c>
      <c r="D647">
        <f t="shared" si="540"/>
        <v>1.5538159974613424</v>
      </c>
      <c r="F647">
        <f t="shared" si="541"/>
        <v>3.7624441489763799E-7</v>
      </c>
      <c r="G647">
        <f t="shared" si="542"/>
        <v>2.3083614275220434E-4</v>
      </c>
      <c r="H647">
        <f t="shared" si="481"/>
        <v>-3.1413618138572481</v>
      </c>
      <c r="J647">
        <f t="shared" si="482"/>
        <v>15</v>
      </c>
      <c r="M647">
        <f t="shared" si="543"/>
        <v>2.5677192661496926E-4</v>
      </c>
      <c r="N647">
        <f t="shared" si="484"/>
        <v>-1.5707963250000001</v>
      </c>
      <c r="O647">
        <f t="shared" si="544"/>
        <v>1174.1518292209832</v>
      </c>
      <c r="P647">
        <f t="shared" si="486"/>
        <v>1.5699446480800952</v>
      </c>
      <c r="Q647">
        <f t="shared" si="545"/>
        <v>1825.4666654821842</v>
      </c>
      <c r="R647">
        <f t="shared" si="488"/>
        <v>1.5702485216396866</v>
      </c>
      <c r="S647">
        <f t="shared" si="546"/>
        <v>1.6979513351108425E-2</v>
      </c>
      <c r="T647">
        <f t="shared" si="490"/>
        <v>-1.5538159974613424</v>
      </c>
      <c r="U647">
        <f t="shared" si="547"/>
        <v>2.752718320202913E-2</v>
      </c>
      <c r="V647">
        <f t="shared" si="492"/>
        <v>-1.5432656659722732</v>
      </c>
      <c r="X647">
        <f t="shared" si="548"/>
        <v>-81.360624006866104</v>
      </c>
      <c r="Y647">
        <f t="shared" si="549"/>
        <v>-178.4895678056011</v>
      </c>
      <c r="Z647">
        <f t="shared" si="510"/>
        <v>1.5104321943989021</v>
      </c>
      <c r="AC647">
        <v>1</v>
      </c>
      <c r="AD647">
        <f t="shared" si="550"/>
        <v>1174.1514033815999</v>
      </c>
      <c r="AE647">
        <f t="shared" si="551"/>
        <v>-7.8569425421522459</v>
      </c>
      <c r="AF647">
        <f t="shared" si="552"/>
        <v>0.21636148580550002</v>
      </c>
      <c r="AG647">
        <f t="shared" si="553"/>
        <v>3.9849585844816677</v>
      </c>
      <c r="AH647">
        <f t="shared" si="554"/>
        <v>-149.33152502092625</v>
      </c>
      <c r="AJ647">
        <f t="shared" si="497"/>
        <v>18000</v>
      </c>
      <c r="AK647">
        <f t="shared" si="555"/>
        <v>1059948.2273688</v>
      </c>
      <c r="AL647">
        <v>22</v>
      </c>
      <c r="AM647">
        <f t="shared" si="556"/>
        <v>1825.4663915796</v>
      </c>
      <c r="AN647">
        <f t="shared" si="557"/>
        <v>580.67965701272442</v>
      </c>
      <c r="AO647">
        <f t="shared" si="558"/>
        <v>-2.8623082680797882</v>
      </c>
      <c r="AQ647">
        <f t="shared" si="559"/>
        <v>4.9593334409872377E-5</v>
      </c>
      <c r="AR647">
        <f t="shared" si="560"/>
        <v>-0.70422534862018771</v>
      </c>
      <c r="AT647">
        <f t="shared" si="561"/>
        <v>-105.16284764046239</v>
      </c>
      <c r="AU647">
        <f t="shared" si="562"/>
        <v>-2.8137146966519113</v>
      </c>
      <c r="AV647">
        <f t="shared" si="511"/>
        <v>-3.1148432489468765</v>
      </c>
      <c r="AW647">
        <f t="shared" si="512"/>
        <v>583.2410486468109</v>
      </c>
      <c r="AX647">
        <f t="shared" si="513"/>
        <v>-587.02041296421828</v>
      </c>
      <c r="AY647">
        <f t="shared" si="521"/>
        <v>-0.78862765638021992</v>
      </c>
      <c r="BA647">
        <f t="shared" si="502"/>
        <v>0.12712985784397443</v>
      </c>
      <c r="BB647">
        <f t="shared" si="514"/>
        <v>-17.915048772707749</v>
      </c>
      <c r="BC647">
        <f t="shared" si="515"/>
        <v>-2.3262155925666566</v>
      </c>
      <c r="BD647">
        <f t="shared" si="503"/>
        <v>-313.28233584389056</v>
      </c>
      <c r="BF647">
        <f t="shared" si="504"/>
        <v>-87.482327130876612</v>
      </c>
      <c r="BG647">
        <f t="shared" si="505"/>
        <v>-224.24201101096324</v>
      </c>
      <c r="BH647">
        <f t="shared" si="516"/>
        <v>-44.242011010963239</v>
      </c>
      <c r="BI647">
        <f t="shared" si="517"/>
        <v>-44.242011010963239</v>
      </c>
      <c r="BJ647">
        <f t="shared" si="506"/>
        <v>0</v>
      </c>
      <c r="BK647">
        <f t="shared" si="518"/>
        <v>0</v>
      </c>
      <c r="BM647">
        <f t="shared" si="519"/>
        <v>-69.567278358168863</v>
      </c>
      <c r="BN647">
        <f t="shared" si="507"/>
        <v>-90.959675167072675</v>
      </c>
      <c r="BQ647" s="56">
        <f t="shared" si="520"/>
        <v>-1.0130879724226136</v>
      </c>
    </row>
    <row r="648" spans="1:69" x14ac:dyDescent="0.25">
      <c r="A648">
        <f t="shared" si="563"/>
        <v>7200000</v>
      </c>
      <c r="B648">
        <f t="shared" si="508"/>
        <v>7200</v>
      </c>
      <c r="C648">
        <f t="shared" si="539"/>
        <v>59.723765554731543</v>
      </c>
      <c r="D648">
        <f t="shared" si="540"/>
        <v>1.5540517909781546</v>
      </c>
      <c r="F648">
        <f t="shared" si="541"/>
        <v>3.6586575561196986E-7</v>
      </c>
      <c r="G648">
        <f t="shared" si="542"/>
        <v>2.2763008294911626E-4</v>
      </c>
      <c r="H648">
        <f t="shared" si="481"/>
        <v>-3.1413650199170511</v>
      </c>
      <c r="J648">
        <f t="shared" si="482"/>
        <v>15</v>
      </c>
      <c r="M648">
        <f t="shared" si="543"/>
        <v>2.53205649856428E-4</v>
      </c>
      <c r="N648">
        <f t="shared" si="484"/>
        <v>-1.5707963250000001</v>
      </c>
      <c r="O648">
        <f t="shared" si="544"/>
        <v>1190.6891670161494</v>
      </c>
      <c r="P648">
        <f t="shared" si="486"/>
        <v>1.5699564769455325</v>
      </c>
      <c r="Q648">
        <f t="shared" si="545"/>
        <v>1851.1774559255823</v>
      </c>
      <c r="R648">
        <f t="shared" si="488"/>
        <v>1.5702561300431295</v>
      </c>
      <c r="S648">
        <f t="shared" si="546"/>
        <v>1.6743753357004742E-2</v>
      </c>
      <c r="T648">
        <f t="shared" si="490"/>
        <v>-1.5540517909781546</v>
      </c>
      <c r="U648">
        <f t="shared" si="547"/>
        <v>2.714514491291186E-2</v>
      </c>
      <c r="V648">
        <f t="shared" si="492"/>
        <v>-1.5436478470858574</v>
      </c>
      <c r="X648">
        <f t="shared" si="548"/>
        <v>-81.603499343904801</v>
      </c>
      <c r="Y648">
        <f t="shared" si="549"/>
        <v>-178.51053519066653</v>
      </c>
      <c r="Z648">
        <f t="shared" si="510"/>
        <v>1.4894648093334695</v>
      </c>
      <c r="AC648">
        <v>1</v>
      </c>
      <c r="AD648">
        <f t="shared" si="550"/>
        <v>1190.6887470912</v>
      </c>
      <c r="AE648">
        <f t="shared" si="551"/>
        <v>-8.0798234752067533</v>
      </c>
      <c r="AF648">
        <f t="shared" si="552"/>
        <v>0.21940883067600001</v>
      </c>
      <c r="AG648">
        <f t="shared" si="553"/>
        <v>3.8751149928109943</v>
      </c>
      <c r="AH648">
        <f t="shared" si="554"/>
        <v>-147.26045888167695</v>
      </c>
      <c r="AJ648">
        <f t="shared" si="497"/>
        <v>18000</v>
      </c>
      <c r="AK648">
        <f t="shared" si="555"/>
        <v>1074877.0756416002</v>
      </c>
      <c r="AL648">
        <v>23</v>
      </c>
      <c r="AM648">
        <f t="shared" si="556"/>
        <v>1851.1771858272</v>
      </c>
      <c r="AN648">
        <f t="shared" si="557"/>
        <v>580.67633335863036</v>
      </c>
      <c r="AO648">
        <f t="shared" si="558"/>
        <v>-2.5089139863595111</v>
      </c>
      <c r="AQ648">
        <f t="shared" si="559"/>
        <v>4.8225308409407272E-5</v>
      </c>
      <c r="AR648">
        <f t="shared" si="560"/>
        <v>-0.69444444109546466</v>
      </c>
      <c r="AT648">
        <f t="shared" si="561"/>
        <v>-102.26402018493215</v>
      </c>
      <c r="AU648">
        <f t="shared" si="562"/>
        <v>-2.6981537464093659</v>
      </c>
      <c r="AV648">
        <f t="shared" si="511"/>
        <v>-3.115214579285785</v>
      </c>
      <c r="AW648">
        <f t="shared" si="512"/>
        <v>583.39875528151617</v>
      </c>
      <c r="AX648">
        <f t="shared" si="513"/>
        <v>-578.5542830170906</v>
      </c>
      <c r="AY648">
        <f t="shared" si="521"/>
        <v>-0.78122893793382531</v>
      </c>
      <c r="BA648">
        <f t="shared" si="502"/>
        <v>0.12450781686117107</v>
      </c>
      <c r="BB648">
        <f t="shared" si="514"/>
        <v>-18.096067635926627</v>
      </c>
      <c r="BC648">
        <f t="shared" si="515"/>
        <v>-2.3339856413519597</v>
      </c>
      <c r="BD648">
        <f t="shared" si="503"/>
        <v>-313.7275268464079</v>
      </c>
      <c r="BF648">
        <f t="shared" si="504"/>
        <v>-87.78486357145907</v>
      </c>
      <c r="BG648">
        <f t="shared" si="505"/>
        <v>-224.67387573381103</v>
      </c>
      <c r="BH648">
        <f t="shared" si="516"/>
        <v>-44.67387573381103</v>
      </c>
      <c r="BI648">
        <f t="shared" si="517"/>
        <v>-44.67387573381103</v>
      </c>
      <c r="BJ648">
        <f t="shared" si="506"/>
        <v>0</v>
      </c>
      <c r="BK648">
        <f t="shared" si="518"/>
        <v>0</v>
      </c>
      <c r="BM648">
        <f t="shared" si="519"/>
        <v>-69.68879593553244</v>
      </c>
      <c r="BN648">
        <f t="shared" si="507"/>
        <v>-90.946348887403133</v>
      </c>
      <c r="BQ648" s="56">
        <f t="shared" si="520"/>
        <v>-1.1941068356414906</v>
      </c>
    </row>
    <row r="649" spans="1:69" x14ac:dyDescent="0.25">
      <c r="A649">
        <f t="shared" si="563"/>
        <v>7300000</v>
      </c>
      <c r="B649">
        <f t="shared" si="508"/>
        <v>7300</v>
      </c>
      <c r="C649">
        <f t="shared" si="539"/>
        <v>60.553031338799649</v>
      </c>
      <c r="D649">
        <f t="shared" si="540"/>
        <v>1.5542811261851517</v>
      </c>
      <c r="F649">
        <f t="shared" si="541"/>
        <v>3.5591068857893619E-7</v>
      </c>
      <c r="G649">
        <f t="shared" si="542"/>
        <v>2.2451186049207865E-4</v>
      </c>
      <c r="H649">
        <f t="shared" ref="H649:H676" si="564">IF(G649&gt;0,G649-Pi,G649)</f>
        <v>-3.1413681381395082</v>
      </c>
      <c r="J649">
        <f t="shared" ref="J649:J676" si="565">Vin/Vramp</f>
        <v>15</v>
      </c>
      <c r="M649">
        <f t="shared" si="543"/>
        <v>2.4973707931044952E-4</v>
      </c>
      <c r="N649">
        <f t="shared" ref="N649:N676" si="566">-Pi/2</f>
        <v>-1.5707963250000001</v>
      </c>
      <c r="O649">
        <f t="shared" si="544"/>
        <v>1207.2265049733551</v>
      </c>
      <c r="P649">
        <f t="shared" ref="P649:P676" si="567">ATAN2(Fz1_u,A649)</f>
        <v>1.5699679817326904</v>
      </c>
      <c r="Q649">
        <f t="shared" si="545"/>
        <v>1876.8882464732048</v>
      </c>
      <c r="R649">
        <f t="shared" ref="R649:R676" si="568">ATAN2(Fz2_u,A649)</f>
        <v>1.570263529997223</v>
      </c>
      <c r="S649">
        <f t="shared" si="546"/>
        <v>1.6514449861393568E-2</v>
      </c>
      <c r="T649">
        <f t="shared" ref="T649:T676" si="569">-ATAN2(Fp1_u,A649)</f>
        <v>-1.5542811261851517</v>
      </c>
      <c r="U649">
        <f t="shared" si="547"/>
        <v>2.6773562014239947E-2</v>
      </c>
      <c r="V649">
        <f t="shared" ref="V649:V676" si="570">-ATAN2(Fp2_u,A649)</f>
        <v>-1.5440195650948041</v>
      </c>
      <c r="X649">
        <f t="shared" si="548"/>
        <v>-81.843027014801294</v>
      </c>
      <c r="Y649">
        <f t="shared" si="549"/>
        <v>-178.5309285628714</v>
      </c>
      <c r="Z649">
        <f t="shared" si="510"/>
        <v>1.4690714371286049</v>
      </c>
      <c r="AC649">
        <v>1</v>
      </c>
      <c r="AD649">
        <f t="shared" si="550"/>
        <v>1207.2260908008</v>
      </c>
      <c r="AE649">
        <f t="shared" si="551"/>
        <v>-8.3058216241081784</v>
      </c>
      <c r="AF649">
        <f t="shared" si="552"/>
        <v>0.22245617554650002</v>
      </c>
      <c r="AG649">
        <f t="shared" si="553"/>
        <v>3.7697502157923828</v>
      </c>
      <c r="AH649">
        <f t="shared" si="554"/>
        <v>-145.24601432366575</v>
      </c>
      <c r="AJ649">
        <f t="shared" ref="AJ649:AJ676" si="571">_Rfb1</f>
        <v>18000</v>
      </c>
      <c r="AK649">
        <f t="shared" si="555"/>
        <v>1089805.9239144002</v>
      </c>
      <c r="AL649">
        <v>24</v>
      </c>
      <c r="AM649">
        <f t="shared" si="556"/>
        <v>1876.8879800747998</v>
      </c>
      <c r="AN649">
        <f t="shared" si="557"/>
        <v>580.67284806593807</v>
      </c>
      <c r="AO649">
        <f t="shared" si="558"/>
        <v>-2.1652073483125651</v>
      </c>
      <c r="AQ649">
        <f t="shared" si="559"/>
        <v>4.691311668740328E-5</v>
      </c>
      <c r="AR649">
        <f t="shared" si="560"/>
        <v>-0.6849315036360879</v>
      </c>
      <c r="AT649">
        <f t="shared" si="561"/>
        <v>-99.483394137125373</v>
      </c>
      <c r="AU649">
        <f t="shared" si="562"/>
        <v>-2.5888346268534899</v>
      </c>
      <c r="AV649">
        <f t="shared" si="511"/>
        <v>-3.1155757438013292</v>
      </c>
      <c r="AW649">
        <f t="shared" si="512"/>
        <v>583.54656840949895</v>
      </c>
      <c r="AX649">
        <f t="shared" si="513"/>
        <v>-570.31987312027775</v>
      </c>
      <c r="AY649">
        <f t="shared" si="521"/>
        <v>-0.77393573106159774</v>
      </c>
      <c r="BA649">
        <f t="shared" ref="BA649:BA676" si="572">SQRT(AT649^2+AU649^2)/SQRT(AW649^2+AX649^2)</f>
        <v>0.12196311758448035</v>
      </c>
      <c r="BB649">
        <f t="shared" si="514"/>
        <v>-18.275429657200387</v>
      </c>
      <c r="BC649">
        <f t="shared" si="515"/>
        <v>-2.3416400127397314</v>
      </c>
      <c r="BD649">
        <f t="shared" ref="BD649:BD678" si="573">BC649*180/Pi-180</f>
        <v>-314.16609002225402</v>
      </c>
      <c r="BF649">
        <f t="shared" ref="BF649:BF676" si="574">20*LOG(BA649*J649*F649*C649)</f>
        <v>-88.084066076794855</v>
      </c>
      <c r="BG649">
        <f t="shared" ref="BG649:BG676" si="575">(180/Pi)*(D649+H649+BC649)</f>
        <v>-225.09947763117404</v>
      </c>
      <c r="BH649">
        <f t="shared" si="516"/>
        <v>-45.09947763117404</v>
      </c>
      <c r="BI649">
        <f t="shared" si="517"/>
        <v>-45.09947763117404</v>
      </c>
      <c r="BJ649">
        <f t="shared" ref="BJ649:BJ676" si="576">SUM((BF650&lt;0)*(BF649&gt;0))*A649</f>
        <v>0</v>
      </c>
      <c r="BK649">
        <f t="shared" si="518"/>
        <v>0</v>
      </c>
      <c r="BM649">
        <f t="shared" si="519"/>
        <v>-69.808636419594464</v>
      </c>
      <c r="BN649">
        <f t="shared" ref="BN649:BN676" si="577">(H649+D649)*180/Pi</f>
        <v>-90.933387608920015</v>
      </c>
      <c r="BQ649" s="56">
        <f t="shared" si="520"/>
        <v>-1.3734688569152518</v>
      </c>
    </row>
    <row r="650" spans="1:69" x14ac:dyDescent="0.25">
      <c r="A650">
        <f t="shared" si="563"/>
        <v>7400000</v>
      </c>
      <c r="B650">
        <f t="shared" ref="B650:B676" si="578">A650/1000</f>
        <v>7400</v>
      </c>
      <c r="C650">
        <f t="shared" si="539"/>
        <v>61.382300221580969</v>
      </c>
      <c r="D650">
        <f t="shared" si="540"/>
        <v>1.5545042648111123</v>
      </c>
      <c r="F650">
        <f t="shared" si="541"/>
        <v>3.4635647233249781E-7</v>
      </c>
      <c r="G650">
        <f t="shared" si="542"/>
        <v>2.2147791440277435E-4</v>
      </c>
      <c r="H650">
        <f t="shared" si="564"/>
        <v>-3.1413711720855972</v>
      </c>
      <c r="J650">
        <f t="shared" si="565"/>
        <v>15</v>
      </c>
      <c r="M650">
        <f t="shared" si="543"/>
        <v>2.4636225391436238E-4</v>
      </c>
      <c r="N650">
        <f t="shared" si="566"/>
        <v>-1.5707963250000001</v>
      </c>
      <c r="O650">
        <f t="shared" si="544"/>
        <v>1223.7638430860304</v>
      </c>
      <c r="P650">
        <f t="shared" si="567"/>
        <v>1.5699791755798651</v>
      </c>
      <c r="Q650">
        <f t="shared" si="545"/>
        <v>1902.599037120827</v>
      </c>
      <c r="R650">
        <f t="shared" si="568"/>
        <v>1.5702707299526133</v>
      </c>
      <c r="S650">
        <f t="shared" si="546"/>
        <v>1.6291341256195174E-2</v>
      </c>
      <c r="T650">
        <f t="shared" si="569"/>
        <v>-1.5545042648111123</v>
      </c>
      <c r="U650">
        <f t="shared" si="547"/>
        <v>2.6412011242696737E-2</v>
      </c>
      <c r="V650">
        <f t="shared" si="570"/>
        <v>-1.5443812437762356</v>
      </c>
      <c r="X650">
        <f t="shared" si="548"/>
        <v>-82.079298019084263</v>
      </c>
      <c r="Y650">
        <f t="shared" si="549"/>
        <v>-178.55077116992993</v>
      </c>
      <c r="Z650">
        <f t="shared" ref="Z650:Z676" si="579">Y650+180</f>
        <v>1.4492288300700693</v>
      </c>
      <c r="AC650">
        <v>1</v>
      </c>
      <c r="AD650">
        <f t="shared" si="550"/>
        <v>1223.7634345104</v>
      </c>
      <c r="AE650">
        <f t="shared" si="551"/>
        <v>-8.5349369888565167</v>
      </c>
      <c r="AF650">
        <f t="shared" si="552"/>
        <v>0.225503520417</v>
      </c>
      <c r="AG650">
        <f t="shared" si="553"/>
        <v>3.6686240822040284</v>
      </c>
      <c r="AH650">
        <f t="shared" si="554"/>
        <v>-143.28590222300178</v>
      </c>
      <c r="AJ650">
        <f t="shared" si="571"/>
        <v>18000</v>
      </c>
      <c r="AK650">
        <f t="shared" si="555"/>
        <v>1104734.7721872001</v>
      </c>
      <c r="AL650">
        <v>25</v>
      </c>
      <c r="AM650">
        <f t="shared" si="556"/>
        <v>1902.5987743223998</v>
      </c>
      <c r="AN650">
        <f t="shared" si="557"/>
        <v>580.66921780281746</v>
      </c>
      <c r="AO650">
        <f t="shared" si="558"/>
        <v>-1.830795647479647</v>
      </c>
      <c r="AQ650">
        <f t="shared" si="559"/>
        <v>4.5653761661551488E-5</v>
      </c>
      <c r="AR650">
        <f t="shared" si="560"/>
        <v>-0.67567567259096206</v>
      </c>
      <c r="AT650">
        <f t="shared" si="561"/>
        <v>-96.814630870840077</v>
      </c>
      <c r="AU650">
        <f t="shared" si="562"/>
        <v>-2.4853415846561573</v>
      </c>
      <c r="AV650">
        <f t="shared" ref="AV650:AV676" si="580">ATAN2(AT650,AU650)</f>
        <v>-3.1159271542186988</v>
      </c>
      <c r="AW650">
        <f t="shared" ref="AW650:AW676" si="581">AG650-AH650*AO650/_Rfb2+AG650*AN650/_Rfb2+AN650-AO650*AR650+AQ650*AN650</f>
        <v>583.68511215259332</v>
      </c>
      <c r="AX650">
        <f t="shared" ref="AX650:AX676" si="582">AH650+AH650*AN650/_Rfb2+AG650*AO650/_Rfb2+AO650+AO650*AQ650+AN650*AR650</f>
        <v>-562.30780726220632</v>
      </c>
      <c r="AY650">
        <f t="shared" si="521"/>
        <v>-0.76674636765690596</v>
      </c>
      <c r="BA650">
        <f t="shared" si="572"/>
        <v>0.11949275226312996</v>
      </c>
      <c r="BB650">
        <f t="shared" ref="BB650:BB676" si="583">20*LOG(BA650)</f>
        <v>-18.453168713996565</v>
      </c>
      <c r="BC650">
        <f t="shared" ref="BC650:BC676" si="584">AV650-AY650</f>
        <v>-2.3491807865617931</v>
      </c>
      <c r="BD650">
        <f t="shared" si="573"/>
        <v>-314.5981445370146</v>
      </c>
      <c r="BF650">
        <f t="shared" si="574"/>
        <v>-88.38001419907269</v>
      </c>
      <c r="BG650">
        <f t="shared" si="575"/>
        <v>-225.51892107671247</v>
      </c>
      <c r="BH650">
        <f t="shared" ref="BH650:BH676" si="585">IF(BG650&gt;180,BG650-180,BG650+180)</f>
        <v>-45.518921076712473</v>
      </c>
      <c r="BI650">
        <f t="shared" ref="BI650:BI676" si="586">IF(BH650&gt;180,BH650-360,BH650)</f>
        <v>-45.518921076712473</v>
      </c>
      <c r="BJ650">
        <f t="shared" si="576"/>
        <v>0</v>
      </c>
      <c r="BK650">
        <f t="shared" ref="BK650:BK676" si="587">IF(BJ650&gt;0,BI650,0)</f>
        <v>0</v>
      </c>
      <c r="BM650">
        <f t="shared" ref="BM650:BM676" si="588">20*LOG(J650*F650*C650)</f>
        <v>-69.926845485076129</v>
      </c>
      <c r="BN650">
        <f t="shared" si="577"/>
        <v>-90.920776539697869</v>
      </c>
      <c r="BQ650" s="56">
        <f t="shared" ref="BQ650:BQ676" si="589">20*LOG(BA650*7)</f>
        <v>-1.5512079137114276</v>
      </c>
    </row>
    <row r="651" spans="1:69" x14ac:dyDescent="0.25">
      <c r="A651">
        <f t="shared" si="563"/>
        <v>7500000</v>
      </c>
      <c r="B651">
        <f t="shared" si="578"/>
        <v>7500</v>
      </c>
      <c r="C651">
        <f t="shared" si="539"/>
        <v>62.211572079159673</v>
      </c>
      <c r="D651">
        <f t="shared" si="540"/>
        <v>1.5547214546321251</v>
      </c>
      <c r="F651">
        <f t="shared" si="541"/>
        <v>3.3718187132828664E-7</v>
      </c>
      <c r="G651">
        <f t="shared" si="542"/>
        <v>2.1852487362204539E-4</v>
      </c>
      <c r="H651">
        <f t="shared" si="564"/>
        <v>-3.141374125126378</v>
      </c>
      <c r="J651">
        <f t="shared" si="565"/>
        <v>15</v>
      </c>
      <c r="M651">
        <f t="shared" si="543"/>
        <v>2.4307742386217086E-4</v>
      </c>
      <c r="N651">
        <f t="shared" si="566"/>
        <v>-1.5707963250000001</v>
      </c>
      <c r="O651">
        <f t="shared" si="544"/>
        <v>1240.301181347957</v>
      </c>
      <c r="P651">
        <f t="shared" si="567"/>
        <v>1.5699900709246453</v>
      </c>
      <c r="Q651">
        <f t="shared" si="545"/>
        <v>1928.3098278644484</v>
      </c>
      <c r="R651">
        <f t="shared" si="568"/>
        <v>1.5702777379092454</v>
      </c>
      <c r="S651">
        <f t="shared" si="546"/>
        <v>1.6074179876495863E-2</v>
      </c>
      <c r="T651">
        <f t="shared" si="569"/>
        <v>-1.5547214546321251</v>
      </c>
      <c r="U651">
        <f t="shared" si="547"/>
        <v>2.6060091869595965E-2</v>
      </c>
      <c r="V651">
        <f t="shared" si="570"/>
        <v>-1.5447332843321226</v>
      </c>
      <c r="X651">
        <f t="shared" si="548"/>
        <v>-82.312399696782165</v>
      </c>
      <c r="Y651">
        <f t="shared" si="549"/>
        <v>-178.57008502118495</v>
      </c>
      <c r="Z651">
        <f t="shared" si="579"/>
        <v>1.4299149788150487</v>
      </c>
      <c r="AC651">
        <v>1</v>
      </c>
      <c r="AD651">
        <f t="shared" si="550"/>
        <v>1240.30077822</v>
      </c>
      <c r="AE651">
        <f t="shared" si="551"/>
        <v>-8.7671695694517702</v>
      </c>
      <c r="AF651">
        <f t="shared" si="552"/>
        <v>0.22855086528749999</v>
      </c>
      <c r="AG651">
        <f t="shared" si="553"/>
        <v>3.5715123027016031</v>
      </c>
      <c r="AH651">
        <f t="shared" si="554"/>
        <v>-141.37795512837792</v>
      </c>
      <c r="AJ651">
        <f t="shared" si="571"/>
        <v>18000</v>
      </c>
      <c r="AK651">
        <f t="shared" si="555"/>
        <v>1119663.6204600001</v>
      </c>
      <c r="AL651">
        <v>26</v>
      </c>
      <c r="AM651">
        <f t="shared" si="556"/>
        <v>1928.30956857</v>
      </c>
      <c r="AN651">
        <f t="shared" si="557"/>
        <v>580.66545781604782</v>
      </c>
      <c r="AO651">
        <f t="shared" si="558"/>
        <v>-1.5053071063352883</v>
      </c>
      <c r="AQ651">
        <f t="shared" si="559"/>
        <v>4.4444444246913578E-5</v>
      </c>
      <c r="AR651">
        <f t="shared" si="560"/>
        <v>-0.66666666370370375</v>
      </c>
      <c r="AT651">
        <f t="shared" si="561"/>
        <v>-94.251810932808226</v>
      </c>
      <c r="AU651">
        <f t="shared" si="562"/>
        <v>-2.387291655863256</v>
      </c>
      <c r="AV651">
        <f t="shared" si="580"/>
        <v>-3.1162692003307026</v>
      </c>
      <c r="AW651">
        <f t="shared" si="581"/>
        <v>583.81496560859262</v>
      </c>
      <c r="AX651">
        <f t="shared" si="582"/>
        <v>-554.50920807391992</v>
      </c>
      <c r="AY651">
        <f t="shared" ref="AY651:AY676" si="590">ATAN2(AW651,AX651)</f>
        <v>-0.75965919879160038</v>
      </c>
      <c r="BA651">
        <f t="shared" si="572"/>
        <v>0.11709386311039979</v>
      </c>
      <c r="BB651">
        <f t="shared" si="583"/>
        <v>-18.629317314117252</v>
      </c>
      <c r="BC651">
        <f t="shared" si="584"/>
        <v>-2.3566100015391021</v>
      </c>
      <c r="BD651">
        <f t="shared" si="573"/>
        <v>-315.02380720079617</v>
      </c>
      <c r="BF651">
        <f t="shared" si="574"/>
        <v>-88.67278427948618</v>
      </c>
      <c r="BG651">
        <f t="shared" si="575"/>
        <v>-225.93230887715626</v>
      </c>
      <c r="BH651">
        <f t="shared" si="585"/>
        <v>-45.93230887715626</v>
      </c>
      <c r="BI651">
        <f t="shared" si="586"/>
        <v>-45.93230887715626</v>
      </c>
      <c r="BJ651">
        <f t="shared" si="576"/>
        <v>0</v>
      </c>
      <c r="BK651">
        <f t="shared" si="587"/>
        <v>0</v>
      </c>
      <c r="BM651">
        <f t="shared" si="588"/>
        <v>-70.043466965368921</v>
      </c>
      <c r="BN651">
        <f t="shared" si="577"/>
        <v>-90.908501676360089</v>
      </c>
      <c r="BQ651" s="56">
        <f t="shared" si="589"/>
        <v>-1.7273565138321136</v>
      </c>
    </row>
    <row r="652" spans="1:69" x14ac:dyDescent="0.25">
      <c r="A652">
        <f t="shared" si="563"/>
        <v>7600000</v>
      </c>
      <c r="B652">
        <f t="shared" si="578"/>
        <v>7600</v>
      </c>
      <c r="C652">
        <f t="shared" si="539"/>
        <v>63.040846794139682</v>
      </c>
      <c r="D652">
        <f t="shared" si="540"/>
        <v>1.5549329303890507</v>
      </c>
      <c r="F652">
        <f t="shared" si="541"/>
        <v>3.283670378442719E-7</v>
      </c>
      <c r="G652">
        <f t="shared" si="542"/>
        <v>2.1564954451518679E-4</v>
      </c>
      <c r="H652">
        <f t="shared" si="564"/>
        <v>-3.1413770004554848</v>
      </c>
      <c r="J652">
        <f t="shared" si="565"/>
        <v>15</v>
      </c>
      <c r="M652">
        <f t="shared" si="543"/>
        <v>2.3987903670608969E-4</v>
      </c>
      <c r="N652">
        <f t="shared" si="566"/>
        <v>-1.5707963250000001</v>
      </c>
      <c r="O652">
        <f t="shared" si="544"/>
        <v>1256.8385197532434</v>
      </c>
      <c r="P652">
        <f t="shared" si="567"/>
        <v>1.5700006795500099</v>
      </c>
      <c r="Q652">
        <f t="shared" si="545"/>
        <v>1954.0206187002798</v>
      </c>
      <c r="R652">
        <f t="shared" si="568"/>
        <v>1.5702845614460152</v>
      </c>
      <c r="S652">
        <f t="shared" si="546"/>
        <v>1.5862731083951125E-2</v>
      </c>
      <c r="T652">
        <f t="shared" si="569"/>
        <v>-1.5549329303890507</v>
      </c>
      <c r="U652">
        <f t="shared" si="547"/>
        <v>2.5717424221386936E-2</v>
      </c>
      <c r="V652">
        <f t="shared" si="570"/>
        <v>-1.5450760668724595</v>
      </c>
      <c r="X652">
        <f t="shared" si="548"/>
        <v>-82.542415921985707</v>
      </c>
      <c r="Y652">
        <f t="shared" si="549"/>
        <v>-178.58889096896297</v>
      </c>
      <c r="Z652">
        <f t="shared" si="579"/>
        <v>1.4111090310370287</v>
      </c>
      <c r="AC652">
        <v>1</v>
      </c>
      <c r="AD652">
        <f t="shared" si="550"/>
        <v>1256.8381219296</v>
      </c>
      <c r="AE652">
        <f t="shared" si="551"/>
        <v>-9.0025193658939422</v>
      </c>
      <c r="AF652">
        <f t="shared" si="552"/>
        <v>0.231598210158</v>
      </c>
      <c r="AG652">
        <f t="shared" si="553"/>
        <v>3.4782052262865002</v>
      </c>
      <c r="AH652">
        <f t="shared" si="554"/>
        <v>-139.52011928828625</v>
      </c>
      <c r="AJ652">
        <f t="shared" si="571"/>
        <v>18000</v>
      </c>
      <c r="AK652">
        <f t="shared" si="555"/>
        <v>1134592.4687328001</v>
      </c>
      <c r="AL652">
        <v>27</v>
      </c>
      <c r="AM652">
        <f t="shared" si="556"/>
        <v>1954.0203628175998</v>
      </c>
      <c r="AN652">
        <f t="shared" si="557"/>
        <v>580.66158205908459</v>
      </c>
      <c r="AO652">
        <f t="shared" si="558"/>
        <v>-1.1883895012518266</v>
      </c>
      <c r="AQ652">
        <f t="shared" si="559"/>
        <v>4.3282548289116396E-5</v>
      </c>
      <c r="AR652">
        <f t="shared" si="560"/>
        <v>-0.65789473399456921</v>
      </c>
      <c r="AT652">
        <f t="shared" si="561"/>
        <v>-91.789401220471987</v>
      </c>
      <c r="AU652">
        <f t="shared" si="562"/>
        <v>-2.2943316884266758</v>
      </c>
      <c r="AV652">
        <f t="shared" si="580"/>
        <v>-3.1166022514386533</v>
      </c>
      <c r="AW652">
        <f t="shared" si="581"/>
        <v>583.93666657499477</v>
      </c>
      <c r="AX652">
        <f t="shared" si="582"/>
        <v>-546.91566414483054</v>
      </c>
      <c r="AY652">
        <f t="shared" si="590"/>
        <v>-0.75267259486661142</v>
      </c>
      <c r="BA652">
        <f t="shared" si="572"/>
        <v>0.1147637328844878</v>
      </c>
      <c r="BB652">
        <f t="shared" si="583"/>
        <v>-18.803906680676818</v>
      </c>
      <c r="BC652">
        <f t="shared" si="584"/>
        <v>-2.3639296565720418</v>
      </c>
      <c r="BD652">
        <f t="shared" si="573"/>
        <v>-315.44319254215452</v>
      </c>
      <c r="BF652">
        <f t="shared" si="574"/>
        <v>-88.962449630900238</v>
      </c>
      <c r="BG652">
        <f t="shared" si="575"/>
        <v>-226.33974229438232</v>
      </c>
      <c r="BH652">
        <f t="shared" si="585"/>
        <v>-46.339742294382319</v>
      </c>
      <c r="BI652">
        <f t="shared" si="586"/>
        <v>-46.339742294382319</v>
      </c>
      <c r="BJ652">
        <f t="shared" si="576"/>
        <v>0</v>
      </c>
      <c r="BK652">
        <f t="shared" si="587"/>
        <v>0</v>
      </c>
      <c r="BM652">
        <f t="shared" si="588"/>
        <v>-70.158542950223406</v>
      </c>
      <c r="BN652">
        <f t="shared" si="577"/>
        <v>-90.896549752227799</v>
      </c>
      <c r="BQ652" s="56">
        <f t="shared" si="589"/>
        <v>-1.9019458803916813</v>
      </c>
    </row>
    <row r="653" spans="1:69" x14ac:dyDescent="0.25">
      <c r="A653">
        <f t="shared" si="563"/>
        <v>7700000</v>
      </c>
      <c r="B653">
        <f t="shared" si="578"/>
        <v>7700</v>
      </c>
      <c r="C653">
        <f t="shared" si="539"/>
        <v>63.870124255221519</v>
      </c>
      <c r="D653">
        <f t="shared" si="540"/>
        <v>1.555138914633537</v>
      </c>
      <c r="F653">
        <f t="shared" si="541"/>
        <v>3.1989340454723135E-7</v>
      </c>
      <c r="G653">
        <f t="shared" si="542"/>
        <v>2.1284889935085642E-4</v>
      </c>
      <c r="H653">
        <f t="shared" si="564"/>
        <v>-3.1413798011006495</v>
      </c>
      <c r="J653">
        <f t="shared" si="565"/>
        <v>15</v>
      </c>
      <c r="M653">
        <f t="shared" si="543"/>
        <v>2.3676372454107554E-4</v>
      </c>
      <c r="N653">
        <f t="shared" si="566"/>
        <v>-1.5707963250000001</v>
      </c>
      <c r="O653">
        <f t="shared" si="544"/>
        <v>1273.3758582963042</v>
      </c>
      <c r="P653">
        <f t="shared" si="567"/>
        <v>1.5700110126268361</v>
      </c>
      <c r="Q653">
        <f t="shared" si="545"/>
        <v>1979.7314096247285</v>
      </c>
      <c r="R653">
        <f t="shared" si="568"/>
        <v>1.5702912077481095</v>
      </c>
      <c r="S653">
        <f t="shared" si="546"/>
        <v>1.5656772421548063E-2</v>
      </c>
      <c r="T653">
        <f t="shared" si="569"/>
        <v>-1.555138914633537</v>
      </c>
      <c r="U653">
        <f t="shared" si="547"/>
        <v>2.538364831517374E-2</v>
      </c>
      <c r="V653">
        <f t="shared" si="570"/>
        <v>-1.545409951783046</v>
      </c>
      <c r="X653">
        <f t="shared" si="548"/>
        <v>-82.769427283783585</v>
      </c>
      <c r="Y653">
        <f t="shared" si="549"/>
        <v>-178.60720878360053</v>
      </c>
      <c r="Z653">
        <f t="shared" si="579"/>
        <v>1.3927912163994733</v>
      </c>
      <c r="AC653">
        <v>1</v>
      </c>
      <c r="AD653">
        <f t="shared" si="550"/>
        <v>1273.3754656392</v>
      </c>
      <c r="AE653">
        <f t="shared" si="551"/>
        <v>-9.2409863781830328</v>
      </c>
      <c r="AF653">
        <f t="shared" si="552"/>
        <v>0.23464555502849999</v>
      </c>
      <c r="AG653">
        <f t="shared" si="553"/>
        <v>3.3885067088802234</v>
      </c>
      <c r="AH653">
        <f t="shared" si="554"/>
        <v>-137.71044729664374</v>
      </c>
      <c r="AJ653">
        <f t="shared" si="571"/>
        <v>18000</v>
      </c>
      <c r="AK653">
        <f t="shared" si="555"/>
        <v>1149521.3170056001</v>
      </c>
      <c r="AL653">
        <v>28</v>
      </c>
      <c r="AM653">
        <f t="shared" si="556"/>
        <v>1979.7311570651998</v>
      </c>
      <c r="AN653">
        <f t="shared" si="557"/>
        <v>580.65760330749015</v>
      </c>
      <c r="AO653">
        <f t="shared" si="558"/>
        <v>-0.87970889439960409</v>
      </c>
      <c r="AQ653">
        <f t="shared" si="559"/>
        <v>4.2165626403416991E-5</v>
      </c>
      <c r="AR653">
        <f t="shared" si="560"/>
        <v>-0.64935064661262165</v>
      </c>
      <c r="AT653">
        <f t="shared" si="561"/>
        <v>-89.422225118881002</v>
      </c>
      <c r="AU653">
        <f t="shared" si="562"/>
        <v>-2.2061356697351373</v>
      </c>
      <c r="AV653">
        <f t="shared" si="580"/>
        <v>-3.1169266576811592</v>
      </c>
      <c r="AW653">
        <f t="shared" si="581"/>
        <v>584.05071492407455</v>
      </c>
      <c r="AX653">
        <f t="shared" si="582"/>
        <v>-539.51919987373196</v>
      </c>
      <c r="AY653">
        <f t="shared" si="590"/>
        <v>-0.74578494576692544</v>
      </c>
      <c r="BA653">
        <f t="shared" si="572"/>
        <v>0.11249977619362059</v>
      </c>
      <c r="BB653">
        <f t="shared" si="583"/>
        <v>-18.976966830691889</v>
      </c>
      <c r="BC653">
        <f t="shared" si="584"/>
        <v>-2.371141711914234</v>
      </c>
      <c r="BD653">
        <f t="shared" si="573"/>
        <v>-315.85641287534906</v>
      </c>
      <c r="BF653">
        <f t="shared" si="574"/>
        <v>-89.249080707734691</v>
      </c>
      <c r="BG653">
        <f t="shared" si="575"/>
        <v>-226.74132106485615</v>
      </c>
      <c r="BH653">
        <f t="shared" si="585"/>
        <v>-46.741321064856152</v>
      </c>
      <c r="BI653">
        <f t="shared" si="586"/>
        <v>-46.741321064856152</v>
      </c>
      <c r="BJ653">
        <f t="shared" si="576"/>
        <v>0</v>
      </c>
      <c r="BK653">
        <f t="shared" si="587"/>
        <v>0</v>
      </c>
      <c r="BM653">
        <f t="shared" si="588"/>
        <v>-70.272113877042813</v>
      </c>
      <c r="BN653">
        <f t="shared" si="577"/>
        <v>-90.884908189507073</v>
      </c>
      <c r="BQ653" s="56">
        <f t="shared" si="589"/>
        <v>-2.0750060304067537</v>
      </c>
    </row>
    <row r="654" spans="1:69" x14ac:dyDescent="0.25">
      <c r="A654">
        <f t="shared" si="563"/>
        <v>7800000</v>
      </c>
      <c r="B654">
        <f t="shared" si="578"/>
        <v>7800</v>
      </c>
      <c r="C654">
        <f t="shared" si="539"/>
        <v>64.699404356811613</v>
      </c>
      <c r="D654">
        <f t="shared" si="540"/>
        <v>1.5553396185089916</v>
      </c>
      <c r="F654">
        <f t="shared" si="541"/>
        <v>3.1174358663820528E-7</v>
      </c>
      <c r="G654">
        <f t="shared" si="542"/>
        <v>2.1012006566622438E-4</v>
      </c>
      <c r="H654">
        <f t="shared" si="564"/>
        <v>-3.1413825299343339</v>
      </c>
      <c r="J654">
        <f t="shared" si="565"/>
        <v>15</v>
      </c>
      <c r="M654">
        <f t="shared" si="543"/>
        <v>2.3372829217516429E-4</v>
      </c>
      <c r="N654">
        <f t="shared" si="566"/>
        <v>-1.5707963250000001</v>
      </c>
      <c r="O654">
        <f t="shared" si="544"/>
        <v>1289.9131969718403</v>
      </c>
      <c r="P654">
        <f t="shared" si="567"/>
        <v>1.5700210807531356</v>
      </c>
      <c r="Q654">
        <f t="shared" si="545"/>
        <v>2005.4422006343862</v>
      </c>
      <c r="R654">
        <f t="shared" si="568"/>
        <v>1.5702976836322442</v>
      </c>
      <c r="S654">
        <f t="shared" si="546"/>
        <v>1.5456092833329452E-2</v>
      </c>
      <c r="T654">
        <f t="shared" si="569"/>
        <v>-1.5553396185089916</v>
      </c>
      <c r="U654">
        <f t="shared" si="547"/>
        <v>2.5058422598954046E-2</v>
      </c>
      <c r="V654">
        <f t="shared" si="570"/>
        <v>-1.5457352809882186</v>
      </c>
      <c r="X654">
        <f t="shared" si="548"/>
        <v>-82.993511255546935</v>
      </c>
      <c r="Y654">
        <f t="shared" si="549"/>
        <v>-178.62505722270865</v>
      </c>
      <c r="Z654">
        <f t="shared" si="579"/>
        <v>1.3749427772913521</v>
      </c>
      <c r="AC654">
        <v>1</v>
      </c>
      <c r="AD654">
        <f t="shared" si="550"/>
        <v>1289.9128093488</v>
      </c>
      <c r="AE654">
        <f t="shared" si="551"/>
        <v>-9.4825706063190367</v>
      </c>
      <c r="AF654">
        <f t="shared" si="552"/>
        <v>0.237692899899</v>
      </c>
      <c r="AG654">
        <f t="shared" si="553"/>
        <v>3.3022330826039688</v>
      </c>
      <c r="AH654">
        <f t="shared" si="554"/>
        <v>-135.9470913016138</v>
      </c>
      <c r="AJ654">
        <f t="shared" si="571"/>
        <v>18000</v>
      </c>
      <c r="AK654">
        <f t="shared" si="555"/>
        <v>1164450.1652784001</v>
      </c>
      <c r="AL654">
        <v>29</v>
      </c>
      <c r="AM654">
        <f t="shared" si="556"/>
        <v>2005.4419513127998</v>
      </c>
      <c r="AN654">
        <f t="shared" si="557"/>
        <v>580.65353326310219</v>
      </c>
      <c r="AO654">
        <f t="shared" si="558"/>
        <v>-0.57894846301085501</v>
      </c>
      <c r="AQ654">
        <f t="shared" si="559"/>
        <v>4.109138707638319E-5</v>
      </c>
      <c r="AR654">
        <f t="shared" si="560"/>
        <v>-0.64102563839157778</v>
      </c>
      <c r="AT654">
        <f t="shared" si="561"/>
        <v>-87.145435295757281</v>
      </c>
      <c r="AU654">
        <f t="shared" si="562"/>
        <v>-2.1224023244445798</v>
      </c>
      <c r="AV654">
        <f t="shared" si="580"/>
        <v>-3.1172427512608611</v>
      </c>
      <c r="AW654">
        <f t="shared" si="581"/>
        <v>584.1575756657503</v>
      </c>
      <c r="AX654">
        <f t="shared" si="582"/>
        <v>-532.31224762877628</v>
      </c>
      <c r="AY654">
        <f t="shared" si="590"/>
        <v>-0.73899466101579803</v>
      </c>
      <c r="BA654">
        <f t="shared" si="572"/>
        <v>0.11029953145982083</v>
      </c>
      <c r="BB654">
        <f t="shared" si="583"/>
        <v>-19.148526647813878</v>
      </c>
      <c r="BC654">
        <f t="shared" si="584"/>
        <v>-2.3782480902450631</v>
      </c>
      <c r="BD654">
        <f t="shared" si="573"/>
        <v>-316.26357836179409</v>
      </c>
      <c r="BF654">
        <f t="shared" si="574"/>
        <v>-89.532745264091162</v>
      </c>
      <c r="BG654">
        <f t="shared" si="575"/>
        <v>-227.13714341694583</v>
      </c>
      <c r="BH654">
        <f t="shared" si="585"/>
        <v>-47.137143416945833</v>
      </c>
      <c r="BI654">
        <f t="shared" si="586"/>
        <v>-47.137143416945833</v>
      </c>
      <c r="BJ654">
        <f t="shared" si="576"/>
        <v>0</v>
      </c>
      <c r="BK654">
        <f t="shared" si="587"/>
        <v>0</v>
      </c>
      <c r="BM654">
        <f t="shared" si="588"/>
        <v>-70.38421861627728</v>
      </c>
      <c r="BN654">
        <f t="shared" si="577"/>
        <v>-90.873565055151744</v>
      </c>
      <c r="BQ654" s="56">
        <f t="shared" si="589"/>
        <v>-2.2465658475287404</v>
      </c>
    </row>
    <row r="655" spans="1:69" x14ac:dyDescent="0.25">
      <c r="A655">
        <f t="shared" si="563"/>
        <v>7900000</v>
      </c>
      <c r="B655">
        <f t="shared" si="578"/>
        <v>7900</v>
      </c>
      <c r="C655">
        <f t="shared" si="539"/>
        <v>65.528686998661314</v>
      </c>
      <c r="D655">
        <f t="shared" si="540"/>
        <v>1.5555352424722757</v>
      </c>
      <c r="F655">
        <f t="shared" si="541"/>
        <v>3.0390129261312934E-7</v>
      </c>
      <c r="G655">
        <f t="shared" si="542"/>
        <v>2.0746031643983408E-4</v>
      </c>
      <c r="H655">
        <f t="shared" si="564"/>
        <v>-3.1413851896835605</v>
      </c>
      <c r="J655">
        <f t="shared" si="565"/>
        <v>15</v>
      </c>
      <c r="M655">
        <f t="shared" si="543"/>
        <v>2.3076970619826349E-4</v>
      </c>
      <c r="N655">
        <f t="shared" si="566"/>
        <v>-1.5707963250000001</v>
      </c>
      <c r="O655">
        <f t="shared" si="544"/>
        <v>1306.450535774821</v>
      </c>
      <c r="P655">
        <f t="shared" si="567"/>
        <v>1.5700308939903129</v>
      </c>
      <c r="Q655">
        <f t="shared" si="545"/>
        <v>2031.1529917260173</v>
      </c>
      <c r="R655">
        <f t="shared" si="568"/>
        <v>1.5703039955699856</v>
      </c>
      <c r="S655">
        <f t="shared" si="546"/>
        <v>1.5260491943329022E-2</v>
      </c>
      <c r="T655">
        <f t="shared" si="569"/>
        <v>-1.5555352424722757</v>
      </c>
      <c r="U655">
        <f t="shared" si="547"/>
        <v>2.4741422787322397E-2</v>
      </c>
      <c r="V655">
        <f t="shared" si="570"/>
        <v>-1.5460523791178176</v>
      </c>
      <c r="X655">
        <f t="shared" si="548"/>
        <v>-83.214742353451157</v>
      </c>
      <c r="Y655">
        <f t="shared" si="549"/>
        <v>-178.6424540951846</v>
      </c>
      <c r="Z655">
        <f t="shared" si="579"/>
        <v>1.3575459048153959</v>
      </c>
      <c r="AC655">
        <v>1</v>
      </c>
      <c r="AD655">
        <f t="shared" si="550"/>
        <v>1306.4501530584</v>
      </c>
      <c r="AE655">
        <f t="shared" si="551"/>
        <v>-9.7272720503019592</v>
      </c>
      <c r="AF655">
        <f t="shared" si="552"/>
        <v>0.24074024476949998</v>
      </c>
      <c r="AG655">
        <f t="shared" si="553"/>
        <v>3.2192122156502219</v>
      </c>
      <c r="AH655">
        <f t="shared" si="554"/>
        <v>-134.22829672797198</v>
      </c>
      <c r="AJ655">
        <f t="shared" si="571"/>
        <v>18000</v>
      </c>
      <c r="AK655">
        <f t="shared" si="555"/>
        <v>1179379.0135512</v>
      </c>
      <c r="AL655">
        <v>30</v>
      </c>
      <c r="AM655">
        <f t="shared" si="556"/>
        <v>2031.1527455604</v>
      </c>
      <c r="AN655">
        <f t="shared" si="557"/>
        <v>580.64938264814054</v>
      </c>
      <c r="AO655">
        <f t="shared" si="558"/>
        <v>-0.2858074174011076</v>
      </c>
      <c r="AQ655">
        <f t="shared" si="559"/>
        <v>4.0057682903149807E-5</v>
      </c>
      <c r="AR655">
        <f t="shared" si="560"/>
        <v>-0.63291138986976692</v>
      </c>
      <c r="AT655">
        <f t="shared" si="561"/>
        <v>-84.954488887770097</v>
      </c>
      <c r="AU655">
        <f t="shared" si="562"/>
        <v>-2.0428529522398726</v>
      </c>
      <c r="AV655">
        <f t="shared" si="580"/>
        <v>-3.1175508475781415</v>
      </c>
      <c r="AW655">
        <f t="shared" si="581"/>
        <v>584.25768173049823</v>
      </c>
      <c r="AX655">
        <f t="shared" si="582"/>
        <v>-525.28762201287884</v>
      </c>
      <c r="AY655">
        <f t="shared" si="590"/>
        <v>-0.73230016992397551</v>
      </c>
      <c r="BA655">
        <f t="shared" si="572"/>
        <v>0.10816065348249319</v>
      </c>
      <c r="BB655">
        <f t="shared" si="583"/>
        <v>-19.318613949686455</v>
      </c>
      <c r="BC655">
        <f t="shared" si="584"/>
        <v>-2.3852506776541658</v>
      </c>
      <c r="BD655">
        <f t="shared" si="573"/>
        <v>-316.66479706646555</v>
      </c>
      <c r="BF655">
        <f t="shared" si="574"/>
        <v>-89.813508501057285</v>
      </c>
      <c r="BG655">
        <f t="shared" si="575"/>
        <v>-227.52730608654215</v>
      </c>
      <c r="BH655">
        <f t="shared" si="585"/>
        <v>-47.527306086542154</v>
      </c>
      <c r="BI655">
        <f t="shared" si="586"/>
        <v>-47.527306086542154</v>
      </c>
      <c r="BJ655">
        <f t="shared" si="576"/>
        <v>0</v>
      </c>
      <c r="BK655">
        <f t="shared" si="587"/>
        <v>0</v>
      </c>
      <c r="BM655">
        <f t="shared" si="588"/>
        <v>-70.494894551370834</v>
      </c>
      <c r="BN655">
        <f t="shared" si="577"/>
        <v>-90.862509020076573</v>
      </c>
      <c r="BQ655" s="56">
        <f t="shared" si="589"/>
        <v>-2.4166531494013204</v>
      </c>
    </row>
    <row r="656" spans="1:69" x14ac:dyDescent="0.25">
      <c r="A656">
        <f t="shared" si="563"/>
        <v>8000000</v>
      </c>
      <c r="B656">
        <f t="shared" si="578"/>
        <v>8000</v>
      </c>
      <c r="C656">
        <f t="shared" si="539"/>
        <v>66.357972085532936</v>
      </c>
      <c r="D656">
        <f t="shared" si="540"/>
        <v>1.5557259769613001</v>
      </c>
      <c r="F656">
        <f t="shared" si="541"/>
        <v>2.9635124278258357E-7</v>
      </c>
      <c r="G656">
        <f t="shared" si="542"/>
        <v>2.0486706100150047E-4</v>
      </c>
      <c r="H656">
        <f t="shared" si="564"/>
        <v>-3.1413877829389989</v>
      </c>
      <c r="J656">
        <f t="shared" si="565"/>
        <v>15</v>
      </c>
      <c r="M656">
        <f t="shared" si="543"/>
        <v>2.2788508487078517E-4</v>
      </c>
      <c r="N656">
        <f t="shared" si="566"/>
        <v>-1.5707963250000001</v>
      </c>
      <c r="O656">
        <f t="shared" si="544"/>
        <v>1322.987874700467</v>
      </c>
      <c r="P656">
        <f t="shared" si="567"/>
        <v>1.570040461896703</v>
      </c>
      <c r="Q656">
        <f t="shared" si="545"/>
        <v>2056.8637828965479</v>
      </c>
      <c r="R656">
        <f t="shared" si="568"/>
        <v>1.570310149709321</v>
      </c>
      <c r="S656">
        <f t="shared" si="546"/>
        <v>1.5069779388541862E-2</v>
      </c>
      <c r="T656">
        <f t="shared" si="569"/>
        <v>-1.5557259769613001</v>
      </c>
      <c r="U656">
        <f t="shared" si="547"/>
        <v>2.443234078430576E-2</v>
      </c>
      <c r="V656">
        <f t="shared" si="570"/>
        <v>-1.5463615545867613</v>
      </c>
      <c r="X656">
        <f t="shared" si="548"/>
        <v>-83.433192285045578</v>
      </c>
      <c r="Y656">
        <f t="shared" si="549"/>
        <v>-178.65941632042984</v>
      </c>
      <c r="Z656">
        <f t="shared" si="579"/>
        <v>1.3405836795701589</v>
      </c>
      <c r="AC656">
        <v>1</v>
      </c>
      <c r="AD656">
        <f t="shared" si="550"/>
        <v>1322.987496768</v>
      </c>
      <c r="AE656">
        <f t="shared" si="551"/>
        <v>-9.9750907101317949</v>
      </c>
      <c r="AF656">
        <f t="shared" si="552"/>
        <v>0.24378758963999997</v>
      </c>
      <c r="AG656">
        <f t="shared" si="553"/>
        <v>3.1392826537613145</v>
      </c>
      <c r="AH656">
        <f t="shared" si="554"/>
        <v>-132.55239646829952</v>
      </c>
      <c r="AJ656">
        <f t="shared" si="571"/>
        <v>18000</v>
      </c>
      <c r="AK656">
        <f t="shared" si="555"/>
        <v>1194307.861824</v>
      </c>
      <c r="AL656">
        <v>31</v>
      </c>
      <c r="AM656">
        <f t="shared" si="556"/>
        <v>2056.863539808</v>
      </c>
      <c r="AN656">
        <f t="shared" si="557"/>
        <v>580.64516129032256</v>
      </c>
      <c r="AO656">
        <f t="shared" si="558"/>
        <v>0</v>
      </c>
      <c r="AQ656">
        <f t="shared" si="559"/>
        <v>3.9062499847412111E-5</v>
      </c>
      <c r="AR656">
        <f t="shared" si="560"/>
        <v>-0.62499999755859381</v>
      </c>
      <c r="AT656">
        <f t="shared" si="561"/>
        <v>-82.845124840844775</v>
      </c>
      <c r="AU656">
        <f t="shared" si="562"/>
        <v>-1.9672294789033746</v>
      </c>
      <c r="AV656">
        <f t="shared" si="580"/>
        <v>-3.1178512462799328</v>
      </c>
      <c r="AW656">
        <f t="shared" si="581"/>
        <v>584.35143650089742</v>
      </c>
      <c r="AX656">
        <f t="shared" si="582"/>
        <v>-518.4384960512607</v>
      </c>
      <c r="AY656">
        <f t="shared" si="590"/>
        <v>-0.72569992173048581</v>
      </c>
      <c r="BA656">
        <f t="shared" si="572"/>
        <v>0.10608090654896854</v>
      </c>
      <c r="BB656">
        <f t="shared" si="583"/>
        <v>-19.487255550367429</v>
      </c>
      <c r="BC656">
        <f t="shared" si="584"/>
        <v>-2.392151324549447</v>
      </c>
      <c r="BD656">
        <f t="shared" si="573"/>
        <v>-317.06017500992704</v>
      </c>
      <c r="BF656">
        <f t="shared" si="574"/>
        <v>-90.091433204039774</v>
      </c>
      <c r="BG656">
        <f t="shared" si="575"/>
        <v>-227.91190433135441</v>
      </c>
      <c r="BH656">
        <f t="shared" si="585"/>
        <v>-47.911904331354407</v>
      </c>
      <c r="BI656">
        <f t="shared" si="586"/>
        <v>-47.911904331354407</v>
      </c>
      <c r="BJ656">
        <f t="shared" si="576"/>
        <v>0</v>
      </c>
      <c r="BK656">
        <f t="shared" si="587"/>
        <v>0</v>
      </c>
      <c r="BM656">
        <f t="shared" si="588"/>
        <v>-70.604177653672352</v>
      </c>
      <c r="BN656">
        <f t="shared" si="577"/>
        <v>-90.851729321427385</v>
      </c>
      <c r="BQ656" s="56">
        <f t="shared" si="589"/>
        <v>-2.585294750082292</v>
      </c>
    </row>
    <row r="657" spans="1:69" x14ac:dyDescent="0.25">
      <c r="A657">
        <f t="shared" si="563"/>
        <v>8100000</v>
      </c>
      <c r="B657">
        <f t="shared" si="578"/>
        <v>8100</v>
      </c>
      <c r="C657">
        <f t="shared" si="539"/>
        <v>67.187259526890529</v>
      </c>
      <c r="D657">
        <f t="shared" si="540"/>
        <v>1.555912003013195</v>
      </c>
      <c r="F657">
        <f t="shared" si="541"/>
        <v>2.8907909478911563E-7</v>
      </c>
      <c r="G657">
        <f t="shared" si="542"/>
        <v>2.023378366155506E-4</v>
      </c>
      <c r="H657">
        <f t="shared" si="564"/>
        <v>-3.1413903121633848</v>
      </c>
      <c r="J657">
        <f t="shared" si="565"/>
        <v>15</v>
      </c>
      <c r="M657">
        <f t="shared" si="543"/>
        <v>2.2507168876126932E-4</v>
      </c>
      <c r="N657">
        <f t="shared" si="566"/>
        <v>-1.5707963250000001</v>
      </c>
      <c r="O657">
        <f t="shared" si="544"/>
        <v>1339.5252137442355</v>
      </c>
      <c r="P657">
        <f t="shared" si="567"/>
        <v>1.570049793558624</v>
      </c>
      <c r="Q657">
        <f t="shared" si="545"/>
        <v>2082.5745741430546</v>
      </c>
      <c r="R657">
        <f t="shared" si="568"/>
        <v>1.5703161518946342</v>
      </c>
      <c r="S657">
        <f t="shared" si="546"/>
        <v>1.4883774201264566E-2</v>
      </c>
      <c r="T657">
        <f t="shared" si="569"/>
        <v>-1.555912003013195</v>
      </c>
      <c r="U657">
        <f t="shared" si="547"/>
        <v>2.4130883685819726E-2</v>
      </c>
      <c r="V657">
        <f t="shared" si="570"/>
        <v>-1.5466631005947631</v>
      </c>
      <c r="X657">
        <f t="shared" si="548"/>
        <v>-83.64893008861128</v>
      </c>
      <c r="Y657">
        <f t="shared" si="549"/>
        <v>-178.67595998318879</v>
      </c>
      <c r="Z657">
        <f t="shared" si="579"/>
        <v>1.3240400168112103</v>
      </c>
      <c r="AC657">
        <v>1</v>
      </c>
      <c r="AD657">
        <f t="shared" si="550"/>
        <v>1339.5248404776</v>
      </c>
      <c r="AE657">
        <f t="shared" si="551"/>
        <v>-10.226026585808546</v>
      </c>
      <c r="AF657">
        <f t="shared" si="552"/>
        <v>0.24683493451049998</v>
      </c>
      <c r="AG657">
        <f t="shared" si="553"/>
        <v>3.0622928353199623</v>
      </c>
      <c r="AH657">
        <f t="shared" si="554"/>
        <v>-130.91780550268234</v>
      </c>
      <c r="AJ657">
        <f t="shared" si="571"/>
        <v>18000</v>
      </c>
      <c r="AK657">
        <f t="shared" si="555"/>
        <v>1209236.7100968</v>
      </c>
      <c r="AL657">
        <v>32</v>
      </c>
      <c r="AM657">
        <f t="shared" si="556"/>
        <v>2082.5743340555996</v>
      </c>
      <c r="AN657">
        <f t="shared" si="557"/>
        <v>580.64087819992585</v>
      </c>
      <c r="AO657">
        <f t="shared" si="558"/>
        <v>0.27874544159350378</v>
      </c>
      <c r="AQ657">
        <f t="shared" si="559"/>
        <v>3.8103947423777063E-5</v>
      </c>
      <c r="AR657">
        <f t="shared" si="560"/>
        <v>-0.6172839482651884</v>
      </c>
      <c r="AT657">
        <f t="shared" si="561"/>
        <v>-80.813343193464576</v>
      </c>
      <c r="AU657">
        <f t="shared" si="562"/>
        <v>-1.8952926973082151</v>
      </c>
      <c r="AV657">
        <f t="shared" si="580"/>
        <v>-3.1181442322309487</v>
      </c>
      <c r="AW657">
        <f t="shared" si="581"/>
        <v>584.43921611715984</v>
      </c>
      <c r="AX657">
        <f t="shared" si="582"/>
        <v>-511.7583791358245</v>
      </c>
      <c r="AY657">
        <f t="shared" si="590"/>
        <v>-0.71919238573223909</v>
      </c>
      <c r="BA657">
        <f t="shared" si="572"/>
        <v>0.10405815804445036</v>
      </c>
      <c r="BB657">
        <f t="shared" si="583"/>
        <v>-19.654477318215584</v>
      </c>
      <c r="BC657">
        <f t="shared" si="584"/>
        <v>-2.3989518464987096</v>
      </c>
      <c r="BD657">
        <f t="shared" si="573"/>
        <v>-317.44981621655108</v>
      </c>
      <c r="BF657">
        <f t="shared" si="574"/>
        <v>-90.36657987090274</v>
      </c>
      <c r="BG657">
        <f t="shared" si="575"/>
        <v>-228.29103194419616</v>
      </c>
      <c r="BH657">
        <f t="shared" si="585"/>
        <v>-48.291031944196163</v>
      </c>
      <c r="BI657">
        <f t="shared" si="586"/>
        <v>-48.291031944196163</v>
      </c>
      <c r="BJ657">
        <f t="shared" si="576"/>
        <v>0</v>
      </c>
      <c r="BK657">
        <f t="shared" si="587"/>
        <v>0</v>
      </c>
      <c r="BM657">
        <f t="shared" si="588"/>
        <v>-70.712102552687156</v>
      </c>
      <c r="BN657">
        <f t="shared" si="577"/>
        <v>-90.841215727645064</v>
      </c>
      <c r="BQ657" s="56">
        <f t="shared" si="589"/>
        <v>-2.7525165179304469</v>
      </c>
    </row>
    <row r="658" spans="1:69" x14ac:dyDescent="0.25">
      <c r="A658">
        <f t="shared" si="563"/>
        <v>8200000</v>
      </c>
      <c r="B658">
        <f t="shared" si="578"/>
        <v>8200</v>
      </c>
      <c r="C658">
        <f t="shared" si="539"/>
        <v>68.016549236613372</v>
      </c>
      <c r="D658">
        <f t="shared" si="540"/>
        <v>1.5560934928372738</v>
      </c>
      <c r="F658">
        <f t="shared" si="541"/>
        <v>2.8207137544366516E-7</v>
      </c>
      <c r="G658">
        <f t="shared" si="542"/>
        <v>1.9987030067992534E-4</v>
      </c>
      <c r="H658">
        <f t="shared" si="564"/>
        <v>-3.1413927796993204</v>
      </c>
      <c r="J658">
        <f t="shared" si="565"/>
        <v>15</v>
      </c>
      <c r="M658">
        <f t="shared" si="543"/>
        <v>2.2232691206905875E-4</v>
      </c>
      <c r="N658">
        <f t="shared" si="566"/>
        <v>-1.5707963250000001</v>
      </c>
      <c r="O658">
        <f t="shared" si="544"/>
        <v>1356.0625529018046</v>
      </c>
      <c r="P658">
        <f t="shared" si="567"/>
        <v>1.5700588976191601</v>
      </c>
      <c r="Q658">
        <f t="shared" si="545"/>
        <v>2108.2853654627593</v>
      </c>
      <c r="R658">
        <f t="shared" si="568"/>
        <v>1.5703220076852171</v>
      </c>
      <c r="S658">
        <f t="shared" si="546"/>
        <v>1.4702304236594518E-2</v>
      </c>
      <c r="T658">
        <f t="shared" si="569"/>
        <v>-1.5560934928372738</v>
      </c>
      <c r="U658">
        <f t="shared" si="547"/>
        <v>2.3836772854964824E-2</v>
      </c>
      <c r="V658">
        <f t="shared" si="570"/>
        <v>-1.5469572960529987</v>
      </c>
      <c r="X658">
        <f t="shared" si="548"/>
        <v>-83.862022263983761</v>
      </c>
      <c r="Y658">
        <f t="shared" si="549"/>
        <v>-178.69210038437973</v>
      </c>
      <c r="Z658">
        <f t="shared" si="579"/>
        <v>1.307899615620272</v>
      </c>
      <c r="AC658">
        <v>1</v>
      </c>
      <c r="AD658">
        <f t="shared" si="550"/>
        <v>1356.0621841872</v>
      </c>
      <c r="AE658">
        <f t="shared" si="551"/>
        <v>-10.480079677332215</v>
      </c>
      <c r="AF658">
        <f t="shared" si="552"/>
        <v>0.24988227938100002</v>
      </c>
      <c r="AG658">
        <f t="shared" si="553"/>
        <v>2.9881003729271192</v>
      </c>
      <c r="AH658">
        <f t="shared" si="554"/>
        <v>-129.32301591050495</v>
      </c>
      <c r="AJ658">
        <f t="shared" si="571"/>
        <v>18000</v>
      </c>
      <c r="AK658">
        <f t="shared" si="555"/>
        <v>1224165.5583696</v>
      </c>
      <c r="AL658">
        <v>33</v>
      </c>
      <c r="AM658">
        <f t="shared" si="556"/>
        <v>2108.2851283032001</v>
      </c>
      <c r="AN658">
        <f t="shared" si="557"/>
        <v>580.63654163963474</v>
      </c>
      <c r="AO658">
        <f t="shared" si="558"/>
        <v>0.55068731383707359</v>
      </c>
      <c r="AQ658">
        <f t="shared" si="559"/>
        <v>3.7180249713041904E-5</v>
      </c>
      <c r="AR658">
        <f t="shared" si="560"/>
        <v>-0.60975609529388719</v>
      </c>
      <c r="AT658">
        <f t="shared" si="561"/>
        <v>-78.85538611490071</v>
      </c>
      <c r="AU658">
        <f t="shared" si="562"/>
        <v>-1.8268206777674447</v>
      </c>
      <c r="AV658">
        <f t="shared" si="580"/>
        <v>-3.1184300764139512</v>
      </c>
      <c r="AW658">
        <f t="shared" si="581"/>
        <v>584.52137157918344</v>
      </c>
      <c r="AX658">
        <f t="shared" si="582"/>
        <v>-505.2410965771046</v>
      </c>
      <c r="AY658">
        <f t="shared" si="590"/>
        <v>-0.71277605140026834</v>
      </c>
      <c r="BA658">
        <f t="shared" si="572"/>
        <v>0.10209037251852372</v>
      </c>
      <c r="BB658">
        <f t="shared" si="583"/>
        <v>-19.82030422960807</v>
      </c>
      <c r="BC658">
        <f t="shared" si="584"/>
        <v>-2.4056540250136829</v>
      </c>
      <c r="BD658">
        <f t="shared" si="573"/>
        <v>-317.83382275944109</v>
      </c>
      <c r="BF658">
        <f t="shared" si="574"/>
        <v>-90.639006831620463</v>
      </c>
      <c r="BG658">
        <f t="shared" si="575"/>
        <v>-228.66478126552505</v>
      </c>
      <c r="BH658">
        <f t="shared" si="585"/>
        <v>-48.66478126552505</v>
      </c>
      <c r="BI658">
        <f t="shared" si="586"/>
        <v>-48.66478126552505</v>
      </c>
      <c r="BJ658">
        <f t="shared" si="576"/>
        <v>0</v>
      </c>
      <c r="BK658">
        <f t="shared" si="587"/>
        <v>0</v>
      </c>
      <c r="BM658">
        <f t="shared" si="588"/>
        <v>-70.818702602012408</v>
      </c>
      <c r="BN658">
        <f t="shared" si="577"/>
        <v>-90.830958506083974</v>
      </c>
      <c r="BQ658" s="56">
        <f t="shared" si="589"/>
        <v>-2.918343429322932</v>
      </c>
    </row>
    <row r="659" spans="1:69" x14ac:dyDescent="0.25">
      <c r="A659">
        <f t="shared" si="563"/>
        <v>8300000</v>
      </c>
      <c r="B659">
        <f t="shared" si="578"/>
        <v>8300</v>
      </c>
      <c r="C659">
        <f t="shared" si="539"/>
        <v>68.845841132729944</v>
      </c>
      <c r="D659">
        <f t="shared" si="540"/>
        <v>1.5562706103465969</v>
      </c>
      <c r="F659">
        <f t="shared" si="541"/>
        <v>2.7531541827573253E-7</v>
      </c>
      <c r="G659">
        <f t="shared" si="542"/>
        <v>1.9746222348920314E-4</v>
      </c>
      <c r="H659">
        <f t="shared" si="564"/>
        <v>-3.1413951877765109</v>
      </c>
      <c r="J659">
        <f t="shared" si="565"/>
        <v>15</v>
      </c>
      <c r="M659">
        <f t="shared" si="543"/>
        <v>2.1964827457425078E-4</v>
      </c>
      <c r="N659">
        <f t="shared" si="566"/>
        <v>-1.5707963250000001</v>
      </c>
      <c r="O659">
        <f t="shared" si="544"/>
        <v>1372.5998921690611</v>
      </c>
      <c r="P659">
        <f t="shared" si="567"/>
        <v>1.5700677823048612</v>
      </c>
      <c r="Q659">
        <f t="shared" si="545"/>
        <v>2133.9961568530157</v>
      </c>
      <c r="R659">
        <f t="shared" si="568"/>
        <v>1.5703277223724439</v>
      </c>
      <c r="S659">
        <f t="shared" si="546"/>
        <v>1.4525205641282971E-2</v>
      </c>
      <c r="T659">
        <f t="shared" si="569"/>
        <v>-1.5562706103465969</v>
      </c>
      <c r="U659">
        <f t="shared" si="547"/>
        <v>2.3549743064033884E-2</v>
      </c>
      <c r="V659">
        <f t="shared" si="570"/>
        <v>-1.5472444064438782</v>
      </c>
      <c r="X659">
        <f t="shared" si="548"/>
        <v>-84.07253289546037</v>
      </c>
      <c r="Y659">
        <f t="shared" si="549"/>
        <v>-178.70785208825691</v>
      </c>
      <c r="Z659">
        <f t="shared" si="579"/>
        <v>1.2921479117430863</v>
      </c>
      <c r="AC659">
        <v>1</v>
      </c>
      <c r="AD659">
        <f t="shared" si="550"/>
        <v>1372.5995278968001</v>
      </c>
      <c r="AE659">
        <f t="shared" si="551"/>
        <v>-10.737249984702801</v>
      </c>
      <c r="AF659">
        <f t="shared" si="552"/>
        <v>0.25292962425150001</v>
      </c>
      <c r="AG659">
        <f t="shared" si="553"/>
        <v>2.9165713951088721</v>
      </c>
      <c r="AH659">
        <f t="shared" si="554"/>
        <v>-127.76659224142156</v>
      </c>
      <c r="AJ659">
        <f t="shared" si="571"/>
        <v>18000</v>
      </c>
      <c r="AK659">
        <f t="shared" si="555"/>
        <v>1239094.4066424002</v>
      </c>
      <c r="AL659">
        <v>34</v>
      </c>
      <c r="AM659">
        <f t="shared" si="556"/>
        <v>2133.9959225508001</v>
      </c>
      <c r="AN659">
        <f t="shared" si="557"/>
        <v>580.63215918791093</v>
      </c>
      <c r="AO659">
        <f t="shared" si="558"/>
        <v>0.81607157445143308</v>
      </c>
      <c r="AQ659">
        <f t="shared" si="559"/>
        <v>3.6289737130607717E-5</v>
      </c>
      <c r="AR659">
        <f t="shared" si="560"/>
        <v>-0.60240963636808809</v>
      </c>
      <c r="AT659">
        <f t="shared" si="561"/>
        <v>-76.967720530535289</v>
      </c>
      <c r="AU659">
        <f t="shared" si="562"/>
        <v>-1.7616073296156178</v>
      </c>
      <c r="AV659">
        <f t="shared" si="580"/>
        <v>-3.1187090367650274</v>
      </c>
      <c r="AW659">
        <f t="shared" si="581"/>
        <v>584.59823066518413</v>
      </c>
      <c r="AX659">
        <f t="shared" si="582"/>
        <v>-498.88077062883588</v>
      </c>
      <c r="AY659">
        <f t="shared" si="590"/>
        <v>-0.70644942848094228</v>
      </c>
      <c r="BA659">
        <f t="shared" si="572"/>
        <v>0.10017560616958254</v>
      </c>
      <c r="BB659">
        <f t="shared" si="583"/>
        <v>-19.984760418821988</v>
      </c>
      <c r="BC659">
        <f t="shared" si="584"/>
        <v>-2.412259608284085</v>
      </c>
      <c r="BD659">
        <f t="shared" si="573"/>
        <v>-318.21229480248985</v>
      </c>
      <c r="BF659">
        <f t="shared" si="574"/>
        <v>-90.908770360092802</v>
      </c>
      <c r="BG659">
        <f t="shared" si="575"/>
        <v>-229.03324319546005</v>
      </c>
      <c r="BH659">
        <f t="shared" si="585"/>
        <v>-49.033243195460045</v>
      </c>
      <c r="BI659">
        <f t="shared" si="586"/>
        <v>-49.033243195460045</v>
      </c>
      <c r="BJ659">
        <f t="shared" si="576"/>
        <v>0</v>
      </c>
      <c r="BK659">
        <f t="shared" si="587"/>
        <v>0</v>
      </c>
      <c r="BM659">
        <f t="shared" si="588"/>
        <v>-70.92400994127081</v>
      </c>
      <c r="BN659">
        <f t="shared" si="577"/>
        <v>-90.820948392970209</v>
      </c>
      <c r="BQ659" s="56">
        <f t="shared" si="589"/>
        <v>-3.0827996185368507</v>
      </c>
    </row>
    <row r="660" spans="1:69" x14ac:dyDescent="0.25">
      <c r="A660">
        <f t="shared" si="563"/>
        <v>8400000</v>
      </c>
      <c r="B660">
        <f t="shared" si="578"/>
        <v>8400</v>
      </c>
      <c r="C660">
        <f t="shared" si="539"/>
        <v>69.675135137171168</v>
      </c>
      <c r="D660">
        <f t="shared" si="540"/>
        <v>1.5564435116515869</v>
      </c>
      <c r="F660">
        <f t="shared" si="541"/>
        <v>2.6879930625640634E-7</v>
      </c>
      <c r="G660">
        <f t="shared" si="542"/>
        <v>1.9511148151455128E-4</v>
      </c>
      <c r="H660">
        <f t="shared" si="564"/>
        <v>-3.1413975385184858</v>
      </c>
      <c r="J660">
        <f t="shared" si="565"/>
        <v>15</v>
      </c>
      <c r="M660">
        <f t="shared" si="543"/>
        <v>2.1703341416265257E-4</v>
      </c>
      <c r="N660">
        <f t="shared" si="566"/>
        <v>-1.5707963250000001</v>
      </c>
      <c r="O660">
        <f t="shared" si="544"/>
        <v>1389.1372315420876</v>
      </c>
      <c r="P660">
        <f t="shared" si="567"/>
        <v>1.5700764554505378</v>
      </c>
      <c r="Q660">
        <f t="shared" si="545"/>
        <v>2159.7069483113037</v>
      </c>
      <c r="R660">
        <f t="shared" si="568"/>
        <v>1.5703333009957186</v>
      </c>
      <c r="S660">
        <f t="shared" si="546"/>
        <v>1.435232236049884E-2</v>
      </c>
      <c r="T660">
        <f t="shared" si="569"/>
        <v>-1.5564435116515869</v>
      </c>
      <c r="U660">
        <f t="shared" si="547"/>
        <v>2.3269541697683919E-2</v>
      </c>
      <c r="V660">
        <f t="shared" si="570"/>
        <v>-1.5475246846194828</v>
      </c>
      <c r="X660">
        <f t="shared" si="548"/>
        <v>-84.280523767359682</v>
      </c>
      <c r="Y660">
        <f t="shared" si="549"/>
        <v>-178.72322896620864</v>
      </c>
      <c r="Z660">
        <f t="shared" si="579"/>
        <v>1.2767710337913627</v>
      </c>
      <c r="AC660">
        <v>1</v>
      </c>
      <c r="AD660">
        <f t="shared" si="550"/>
        <v>1389.1368716064001</v>
      </c>
      <c r="AE660">
        <f t="shared" si="551"/>
        <v>-10.997537507920303</v>
      </c>
      <c r="AF660">
        <f t="shared" si="552"/>
        <v>0.25597696912200002</v>
      </c>
      <c r="AG660">
        <f t="shared" si="553"/>
        <v>2.8475799424699035</v>
      </c>
      <c r="AH660">
        <f t="shared" si="554"/>
        <v>-126.24716721570427</v>
      </c>
      <c r="AJ660">
        <f t="shared" si="571"/>
        <v>18000</v>
      </c>
      <c r="AK660">
        <f t="shared" si="555"/>
        <v>1254023.2549152002</v>
      </c>
      <c r="AL660">
        <v>35</v>
      </c>
      <c r="AM660">
        <f t="shared" si="556"/>
        <v>2159.7067167984001</v>
      </c>
      <c r="AN660">
        <f t="shared" si="557"/>
        <v>580.62773779654253</v>
      </c>
      <c r="AO660">
        <f t="shared" si="558"/>
        <v>1.0751324727651621</v>
      </c>
      <c r="AQ660">
        <f t="shared" si="559"/>
        <v>3.5430838876733138E-5</v>
      </c>
      <c r="AR660">
        <f t="shared" si="560"/>
        <v>-0.59523809312911669</v>
      </c>
      <c r="AT660">
        <f t="shared" si="561"/>
        <v>-75.147022184282406</v>
      </c>
      <c r="AU660">
        <f t="shared" si="562"/>
        <v>-1.6994610980287688</v>
      </c>
      <c r="AV660">
        <f t="shared" si="580"/>
        <v>-3.1189813589492847</v>
      </c>
      <c r="AW660">
        <f t="shared" si="581"/>
        <v>584.67009968477464</v>
      </c>
      <c r="AX660">
        <f t="shared" si="582"/>
        <v>-492.67180286296991</v>
      </c>
      <c r="AY660">
        <f t="shared" si="590"/>
        <v>-0.70021104708091986</v>
      </c>
      <c r="BA660">
        <f t="shared" si="572"/>
        <v>9.8312001712270988E-2</v>
      </c>
      <c r="BB660">
        <f t="shared" si="583"/>
        <v>-20.147869224385147</v>
      </c>
      <c r="BC660">
        <f t="shared" si="584"/>
        <v>-2.4187703118683648</v>
      </c>
      <c r="BD660">
        <f t="shared" si="573"/>
        <v>-318.58533063995606</v>
      </c>
      <c r="BF660">
        <f t="shared" si="574"/>
        <v>-91.175924778715896</v>
      </c>
      <c r="BG660">
        <f t="shared" si="575"/>
        <v>-229.39650720546072</v>
      </c>
      <c r="BH660">
        <f t="shared" si="585"/>
        <v>-49.396507205460722</v>
      </c>
      <c r="BI660">
        <f t="shared" si="586"/>
        <v>-49.396507205460722</v>
      </c>
      <c r="BJ660">
        <f t="shared" si="576"/>
        <v>0</v>
      </c>
      <c r="BK660">
        <f t="shared" si="587"/>
        <v>0</v>
      </c>
      <c r="BM660">
        <f t="shared" si="588"/>
        <v>-71.028055554330763</v>
      </c>
      <c r="BN660">
        <f t="shared" si="577"/>
        <v>-90.811176565504695</v>
      </c>
      <c r="BQ660" s="56">
        <f t="shared" si="589"/>
        <v>-3.2459084241000102</v>
      </c>
    </row>
    <row r="661" spans="1:69" x14ac:dyDescent="0.25">
      <c r="A661">
        <f t="shared" si="563"/>
        <v>8500000</v>
      </c>
      <c r="B661">
        <f t="shared" si="578"/>
        <v>8500</v>
      </c>
      <c r="C661">
        <f t="shared" si="539"/>
        <v>70.504431175540816</v>
      </c>
      <c r="D661">
        <f t="shared" si="540"/>
        <v>1.556612345518817</v>
      </c>
      <c r="F661">
        <f t="shared" si="541"/>
        <v>2.6251181921029083E-7</v>
      </c>
      <c r="G661">
        <f t="shared" si="542"/>
        <v>1.9281605115803433E-4</v>
      </c>
      <c r="H661">
        <f t="shared" si="564"/>
        <v>-3.1413998339488423</v>
      </c>
      <c r="J661">
        <f t="shared" si="565"/>
        <v>15</v>
      </c>
      <c r="M661">
        <f t="shared" si="543"/>
        <v>2.1448007987838604E-4</v>
      </c>
      <c r="N661">
        <f t="shared" si="566"/>
        <v>-1.5707963250000001</v>
      </c>
      <c r="O661">
        <f t="shared" si="544"/>
        <v>1405.6745710171515</v>
      </c>
      <c r="P661">
        <f t="shared" si="567"/>
        <v>1.5700849245223027</v>
      </c>
      <c r="Q661">
        <f t="shared" si="545"/>
        <v>2185.4177398352222</v>
      </c>
      <c r="R661">
        <f t="shared" si="568"/>
        <v>1.570338748357297</v>
      </c>
      <c r="S661">
        <f t="shared" si="546"/>
        <v>1.4183505679383698E-2</v>
      </c>
      <c r="T661">
        <f t="shared" si="569"/>
        <v>-1.556612345518817</v>
      </c>
      <c r="U661">
        <f t="shared" si="547"/>
        <v>2.2995928012246571E-2</v>
      </c>
      <c r="V661">
        <f t="shared" si="570"/>
        <v>-1.5477983715437165</v>
      </c>
      <c r="X661">
        <f t="shared" si="548"/>
        <v>-84.486054472753892</v>
      </c>
      <c r="Y661">
        <f t="shared" si="549"/>
        <v>-178.73824423746746</v>
      </c>
      <c r="Z661">
        <f t="shared" si="579"/>
        <v>1.2617557625325446</v>
      </c>
      <c r="AC661">
        <v>1</v>
      </c>
      <c r="AD661">
        <f t="shared" si="550"/>
        <v>1405.6742153160001</v>
      </c>
      <c r="AE661">
        <f t="shared" si="551"/>
        <v>-11.260942246984721</v>
      </c>
      <c r="AF661">
        <f t="shared" si="552"/>
        <v>0.25902431399249998</v>
      </c>
      <c r="AG661">
        <f t="shared" si="553"/>
        <v>2.7810074132080427</v>
      </c>
      <c r="AH661">
        <f t="shared" si="554"/>
        <v>-124.76343772696129</v>
      </c>
      <c r="AJ661">
        <f t="shared" si="571"/>
        <v>18000</v>
      </c>
      <c r="AK661">
        <f t="shared" si="555"/>
        <v>1268952.1031880002</v>
      </c>
      <c r="AL661">
        <v>36</v>
      </c>
      <c r="AM661">
        <f t="shared" si="556"/>
        <v>2185.4175110459996</v>
      </c>
      <c r="AN661">
        <f t="shared" si="557"/>
        <v>580.62328384296006</v>
      </c>
      <c r="AO661">
        <f t="shared" si="558"/>
        <v>1.3280932378716876</v>
      </c>
      <c r="AQ661">
        <f t="shared" si="559"/>
        <v>3.4602076004837107E-5</v>
      </c>
      <c r="AR661">
        <f t="shared" si="560"/>
        <v>-0.5882352920822308</v>
      </c>
      <c r="AT661">
        <f t="shared" si="561"/>
        <v>-73.390161003872393</v>
      </c>
      <c r="AU661">
        <f t="shared" si="562"/>
        <v>-1.640203781946135</v>
      </c>
      <c r="AV661">
        <f t="shared" si="580"/>
        <v>-3.1192472770818629</v>
      </c>
      <c r="AW661">
        <f t="shared" si="581"/>
        <v>584.73726508244783</v>
      </c>
      <c r="AX661">
        <f t="shared" si="582"/>
        <v>-486.60885778440905</v>
      </c>
      <c r="AY661">
        <f t="shared" si="590"/>
        <v>-0.6940594577349779</v>
      </c>
      <c r="BA661">
        <f t="shared" si="572"/>
        <v>9.649778359637233E-2</v>
      </c>
      <c r="BB661">
        <f t="shared" si="583"/>
        <v>-20.309653232174817</v>
      </c>
      <c r="BC661">
        <f t="shared" si="584"/>
        <v>-2.4251878193468848</v>
      </c>
      <c r="BD661">
        <f t="shared" si="573"/>
        <v>-318.95302673388903</v>
      </c>
      <c r="BF661">
        <f t="shared" si="574"/>
        <v>-91.440522556251665</v>
      </c>
      <c r="BG661">
        <f t="shared" si="575"/>
        <v>-229.75466134982324</v>
      </c>
      <c r="BH661">
        <f t="shared" si="585"/>
        <v>-49.754661349823238</v>
      </c>
      <c r="BI661">
        <f t="shared" si="586"/>
        <v>-49.754661349823238</v>
      </c>
      <c r="BJ661">
        <f t="shared" si="576"/>
        <v>0</v>
      </c>
      <c r="BK661">
        <f t="shared" si="587"/>
        <v>0</v>
      </c>
      <c r="BM661">
        <f t="shared" si="588"/>
        <v>-71.130869324076841</v>
      </c>
      <c r="BN661">
        <f t="shared" si="577"/>
        <v>-90.801634615934219</v>
      </c>
      <c r="BQ661" s="56">
        <f t="shared" si="589"/>
        <v>-3.4076924318896791</v>
      </c>
    </row>
    <row r="662" spans="1:69" x14ac:dyDescent="0.25">
      <c r="A662">
        <f t="shared" si="563"/>
        <v>8600000</v>
      </c>
      <c r="B662">
        <f t="shared" si="578"/>
        <v>8600</v>
      </c>
      <c r="C662">
        <f t="shared" si="539"/>
        <v>71.333729176902068</v>
      </c>
      <c r="D662">
        <f t="shared" si="540"/>
        <v>1.556777253797806</v>
      </c>
      <c r="F662">
        <f t="shared" si="541"/>
        <v>2.5644238548272266E-7</v>
      </c>
      <c r="G662">
        <f t="shared" si="542"/>
        <v>1.9057400294266973E-4</v>
      </c>
      <c r="H662">
        <f t="shared" si="564"/>
        <v>-3.1414020759970573</v>
      </c>
      <c r="J662">
        <f t="shared" si="565"/>
        <v>15</v>
      </c>
      <c r="M662">
        <f t="shared" si="543"/>
        <v>2.1198612546119552E-4</v>
      </c>
      <c r="N662">
        <f t="shared" si="566"/>
        <v>-1.5707963250000001</v>
      </c>
      <c r="O662">
        <f t="shared" si="544"/>
        <v>1422.2119105906925</v>
      </c>
      <c r="P662">
        <f t="shared" si="567"/>
        <v>1.570093196639009</v>
      </c>
      <c r="Q662">
        <f t="shared" si="545"/>
        <v>2211.1285314224829</v>
      </c>
      <c r="R662">
        <f t="shared" si="568"/>
        <v>1.5703440690360742</v>
      </c>
      <c r="S662">
        <f t="shared" si="546"/>
        <v>1.40186137965685E-2</v>
      </c>
      <c r="T662">
        <f t="shared" si="569"/>
        <v>-1.556777253797806</v>
      </c>
      <c r="U662">
        <f t="shared" si="547"/>
        <v>2.2728672446617582E-2</v>
      </c>
      <c r="V662">
        <f t="shared" si="570"/>
        <v>-1.548065696982742</v>
      </c>
      <c r="X662">
        <f t="shared" si="548"/>
        <v>-84.689182515852437</v>
      </c>
      <c r="Y662">
        <f t="shared" si="549"/>
        <v>-178.75291050698405</v>
      </c>
      <c r="Z662">
        <f t="shared" si="579"/>
        <v>1.2470894930159488</v>
      </c>
      <c r="AC662">
        <v>1</v>
      </c>
      <c r="AD662">
        <f t="shared" si="550"/>
        <v>1422.2115590255999</v>
      </c>
      <c r="AE662">
        <f t="shared" si="551"/>
        <v>-11.527464201896056</v>
      </c>
      <c r="AF662">
        <f t="shared" si="552"/>
        <v>0.26207165886299999</v>
      </c>
      <c r="AG662">
        <f t="shared" si="553"/>
        <v>2.7167420534325677</v>
      </c>
      <c r="AH662">
        <f t="shared" si="554"/>
        <v>-123.31416112271624</v>
      </c>
      <c r="AJ662">
        <f t="shared" si="571"/>
        <v>18000</v>
      </c>
      <c r="AK662">
        <f t="shared" si="555"/>
        <v>1283880.9514608001</v>
      </c>
      <c r="AL662">
        <v>37</v>
      </c>
      <c r="AM662">
        <f t="shared" si="556"/>
        <v>2211.1283052936001</v>
      </c>
      <c r="AN662">
        <f t="shared" si="557"/>
        <v>580.61880317783425</v>
      </c>
      <c r="AO662">
        <f t="shared" si="558"/>
        <v>1.5751667188383252</v>
      </c>
      <c r="AQ662">
        <f t="shared" si="559"/>
        <v>3.3802055050696138E-5</v>
      </c>
      <c r="AR662">
        <f t="shared" si="560"/>
        <v>-0.58139534687197358</v>
      </c>
      <c r="AT662">
        <f t="shared" si="561"/>
        <v>-71.694187648703604</v>
      </c>
      <c r="AU662">
        <f t="shared" si="562"/>
        <v>-1.583669460579906</v>
      </c>
      <c r="AV662">
        <f t="shared" si="580"/>
        <v>-3.1195070143987076</v>
      </c>
      <c r="AW662">
        <f t="shared" si="581"/>
        <v>584.79999490570981</v>
      </c>
      <c r="AX662">
        <f t="shared" si="582"/>
        <v>-480.68684758497432</v>
      </c>
      <c r="AY662">
        <f t="shared" si="590"/>
        <v>-0.68799323145616775</v>
      </c>
      <c r="BA662">
        <f t="shared" si="572"/>
        <v>9.4731253548561309E-2</v>
      </c>
      <c r="BB662">
        <f t="shared" si="583"/>
        <v>-20.470134315519562</v>
      </c>
      <c r="BC662">
        <f t="shared" si="584"/>
        <v>-2.4315137829425399</v>
      </c>
      <c r="BD662">
        <f t="shared" si="573"/>
        <v>-319.3154777496876</v>
      </c>
      <c r="BF662">
        <f t="shared" si="574"/>
        <v>-91.702614399492845</v>
      </c>
      <c r="BG662">
        <f t="shared" si="575"/>
        <v>-230.10779227711853</v>
      </c>
      <c r="BH662">
        <f t="shared" si="585"/>
        <v>-50.107792277118534</v>
      </c>
      <c r="BI662">
        <f t="shared" si="586"/>
        <v>-50.107792277118534</v>
      </c>
      <c r="BJ662">
        <f t="shared" si="576"/>
        <v>0</v>
      </c>
      <c r="BK662">
        <f t="shared" si="587"/>
        <v>0</v>
      </c>
      <c r="BM662">
        <f t="shared" si="588"/>
        <v>-71.232480083973286</v>
      </c>
      <c r="BN662">
        <f t="shared" si="577"/>
        <v>-90.792314527430932</v>
      </c>
      <c r="BQ662" s="56">
        <f t="shared" si="589"/>
        <v>-3.5681735152344229</v>
      </c>
    </row>
    <row r="663" spans="1:69" x14ac:dyDescent="0.25">
      <c r="A663">
        <f t="shared" si="563"/>
        <v>8700000</v>
      </c>
      <c r="B663">
        <f t="shared" si="578"/>
        <v>8700</v>
      </c>
      <c r="C663">
        <f t="shared" si="539"/>
        <v>72.163029073578812</v>
      </c>
      <c r="D663">
        <f t="shared" si="540"/>
        <v>1.5569383718183925</v>
      </c>
      <c r="F663">
        <f t="shared" si="541"/>
        <v>2.5058103747326226E-7</v>
      </c>
      <c r="G663">
        <f t="shared" si="542"/>
        <v>1.883834961031694E-4</v>
      </c>
      <c r="H663">
        <f t="shared" si="564"/>
        <v>-3.1414042665038973</v>
      </c>
      <c r="J663">
        <f t="shared" si="565"/>
        <v>15</v>
      </c>
      <c r="M663">
        <f t="shared" si="543"/>
        <v>2.0954950332945766E-4</v>
      </c>
      <c r="N663">
        <f t="shared" si="566"/>
        <v>-1.5707963250000001</v>
      </c>
      <c r="O663">
        <f t="shared" si="544"/>
        <v>1438.7492502593154</v>
      </c>
      <c r="P663">
        <f t="shared" si="567"/>
        <v>1.5701012785922059</v>
      </c>
      <c r="Q663">
        <f t="shared" si="545"/>
        <v>2236.8393230709007</v>
      </c>
      <c r="R663">
        <f t="shared" si="568"/>
        <v>1.5703492674004214</v>
      </c>
      <c r="S663">
        <f t="shared" si="546"/>
        <v>1.3857511427082435E-2</v>
      </c>
      <c r="T663">
        <f t="shared" si="569"/>
        <v>-1.5569383718183925</v>
      </c>
      <c r="U663">
        <f t="shared" si="547"/>
        <v>2.2467555980583934E-2</v>
      </c>
      <c r="V663">
        <f t="shared" si="570"/>
        <v>-1.5483268801478611</v>
      </c>
      <c r="X663">
        <f t="shared" si="548"/>
        <v>-84.889963408476405</v>
      </c>
      <c r="Y663">
        <f t="shared" si="549"/>
        <v>-178.76723980069266</v>
      </c>
      <c r="Z663">
        <f t="shared" si="579"/>
        <v>1.2327601993073358</v>
      </c>
      <c r="AC663">
        <v>1</v>
      </c>
      <c r="AD663">
        <f t="shared" si="550"/>
        <v>1438.7489027351999</v>
      </c>
      <c r="AE663">
        <f t="shared" si="551"/>
        <v>-11.797103372654306</v>
      </c>
      <c r="AF663">
        <f t="shared" si="552"/>
        <v>0.2651190037335</v>
      </c>
      <c r="AG663">
        <f t="shared" si="553"/>
        <v>2.6546784881967564</v>
      </c>
      <c r="AH663">
        <f t="shared" si="554"/>
        <v>-121.89815174058457</v>
      </c>
      <c r="AJ663">
        <f t="shared" si="571"/>
        <v>18000</v>
      </c>
      <c r="AK663">
        <f t="shared" si="555"/>
        <v>1298809.7997336001</v>
      </c>
      <c r="AL663">
        <v>38</v>
      </c>
      <c r="AM663">
        <f t="shared" si="556"/>
        <v>2236.8390995412001</v>
      </c>
      <c r="AN663">
        <f t="shared" si="557"/>
        <v>580.6143011684278</v>
      </c>
      <c r="AO663">
        <f t="shared" si="558"/>
        <v>1.8165559808185083</v>
      </c>
      <c r="AQ663">
        <f t="shared" si="559"/>
        <v>3.3029462171259541E-5</v>
      </c>
      <c r="AR663">
        <f t="shared" si="560"/>
        <v>-0.57471264177991599</v>
      </c>
      <c r="AT663">
        <f t="shared" si="561"/>
        <v>-70.05632113231772</v>
      </c>
      <c r="AU663">
        <f t="shared" si="562"/>
        <v>-1.5297035174195335</v>
      </c>
      <c r="AV663">
        <f t="shared" si="580"/>
        <v>-3.1197607838811439</v>
      </c>
      <c r="AW663">
        <f t="shared" si="581"/>
        <v>584.85854015063035</v>
      </c>
      <c r="AX663">
        <f t="shared" si="582"/>
        <v>-474.90091794532395</v>
      </c>
      <c r="AY663">
        <f t="shared" si="590"/>
        <v>-0.68201095976801174</v>
      </c>
      <c r="BA663">
        <f t="shared" si="572"/>
        <v>9.3010786411102747E-2</v>
      </c>
      <c r="BB663">
        <f t="shared" si="583"/>
        <v>-20.629333672537918</v>
      </c>
      <c r="BC663">
        <f t="shared" si="584"/>
        <v>-2.4377498241131321</v>
      </c>
      <c r="BD663">
        <f t="shared" si="573"/>
        <v>-319.6727765900406</v>
      </c>
      <c r="BF663">
        <f t="shared" si="574"/>
        <v>-91.962249339181014</v>
      </c>
      <c r="BG663">
        <f t="shared" si="575"/>
        <v>-230.45598524167497</v>
      </c>
      <c r="BH663">
        <f t="shared" si="585"/>
        <v>-50.455985241674966</v>
      </c>
      <c r="BI663">
        <f t="shared" si="586"/>
        <v>-50.455985241674966</v>
      </c>
      <c r="BJ663">
        <f t="shared" si="576"/>
        <v>0</v>
      </c>
      <c r="BK663">
        <f t="shared" si="587"/>
        <v>0</v>
      </c>
      <c r="BM663">
        <f t="shared" si="588"/>
        <v>-71.332915666643103</v>
      </c>
      <c r="BN663">
        <f t="shared" si="577"/>
        <v>-90.78320865163434</v>
      </c>
      <c r="BQ663" s="56">
        <f t="shared" si="589"/>
        <v>-3.7273728722527815</v>
      </c>
    </row>
    <row r="664" spans="1:69" x14ac:dyDescent="0.25">
      <c r="A664">
        <f t="shared" si="563"/>
        <v>8800000</v>
      </c>
      <c r="B664">
        <f t="shared" si="578"/>
        <v>8800</v>
      </c>
      <c r="C664">
        <f t="shared" si="539"/>
        <v>72.99233080097035</v>
      </c>
      <c r="D664">
        <f t="shared" si="540"/>
        <v>1.5570958287610284</v>
      </c>
      <c r="F664">
        <f t="shared" si="541"/>
        <v>2.4491837068600051E-7</v>
      </c>
      <c r="G664">
        <f t="shared" si="542"/>
        <v>1.8624277354549506E-4</v>
      </c>
      <c r="H664">
        <f t="shared" si="564"/>
        <v>-3.1414064072264547</v>
      </c>
      <c r="J664">
        <f t="shared" si="565"/>
        <v>15</v>
      </c>
      <c r="M664">
        <f t="shared" si="543"/>
        <v>2.0716825897344109E-4</v>
      </c>
      <c r="N664">
        <f t="shared" si="566"/>
        <v>-1.5707963250000001</v>
      </c>
      <c r="O664">
        <f t="shared" si="544"/>
        <v>1455.2865900197787</v>
      </c>
      <c r="P664">
        <f t="shared" si="567"/>
        <v>1.5701091768647359</v>
      </c>
      <c r="Q664">
        <f t="shared" si="545"/>
        <v>2262.5501147783907</v>
      </c>
      <c r="R664">
        <f t="shared" si="568"/>
        <v>1.5703543476201478</v>
      </c>
      <c r="S664">
        <f t="shared" si="546"/>
        <v>1.3700069432317765E-2</v>
      </c>
      <c r="T664">
        <f t="shared" si="569"/>
        <v>-1.5570958287610284</v>
      </c>
      <c r="U664">
        <f t="shared" si="547"/>
        <v>2.2212369536823113E-2</v>
      </c>
      <c r="V664">
        <f t="shared" si="570"/>
        <v>-1.5485821302946126</v>
      </c>
      <c r="X664">
        <f t="shared" si="548"/>
        <v>-85.088450761028099</v>
      </c>
      <c r="Y664">
        <f t="shared" si="549"/>
        <v>-178.78124359837454</v>
      </c>
      <c r="Z664">
        <f t="shared" si="579"/>
        <v>1.2187564016254555</v>
      </c>
      <c r="AC664">
        <v>1</v>
      </c>
      <c r="AD664">
        <f t="shared" si="550"/>
        <v>1455.2862464448001</v>
      </c>
      <c r="AE664">
        <f t="shared" si="551"/>
        <v>-12.069859759259471</v>
      </c>
      <c r="AF664">
        <f t="shared" si="552"/>
        <v>0.26816634860400002</v>
      </c>
      <c r="AG664">
        <f t="shared" si="553"/>
        <v>2.5947172895703146</v>
      </c>
      <c r="AH664">
        <f t="shared" si="554"/>
        <v>-120.51427767979638</v>
      </c>
      <c r="AJ664">
        <f t="shared" si="571"/>
        <v>18000</v>
      </c>
      <c r="AK664">
        <f t="shared" si="555"/>
        <v>1313738.6480064001</v>
      </c>
      <c r="AL664">
        <v>39</v>
      </c>
      <c r="AM664">
        <f t="shared" si="556"/>
        <v>2262.5498937887996</v>
      </c>
      <c r="AN664">
        <f t="shared" si="557"/>
        <v>580.6097827381052</v>
      </c>
      <c r="AO664">
        <f t="shared" si="558"/>
        <v>2.0524548605687372</v>
      </c>
      <c r="AQ664">
        <f t="shared" si="559"/>
        <v>3.2283057747020086E-5</v>
      </c>
      <c r="AR664">
        <f t="shared" si="560"/>
        <v>-0.56818181634755349</v>
      </c>
      <c r="AT664">
        <f t="shared" si="561"/>
        <v>-68.473937422512037</v>
      </c>
      <c r="AU664">
        <f t="shared" si="562"/>
        <v>-1.4781617518821395</v>
      </c>
      <c r="AV664">
        <f t="shared" si="580"/>
        <v>-3.1200087888379127</v>
      </c>
      <c r="AW664">
        <f t="shared" si="581"/>
        <v>584.91313599622299</v>
      </c>
      <c r="AX664">
        <f t="shared" si="582"/>
        <v>-469.24643480178804</v>
      </c>
      <c r="AY664">
        <f t="shared" si="590"/>
        <v>-0.67611125471868494</v>
      </c>
      <c r="BA664">
        <f t="shared" si="572"/>
        <v>9.1334826253973905E-2</v>
      </c>
      <c r="BB664">
        <f t="shared" si="583"/>
        <v>-20.787271860927724</v>
      </c>
      <c r="BC664">
        <f t="shared" si="584"/>
        <v>-2.4438975341192277</v>
      </c>
      <c r="BD664">
        <f t="shared" si="573"/>
        <v>-320.02501442746279</v>
      </c>
      <c r="BF664">
        <f t="shared" si="574"/>
        <v>-92.219474810595457</v>
      </c>
      <c r="BG664">
        <f t="shared" si="575"/>
        <v>-230.79932411518649</v>
      </c>
      <c r="BH664">
        <f t="shared" si="585"/>
        <v>-50.799324115186494</v>
      </c>
      <c r="BI664">
        <f t="shared" si="586"/>
        <v>-50.799324115186494</v>
      </c>
      <c r="BJ664">
        <f t="shared" si="576"/>
        <v>0</v>
      </c>
      <c r="BK664">
        <f t="shared" si="587"/>
        <v>0</v>
      </c>
      <c r="BM664">
        <f t="shared" si="588"/>
        <v>-71.432202949667726</v>
      </c>
      <c r="BN664">
        <f t="shared" si="577"/>
        <v>-90.774309687723743</v>
      </c>
      <c r="BQ664" s="56">
        <f t="shared" si="589"/>
        <v>-3.8853110606425894</v>
      </c>
    </row>
    <row r="665" spans="1:69" x14ac:dyDescent="0.25">
      <c r="A665">
        <f t="shared" si="563"/>
        <v>8900000</v>
      </c>
      <c r="B665">
        <f t="shared" si="578"/>
        <v>8900</v>
      </c>
      <c r="C665">
        <f t="shared" si="539"/>
        <v>73.821634297378708</v>
      </c>
      <c r="D665">
        <f t="shared" si="540"/>
        <v>1.5572497480021199</v>
      </c>
      <c r="F665">
        <f t="shared" si="541"/>
        <v>2.3944550598235931E-7</v>
      </c>
      <c r="G665">
        <f t="shared" si="542"/>
        <v>1.8415015714621998E-4</v>
      </c>
      <c r="H665">
        <f t="shared" si="564"/>
        <v>-3.141408499842854</v>
      </c>
      <c r="J665">
        <f t="shared" si="565"/>
        <v>15</v>
      </c>
      <c r="M665">
        <f t="shared" si="543"/>
        <v>2.048405257265485E-4</v>
      </c>
      <c r="N665">
        <f t="shared" si="566"/>
        <v>-1.5707963250000001</v>
      </c>
      <c r="O665">
        <f t="shared" si="544"/>
        <v>1471.8239298689866</v>
      </c>
      <c r="P665">
        <f t="shared" si="567"/>
        <v>1.5701168976480786</v>
      </c>
      <c r="Q665">
        <f t="shared" si="545"/>
        <v>2288.2609065429615</v>
      </c>
      <c r="R665">
        <f t="shared" si="568"/>
        <v>1.5703593136776552</v>
      </c>
      <c r="S665">
        <f t="shared" si="546"/>
        <v>1.3546164474924238E-2</v>
      </c>
      <c r="T665">
        <f t="shared" si="569"/>
        <v>-1.5572497480021199</v>
      </c>
      <c r="U665">
        <f t="shared" si="547"/>
        <v>2.1962913423146428E-2</v>
      </c>
      <c r="V665">
        <f t="shared" si="570"/>
        <v>-1.5488316472815284</v>
      </c>
      <c r="X665">
        <f t="shared" si="548"/>
        <v>-85.284696368328667</v>
      </c>
      <c r="Y665">
        <f t="shared" si="549"/>
        <v>-178.79493286430903</v>
      </c>
      <c r="Z665">
        <f t="shared" si="579"/>
        <v>1.2050671356909675</v>
      </c>
      <c r="AC665">
        <v>1</v>
      </c>
      <c r="AD665">
        <f t="shared" si="550"/>
        <v>1471.8235901544001</v>
      </c>
      <c r="AE665">
        <f t="shared" si="551"/>
        <v>-12.345733361711552</v>
      </c>
      <c r="AF665">
        <f t="shared" si="552"/>
        <v>0.27121369347449997</v>
      </c>
      <c r="AG665">
        <f t="shared" si="553"/>
        <v>2.5367645784461663</v>
      </c>
      <c r="AH665">
        <f t="shared" si="554"/>
        <v>-119.1614577896289</v>
      </c>
      <c r="AJ665">
        <f t="shared" si="571"/>
        <v>18000</v>
      </c>
      <c r="AK665">
        <f t="shared" si="555"/>
        <v>1328667.4962792001</v>
      </c>
      <c r="AL665">
        <v>40</v>
      </c>
      <c r="AM665">
        <f t="shared" si="556"/>
        <v>2288.2606880363996</v>
      </c>
      <c r="AN665">
        <f t="shared" si="557"/>
        <v>580.60525240238007</v>
      </c>
      <c r="AO665">
        <f t="shared" si="558"/>
        <v>2.2830484845580257</v>
      </c>
      <c r="AQ665">
        <f t="shared" si="559"/>
        <v>3.1561671406509055E-5</v>
      </c>
      <c r="AR665">
        <f t="shared" si="560"/>
        <v>-0.56179775103586116</v>
      </c>
      <c r="AT665">
        <f t="shared" si="561"/>
        <v>-66.944558931838145</v>
      </c>
      <c r="AU665">
        <f t="shared" si="562"/>
        <v>-1.4289095698535674</v>
      </c>
      <c r="AV665">
        <f t="shared" si="580"/>
        <v>-3.1202512234480215</v>
      </c>
      <c r="AW665">
        <f t="shared" si="581"/>
        <v>584.96400293792135</v>
      </c>
      <c r="AX665">
        <f t="shared" si="582"/>
        <v>-463.71897200252738</v>
      </c>
      <c r="AY665">
        <f t="shared" si="590"/>
        <v>-0.67029274887730506</v>
      </c>
      <c r="BA665">
        <f t="shared" si="572"/>
        <v>8.9701882739028141E-2</v>
      </c>
      <c r="BB665">
        <f t="shared" si="583"/>
        <v>-20.943968830402476</v>
      </c>
      <c r="BC665">
        <f t="shared" si="584"/>
        <v>-2.4499584745707166</v>
      </c>
      <c r="BD665">
        <f t="shared" si="573"/>
        <v>-320.37228073560999</v>
      </c>
      <c r="BF665">
        <f t="shared" si="574"/>
        <v>-92.474336729198669</v>
      </c>
      <c r="BG665">
        <f t="shared" si="575"/>
        <v>-231.13789139851121</v>
      </c>
      <c r="BH665">
        <f t="shared" si="585"/>
        <v>-51.137891398511215</v>
      </c>
      <c r="BI665">
        <f t="shared" si="586"/>
        <v>-51.137891398511215</v>
      </c>
      <c r="BJ665">
        <f t="shared" si="576"/>
        <v>0</v>
      </c>
      <c r="BK665">
        <f t="shared" si="587"/>
        <v>0</v>
      </c>
      <c r="BM665">
        <f t="shared" si="588"/>
        <v>-71.530367898796186</v>
      </c>
      <c r="BN665">
        <f t="shared" si="577"/>
        <v>-90.765610662901224</v>
      </c>
      <c r="BQ665" s="56">
        <f t="shared" si="589"/>
        <v>-4.0420080301173424</v>
      </c>
    </row>
    <row r="666" spans="1:69" x14ac:dyDescent="0.25">
      <c r="A666">
        <f t="shared" si="563"/>
        <v>9000000</v>
      </c>
      <c r="B666">
        <f t="shared" si="578"/>
        <v>9000</v>
      </c>
      <c r="C666">
        <f t="shared" si="539"/>
        <v>74.650939503847439</v>
      </c>
      <c r="D666">
        <f t="shared" si="540"/>
        <v>1.5574002474363549</v>
      </c>
      <c r="F666">
        <f t="shared" si="541"/>
        <v>2.3415405475331908E-7</v>
      </c>
      <c r="G666">
        <f t="shared" si="542"/>
        <v>1.8210404336526626E-4</v>
      </c>
      <c r="H666">
        <f t="shared" si="564"/>
        <v>-3.141410545956635</v>
      </c>
      <c r="J666">
        <f t="shared" si="565"/>
        <v>15</v>
      </c>
      <c r="M666">
        <f t="shared" si="543"/>
        <v>2.0256451988514242E-4</v>
      </c>
      <c r="N666">
        <f t="shared" si="566"/>
        <v>-1.5707963250000001</v>
      </c>
      <c r="O666">
        <f t="shared" si="544"/>
        <v>1488.3612698039808</v>
      </c>
      <c r="P666">
        <f t="shared" si="567"/>
        <v>1.5701244468585362</v>
      </c>
      <c r="Q666">
        <f t="shared" si="545"/>
        <v>2313.9716983627113</v>
      </c>
      <c r="R666">
        <f t="shared" si="568"/>
        <v>1.5703641693783499</v>
      </c>
      <c r="S666">
        <f t="shared" si="546"/>
        <v>1.3395678696695588E-2</v>
      </c>
      <c r="T666">
        <f t="shared" si="569"/>
        <v>-1.5574002474363549</v>
      </c>
      <c r="U666">
        <f t="shared" si="547"/>
        <v>2.1718996811862495E-2</v>
      </c>
      <c r="V666">
        <f t="shared" si="570"/>
        <v>-1.5490756220916846</v>
      </c>
      <c r="X666">
        <f t="shared" si="548"/>
        <v>-85.478750290666895</v>
      </c>
      <c r="Y666">
        <f t="shared" si="549"/>
        <v>-178.80831807588359</v>
      </c>
      <c r="Z666">
        <f t="shared" si="579"/>
        <v>1.1916819241164092</v>
      </c>
      <c r="AC666">
        <v>1</v>
      </c>
      <c r="AD666">
        <f t="shared" si="550"/>
        <v>1488.3609338640001</v>
      </c>
      <c r="AE666">
        <f t="shared" si="551"/>
        <v>-12.624724180010551</v>
      </c>
      <c r="AF666">
        <f t="shared" si="552"/>
        <v>0.27426103834499999</v>
      </c>
      <c r="AG666">
        <f t="shared" si="553"/>
        <v>2.4807316571042164</v>
      </c>
      <c r="AH666">
        <f t="shared" si="554"/>
        <v>-117.83865885794143</v>
      </c>
      <c r="AJ666">
        <f t="shared" si="571"/>
        <v>18000</v>
      </c>
      <c r="AK666">
        <f t="shared" si="555"/>
        <v>1343596.3445520001</v>
      </c>
      <c r="AL666">
        <v>41</v>
      </c>
      <c r="AM666">
        <f t="shared" si="556"/>
        <v>2313.9714822840001</v>
      </c>
      <c r="AN666">
        <f t="shared" si="557"/>
        <v>580.60071430182552</v>
      </c>
      <c r="AO666">
        <f t="shared" si="558"/>
        <v>2.5085137525746006</v>
      </c>
      <c r="AQ666">
        <f t="shared" si="559"/>
        <v>3.0864197435604332E-5</v>
      </c>
      <c r="AR666">
        <f t="shared" si="560"/>
        <v>-0.55555555384087796</v>
      </c>
      <c r="AT666">
        <f t="shared" si="561"/>
        <v>-65.46584481989828</v>
      </c>
      <c r="AU666">
        <f t="shared" si="562"/>
        <v>-1.3818212453256702</v>
      </c>
      <c r="AV666">
        <f t="shared" si="580"/>
        <v>-3.1204882732674433</v>
      </c>
      <c r="AW666">
        <f t="shared" si="581"/>
        <v>585.01134782934969</v>
      </c>
      <c r="AX666">
        <f t="shared" si="582"/>
        <v>-458.31429978410131</v>
      </c>
      <c r="AY666">
        <f t="shared" si="590"/>
        <v>-0.66455409531261689</v>
      </c>
      <c r="BA666">
        <f t="shared" si="572"/>
        <v>8.8110527716747308E-2</v>
      </c>
      <c r="BB666">
        <f t="shared" si="583"/>
        <v>-21.099443952954616</v>
      </c>
      <c r="BC666">
        <f t="shared" si="584"/>
        <v>-2.4559341779548265</v>
      </c>
      <c r="BD666">
        <f t="shared" si="573"/>
        <v>-320.71466331953275</v>
      </c>
      <c r="BF666">
        <f t="shared" si="574"/>
        <v>-92.726879561691817</v>
      </c>
      <c r="BG666">
        <f t="shared" si="575"/>
        <v>-231.47176823370754</v>
      </c>
      <c r="BH666">
        <f t="shared" si="585"/>
        <v>-51.471768233707536</v>
      </c>
      <c r="BI666">
        <f t="shared" si="586"/>
        <v>-51.471768233707536</v>
      </c>
      <c r="BJ666">
        <f t="shared" si="576"/>
        <v>0</v>
      </c>
      <c r="BK666">
        <f t="shared" si="587"/>
        <v>0</v>
      </c>
      <c r="BM666">
        <f t="shared" si="588"/>
        <v>-71.627435608737215</v>
      </c>
      <c r="BN666">
        <f t="shared" si="577"/>
        <v>-90.757104914174789</v>
      </c>
      <c r="BQ666" s="56">
        <f t="shared" si="589"/>
        <v>-4.1974831526694825</v>
      </c>
    </row>
    <row r="667" spans="1:69" x14ac:dyDescent="0.25">
      <c r="A667">
        <f t="shared" si="563"/>
        <v>9100000</v>
      </c>
      <c r="B667">
        <f t="shared" si="578"/>
        <v>9100</v>
      </c>
      <c r="C667">
        <f t="shared" si="539"/>
        <v>75.480246364010981</v>
      </c>
      <c r="D667">
        <f t="shared" si="540"/>
        <v>1.5575474397777878</v>
      </c>
      <c r="F667">
        <f t="shared" si="541"/>
        <v>2.2903608675584753E-7</v>
      </c>
      <c r="G667">
        <f t="shared" si="542"/>
        <v>1.8010289914791356E-4</v>
      </c>
      <c r="H667">
        <f t="shared" si="564"/>
        <v>-3.1414125471008525</v>
      </c>
      <c r="J667">
        <f t="shared" si="565"/>
        <v>15</v>
      </c>
      <c r="M667">
        <f t="shared" si="543"/>
        <v>2.0033853615014082E-4</v>
      </c>
      <c r="N667">
        <f t="shared" si="566"/>
        <v>-1.5707963250000001</v>
      </c>
      <c r="O667">
        <f t="shared" si="544"/>
        <v>1504.8986098219336</v>
      </c>
      <c r="P667">
        <f t="shared" si="567"/>
        <v>1.5701318301523548</v>
      </c>
      <c r="Q667">
        <f t="shared" si="545"/>
        <v>2339.6824902358203</v>
      </c>
      <c r="R667">
        <f t="shared" si="568"/>
        <v>1.5703689183603677</v>
      </c>
      <c r="S667">
        <f t="shared" si="546"/>
        <v>1.3248499417680767E-2</v>
      </c>
      <c r="T667">
        <f t="shared" si="569"/>
        <v>-1.5575474397777878</v>
      </c>
      <c r="U667">
        <f t="shared" si="547"/>
        <v>2.148043725341094E-2</v>
      </c>
      <c r="V667">
        <f t="shared" si="570"/>
        <v>-1.5493142373198987</v>
      </c>
      <c r="X667">
        <f t="shared" si="548"/>
        <v>-85.670660930376386</v>
      </c>
      <c r="Y667">
        <f t="shared" si="549"/>
        <v>-178.82140925031931</v>
      </c>
      <c r="Z667">
        <f t="shared" si="579"/>
        <v>1.1785907496806942</v>
      </c>
      <c r="AC667">
        <v>1</v>
      </c>
      <c r="AD667">
        <f t="shared" si="550"/>
        <v>1504.8982775736001</v>
      </c>
      <c r="AE667">
        <f t="shared" si="551"/>
        <v>-12.906832214156466</v>
      </c>
      <c r="AF667">
        <f t="shared" si="552"/>
        <v>0.2773083832155</v>
      </c>
      <c r="AG667">
        <f t="shared" si="553"/>
        <v>2.426534669847038</v>
      </c>
      <c r="AH667">
        <f t="shared" si="554"/>
        <v>-116.54489298447879</v>
      </c>
      <c r="AJ667">
        <f t="shared" si="571"/>
        <v>18000</v>
      </c>
      <c r="AK667">
        <f t="shared" si="555"/>
        <v>1358525.1928248</v>
      </c>
      <c r="AL667">
        <v>42</v>
      </c>
      <c r="AM667">
        <f t="shared" si="556"/>
        <v>2339.6822765316001</v>
      </c>
      <c r="AN667">
        <f t="shared" si="557"/>
        <v>580.59617223214661</v>
      </c>
      <c r="AO667">
        <f t="shared" si="558"/>
        <v>2.7290197894799171</v>
      </c>
      <c r="AQ667">
        <f t="shared" si="559"/>
        <v>3.018959053800993E-5</v>
      </c>
      <c r="AR667">
        <f t="shared" si="560"/>
        <v>-0.54945054779178071</v>
      </c>
      <c r="AT667">
        <f t="shared" si="561"/>
        <v>-64.035582036568215</v>
      </c>
      <c r="AU667">
        <f t="shared" si="562"/>
        <v>-1.3367792461817003</v>
      </c>
      <c r="AV667">
        <f t="shared" si="580"/>
        <v>-3.1207201157024476</v>
      </c>
      <c r="AW667">
        <f t="shared" si="581"/>
        <v>585.0553648406742</v>
      </c>
      <c r="AX667">
        <f t="shared" si="582"/>
        <v>-453.02837400557132</v>
      </c>
      <c r="AY667">
        <f t="shared" si="590"/>
        <v>-0.65889396755447882</v>
      </c>
      <c r="BA667">
        <f t="shared" si="572"/>
        <v>8.6559392037860797E-2</v>
      </c>
      <c r="BB667">
        <f t="shared" si="583"/>
        <v>-21.253716051110906</v>
      </c>
      <c r="BC667">
        <f t="shared" si="584"/>
        <v>-2.4618261481479689</v>
      </c>
      <c r="BD667">
        <f t="shared" si="573"/>
        <v>-321.05224834500245</v>
      </c>
      <c r="BF667">
        <f t="shared" si="574"/>
        <v>-92.977146392806262</v>
      </c>
      <c r="BG667">
        <f t="shared" si="575"/>
        <v>-231.80103441634481</v>
      </c>
      <c r="BH667">
        <f t="shared" si="585"/>
        <v>-51.801034416344805</v>
      </c>
      <c r="BI667">
        <f t="shared" si="586"/>
        <v>-51.801034416344805</v>
      </c>
      <c r="BJ667">
        <f t="shared" si="576"/>
        <v>0</v>
      </c>
      <c r="BK667">
        <f t="shared" si="587"/>
        <v>0</v>
      </c>
      <c r="BM667">
        <f t="shared" si="588"/>
        <v>-71.723430341695348</v>
      </c>
      <c r="BN667">
        <f t="shared" si="577"/>
        <v>-90.748786071342394</v>
      </c>
      <c r="BQ667" s="56">
        <f t="shared" si="589"/>
        <v>-4.3517552508257697</v>
      </c>
    </row>
    <row r="668" spans="1:69" x14ac:dyDescent="0.25">
      <c r="A668">
        <f t="shared" si="563"/>
        <v>9200000</v>
      </c>
      <c r="B668">
        <f t="shared" si="578"/>
        <v>9200</v>
      </c>
      <c r="C668">
        <f t="shared" si="539"/>
        <v>76.309554823953903</v>
      </c>
      <c r="D668">
        <f t="shared" si="540"/>
        <v>1.5576914328412954</v>
      </c>
      <c r="F668">
        <f t="shared" si="541"/>
        <v>2.2408410038313217E-7</v>
      </c>
      <c r="G668">
        <f t="shared" si="542"/>
        <v>1.781452580940676E-4</v>
      </c>
      <c r="H668">
        <f t="shared" si="564"/>
        <v>-3.1414145047419062</v>
      </c>
      <c r="J668">
        <f t="shared" si="565"/>
        <v>15</v>
      </c>
      <c r="M668">
        <f t="shared" si="543"/>
        <v>1.9816094336590017E-4</v>
      </c>
      <c r="N668">
        <f t="shared" si="566"/>
        <v>-1.5707963250000001</v>
      </c>
      <c r="O668">
        <f t="shared" si="544"/>
        <v>1521.4359499201396</v>
      </c>
      <c r="P668">
        <f t="shared" si="567"/>
        <v>1.570139052939856</v>
      </c>
      <c r="Q668">
        <f t="shared" si="545"/>
        <v>2365.3932821605486</v>
      </c>
      <c r="R668">
        <f t="shared" si="568"/>
        <v>1.5703735641036647</v>
      </c>
      <c r="S668">
        <f t="shared" si="546"/>
        <v>1.3104518854906174E-2</v>
      </c>
      <c r="T668">
        <f t="shared" si="569"/>
        <v>-1.5576914328412954</v>
      </c>
      <c r="U668">
        <f t="shared" si="547"/>
        <v>2.1247060221663821E-2</v>
      </c>
      <c r="V668">
        <f t="shared" si="570"/>
        <v>-1.5495476676281916</v>
      </c>
      <c r="X668">
        <f t="shared" si="548"/>
        <v>-85.860475104233899</v>
      </c>
      <c r="Y668">
        <f t="shared" si="549"/>
        <v>-178.83421596965596</v>
      </c>
      <c r="Z668">
        <f t="shared" si="579"/>
        <v>1.1657840303440423</v>
      </c>
      <c r="AC668">
        <v>1</v>
      </c>
      <c r="AD668">
        <f t="shared" si="550"/>
        <v>1521.4356212831999</v>
      </c>
      <c r="AE668">
        <f t="shared" si="551"/>
        <v>-13.192057464149299</v>
      </c>
      <c r="AF668">
        <f t="shared" si="552"/>
        <v>0.28035572808599996</v>
      </c>
      <c r="AG668">
        <f t="shared" si="553"/>
        <v>2.3740942892833026</v>
      </c>
      <c r="AH668">
        <f t="shared" si="554"/>
        <v>-115.27921512493587</v>
      </c>
      <c r="AJ668">
        <f t="shared" si="571"/>
        <v>18000</v>
      </c>
      <c r="AK668">
        <f t="shared" si="555"/>
        <v>1373454.0410976</v>
      </c>
      <c r="AL668">
        <v>43</v>
      </c>
      <c r="AM668">
        <f t="shared" si="556"/>
        <v>2365.3930707791997</v>
      </c>
      <c r="AN668">
        <f t="shared" si="557"/>
        <v>580.59162967168049</v>
      </c>
      <c r="AO668">
        <f t="shared" si="558"/>
        <v>2.9447283675299385</v>
      </c>
      <c r="AQ668">
        <f t="shared" si="559"/>
        <v>2.9536861916538098E-5</v>
      </c>
      <c r="AR668">
        <f t="shared" si="560"/>
        <v>-0.54347825926430093</v>
      </c>
      <c r="AT668">
        <f t="shared" si="561"/>
        <v>-62.651677042159818</v>
      </c>
      <c r="AU668">
        <f t="shared" si="562"/>
        <v>-1.2936736179279993</v>
      </c>
      <c r="AV668">
        <f t="shared" si="580"/>
        <v>-3.1209469204520954</v>
      </c>
      <c r="AW668">
        <f t="shared" si="581"/>
        <v>585.09623634098614</v>
      </c>
      <c r="AX668">
        <f t="shared" si="582"/>
        <v>-447.85732608270303</v>
      </c>
      <c r="AY668">
        <f t="shared" si="590"/>
        <v>-0.65331105953866619</v>
      </c>
      <c r="BA668">
        <f t="shared" si="572"/>
        <v>8.504716256366919E-2</v>
      </c>
      <c r="BB668">
        <f t="shared" si="583"/>
        <v>-21.406803424331567</v>
      </c>
      <c r="BC668">
        <f t="shared" si="584"/>
        <v>-2.467635860913429</v>
      </c>
      <c r="BD668">
        <f t="shared" si="573"/>
        <v>-321.38512036702696</v>
      </c>
      <c r="BF668">
        <f t="shared" si="574"/>
        <v>-93.225178988130182</v>
      </c>
      <c r="BG668">
        <f t="shared" si="575"/>
        <v>-232.12576840811207</v>
      </c>
      <c r="BH668">
        <f t="shared" si="585"/>
        <v>-52.125768408112066</v>
      </c>
      <c r="BI668">
        <f t="shared" si="586"/>
        <v>-52.125768408112066</v>
      </c>
      <c r="BJ668">
        <f t="shared" si="576"/>
        <v>0</v>
      </c>
      <c r="BK668">
        <f t="shared" si="587"/>
        <v>0</v>
      </c>
      <c r="BM668">
        <f t="shared" si="588"/>
        <v>-71.818375563798611</v>
      </c>
      <c r="BN668">
        <f t="shared" si="577"/>
        <v>-90.740648041085123</v>
      </c>
      <c r="BQ668" s="56">
        <f t="shared" si="589"/>
        <v>-4.5048426240464288</v>
      </c>
    </row>
    <row r="669" spans="1:69" x14ac:dyDescent="0.25">
      <c r="A669">
        <f t="shared" si="563"/>
        <v>9300000</v>
      </c>
      <c r="B669">
        <f t="shared" si="578"/>
        <v>9300</v>
      </c>
      <c r="C669">
        <f t="shared" si="539"/>
        <v>77.13886483207925</v>
      </c>
      <c r="D669">
        <f t="shared" si="540"/>
        <v>1.5578323298058845</v>
      </c>
      <c r="F669">
        <f t="shared" si="541"/>
        <v>2.1929099516039578E-7</v>
      </c>
      <c r="G669">
        <f t="shared" si="542"/>
        <v>1.7622971687467369E-4</v>
      </c>
      <c r="H669">
        <f t="shared" si="564"/>
        <v>-3.1414164202831256</v>
      </c>
      <c r="J669">
        <f t="shared" si="565"/>
        <v>15</v>
      </c>
      <c r="M669">
        <f t="shared" si="543"/>
        <v>1.9603018053400875E-4</v>
      </c>
      <c r="N669">
        <f t="shared" si="566"/>
        <v>-1.5707963250000001</v>
      </c>
      <c r="O669">
        <f t="shared" si="544"/>
        <v>1537.9732900960098</v>
      </c>
      <c r="P669">
        <f t="shared" si="567"/>
        <v>1.57014612039866</v>
      </c>
      <c r="Q669">
        <f t="shared" si="545"/>
        <v>2391.1040741352308</v>
      </c>
      <c r="R669">
        <f t="shared" si="568"/>
        <v>1.5703781099385214</v>
      </c>
      <c r="S669">
        <f t="shared" si="546"/>
        <v>1.2963633859233778E-2</v>
      </c>
      <c r="T669">
        <f t="shared" si="569"/>
        <v>-1.5578323298058845</v>
      </c>
      <c r="U669">
        <f t="shared" si="547"/>
        <v>2.101869868851541E-2</v>
      </c>
      <c r="V669">
        <f t="shared" si="570"/>
        <v>-1.5497760801718934</v>
      </c>
      <c r="X669">
        <f t="shared" si="548"/>
        <v>-86.048238111949175</v>
      </c>
      <c r="Y669">
        <f t="shared" si="549"/>
        <v>-178.8467474041266</v>
      </c>
      <c r="Z669">
        <f t="shared" si="579"/>
        <v>1.153252595873397</v>
      </c>
      <c r="AC669">
        <v>1</v>
      </c>
      <c r="AD669">
        <f t="shared" si="550"/>
        <v>1537.9729649927999</v>
      </c>
      <c r="AE669">
        <f t="shared" si="551"/>
        <v>-13.480399929989046</v>
      </c>
      <c r="AF669">
        <f t="shared" si="552"/>
        <v>0.28340307295650002</v>
      </c>
      <c r="AG669">
        <f t="shared" si="553"/>
        <v>2.32333542606768</v>
      </c>
      <c r="AH669">
        <f t="shared" si="554"/>
        <v>-114.0407207929767</v>
      </c>
      <c r="AJ669">
        <f t="shared" si="571"/>
        <v>18000</v>
      </c>
      <c r="AK669">
        <f t="shared" si="555"/>
        <v>1388382.8893704</v>
      </c>
      <c r="AL669">
        <v>44</v>
      </c>
      <c r="AM669">
        <f t="shared" si="556"/>
        <v>2391.1038650267997</v>
      </c>
      <c r="AN669">
        <f t="shared" si="557"/>
        <v>580.5870898065632</v>
      </c>
      <c r="AO669">
        <f t="shared" si="558"/>
        <v>3.1557943014759857</v>
      </c>
      <c r="AQ669">
        <f t="shared" si="559"/>
        <v>2.8905075647748077E-5</v>
      </c>
      <c r="AR669">
        <f t="shared" si="560"/>
        <v>-0.53763440704811416</v>
      </c>
      <c r="AT669">
        <f t="shared" si="561"/>
        <v>-61.312148146685324</v>
      </c>
      <c r="AU669">
        <f t="shared" si="562"/>
        <v>-1.2524014198292195</v>
      </c>
      <c r="AV669">
        <f t="shared" si="580"/>
        <v>-3.1211688499222179</v>
      </c>
      <c r="AW669">
        <f t="shared" si="581"/>
        <v>585.13413371143997</v>
      </c>
      <c r="AX669">
        <f t="shared" si="582"/>
        <v>-442.79745356975684</v>
      </c>
      <c r="AY669">
        <f t="shared" si="590"/>
        <v>-0.64780408553558599</v>
      </c>
      <c r="BA669">
        <f t="shared" si="572"/>
        <v>8.3572579360315646E-2</v>
      </c>
      <c r="BB669">
        <f t="shared" si="583"/>
        <v>-21.558723873692553</v>
      </c>
      <c r="BC669">
        <f t="shared" si="584"/>
        <v>-2.4733647643866319</v>
      </c>
      <c r="BD669">
        <f t="shared" si="573"/>
        <v>-321.71336235765438</v>
      </c>
      <c r="BF669">
        <f t="shared" si="574"/>
        <v>-93.471017853247645</v>
      </c>
      <c r="BG669">
        <f t="shared" si="575"/>
        <v>-232.44604734974061</v>
      </c>
      <c r="BH669">
        <f t="shared" si="585"/>
        <v>-52.44604734974061</v>
      </c>
      <c r="BI669">
        <f t="shared" si="586"/>
        <v>-52.44604734974061</v>
      </c>
      <c r="BJ669">
        <f t="shared" si="576"/>
        <v>0</v>
      </c>
      <c r="BK669">
        <f t="shared" si="587"/>
        <v>0</v>
      </c>
      <c r="BM669">
        <f t="shared" si="588"/>
        <v>-71.912293979555088</v>
      </c>
      <c r="BN669">
        <f t="shared" si="577"/>
        <v>-90.732684992086234</v>
      </c>
      <c r="BQ669" s="56">
        <f t="shared" si="589"/>
        <v>-4.6567630734074177</v>
      </c>
    </row>
    <row r="670" spans="1:69" x14ac:dyDescent="0.25">
      <c r="A670">
        <f t="shared" si="563"/>
        <v>9400000</v>
      </c>
      <c r="B670">
        <f t="shared" si="578"/>
        <v>9400</v>
      </c>
      <c r="C670">
        <f t="shared" si="539"/>
        <v>77.968176338985202</v>
      </c>
      <c r="D670">
        <f t="shared" si="540"/>
        <v>1.557970229461195</v>
      </c>
      <c r="F670">
        <f t="shared" si="541"/>
        <v>2.1465004627790234E-7</v>
      </c>
      <c r="G670">
        <f t="shared" si="542"/>
        <v>1.7435493187686996E-4</v>
      </c>
      <c r="H670">
        <f t="shared" si="564"/>
        <v>-3.1414182950681235</v>
      </c>
      <c r="J670">
        <f t="shared" si="565"/>
        <v>15</v>
      </c>
      <c r="M670">
        <f t="shared" si="543"/>
        <v>1.939447530815193E-4</v>
      </c>
      <c r="N670">
        <f t="shared" si="566"/>
        <v>-1.5707963250000001</v>
      </c>
      <c r="O670">
        <f t="shared" si="544"/>
        <v>1554.5106303470657</v>
      </c>
      <c r="P670">
        <f t="shared" si="567"/>
        <v>1.5701530374860633</v>
      </c>
      <c r="Q670">
        <f t="shared" si="545"/>
        <v>2416.8148661582732</v>
      </c>
      <c r="R670">
        <f t="shared" si="568"/>
        <v>1.5703825590535041</v>
      </c>
      <c r="S670">
        <f t="shared" si="546"/>
        <v>1.2825745669005547E-2</v>
      </c>
      <c r="T670">
        <f t="shared" si="569"/>
        <v>-1.557970229461195</v>
      </c>
      <c r="U670">
        <f t="shared" si="547"/>
        <v>2.0795192725583344E-2</v>
      </c>
      <c r="V670">
        <f t="shared" si="570"/>
        <v>-1.5499996349985814</v>
      </c>
      <c r="X670">
        <f t="shared" si="548"/>
        <v>-86.233993800997197</v>
      </c>
      <c r="Y670">
        <f t="shared" si="549"/>
        <v>-178.85901233404167</v>
      </c>
      <c r="Z670">
        <f t="shared" si="579"/>
        <v>1.1409876659583347</v>
      </c>
      <c r="AC670">
        <v>1</v>
      </c>
      <c r="AD670">
        <f t="shared" si="550"/>
        <v>1554.5103087023999</v>
      </c>
      <c r="AE670">
        <f t="shared" si="551"/>
        <v>-13.771859611675707</v>
      </c>
      <c r="AF670">
        <f t="shared" si="552"/>
        <v>0.28645041782700004</v>
      </c>
      <c r="AG670">
        <f t="shared" si="553"/>
        <v>2.2741869601143132</v>
      </c>
      <c r="AH670">
        <f t="shared" si="554"/>
        <v>-112.8285439084861</v>
      </c>
      <c r="AJ670">
        <f t="shared" si="571"/>
        <v>18000</v>
      </c>
      <c r="AK670">
        <f t="shared" si="555"/>
        <v>1403311.7376432002</v>
      </c>
      <c r="AL670">
        <v>45</v>
      </c>
      <c r="AM670">
        <f t="shared" si="556"/>
        <v>2416.8146592744001</v>
      </c>
      <c r="AN670">
        <f t="shared" si="557"/>
        <v>580.58255555377991</v>
      </c>
      <c r="AO670">
        <f t="shared" si="558"/>
        <v>3.3623658184694341</v>
      </c>
      <c r="AQ670">
        <f t="shared" si="559"/>
        <v>2.8293345325109367E-5</v>
      </c>
      <c r="AR670">
        <f t="shared" si="560"/>
        <v>-0.53191489211205611</v>
      </c>
      <c r="AT670">
        <f t="shared" si="561"/>
        <v>-60.015118415885766</v>
      </c>
      <c r="AU670">
        <f t="shared" si="562"/>
        <v>-1.2128662084871817</v>
      </c>
      <c r="AV670">
        <f t="shared" si="580"/>
        <v>-3.1213860596129996</v>
      </c>
      <c r="AW670">
        <f t="shared" si="581"/>
        <v>585.16921809520989</v>
      </c>
      <c r="AX670">
        <f t="shared" si="582"/>
        <v>-437.84521134080308</v>
      </c>
      <c r="AY670">
        <f t="shared" si="590"/>
        <v>-0.64237178006356088</v>
      </c>
      <c r="BA670">
        <f t="shared" si="572"/>
        <v>8.2134433063516837E-2</v>
      </c>
      <c r="BB670">
        <f t="shared" si="583"/>
        <v>-21.709494724979056</v>
      </c>
      <c r="BC670">
        <f t="shared" si="584"/>
        <v>-2.479014279549439</v>
      </c>
      <c r="BD670">
        <f t="shared" si="573"/>
        <v>-322.03705573314824</v>
      </c>
      <c r="BF670">
        <f t="shared" si="574"/>
        <v>-93.714702289443892</v>
      </c>
      <c r="BG670">
        <f t="shared" si="575"/>
        <v>-232.76194707424784</v>
      </c>
      <c r="BH670">
        <f t="shared" si="585"/>
        <v>-52.761947074247843</v>
      </c>
      <c r="BI670">
        <f t="shared" si="586"/>
        <v>-52.761947074247843</v>
      </c>
      <c r="BJ670">
        <f t="shared" si="576"/>
        <v>0</v>
      </c>
      <c r="BK670">
        <f t="shared" si="587"/>
        <v>0</v>
      </c>
      <c r="BM670">
        <f t="shared" si="588"/>
        <v>-72.00520756446484</v>
      </c>
      <c r="BN670">
        <f t="shared" si="577"/>
        <v>-90.724891341099578</v>
      </c>
      <c r="BQ670" s="56">
        <f t="shared" si="589"/>
        <v>-4.807533924693919</v>
      </c>
    </row>
    <row r="671" spans="1:69" x14ac:dyDescent="0.25">
      <c r="A671">
        <f t="shared" si="563"/>
        <v>9500000</v>
      </c>
      <c r="B671">
        <f t="shared" si="578"/>
        <v>9500</v>
      </c>
      <c r="C671">
        <f t="shared" si="539"/>
        <v>78.7974892973496</v>
      </c>
      <c r="D671">
        <f t="shared" si="540"/>
        <v>1.5581052264384443</v>
      </c>
      <c r="F671">
        <f t="shared" si="541"/>
        <v>2.1015488099051234E-7</v>
      </c>
      <c r="G671">
        <f t="shared" si="542"/>
        <v>1.7251961606102586E-4</v>
      </c>
      <c r="H671">
        <f t="shared" si="564"/>
        <v>-3.1414201303839393</v>
      </c>
      <c r="J671">
        <f t="shared" si="565"/>
        <v>15</v>
      </c>
      <c r="M671">
        <f t="shared" si="543"/>
        <v>1.9190322936487176E-4</v>
      </c>
      <c r="N671">
        <f t="shared" si="566"/>
        <v>-1.5707963250000001</v>
      </c>
      <c r="O671">
        <f t="shared" si="544"/>
        <v>1571.047970670933</v>
      </c>
      <c r="P671">
        <f t="shared" si="567"/>
        <v>1.5701598089506332</v>
      </c>
      <c r="Q671">
        <f t="shared" si="545"/>
        <v>2442.5256582281486</v>
      </c>
      <c r="R671">
        <f t="shared" si="568"/>
        <v>1.5703869145029243</v>
      </c>
      <c r="S671">
        <f t="shared" si="546"/>
        <v>1.2690759679238103E-2</v>
      </c>
      <c r="T671">
        <f t="shared" si="569"/>
        <v>-1.5581052264384443</v>
      </c>
      <c r="U671">
        <f t="shared" si="547"/>
        <v>2.0576389131026915E-2</v>
      </c>
      <c r="V671">
        <f t="shared" si="570"/>
        <v>-1.5502184854218461</v>
      </c>
      <c r="X671">
        <f t="shared" si="548"/>
        <v>-86.417784628024279</v>
      </c>
      <c r="Y671">
        <f t="shared" si="549"/>
        <v>-178.87101917029281</v>
      </c>
      <c r="Z671">
        <f t="shared" si="579"/>
        <v>1.1289808297071886</v>
      </c>
      <c r="AC671">
        <v>1</v>
      </c>
      <c r="AD671">
        <f t="shared" si="550"/>
        <v>1571.0476524120002</v>
      </c>
      <c r="AE671">
        <f t="shared" si="551"/>
        <v>-14.066436509209288</v>
      </c>
      <c r="AF671">
        <f t="shared" si="552"/>
        <v>0.28949776269749999</v>
      </c>
      <c r="AG671">
        <f t="shared" si="553"/>
        <v>2.2265814914875608</v>
      </c>
      <c r="AH671">
        <f t="shared" si="554"/>
        <v>-111.64185478131641</v>
      </c>
      <c r="AJ671">
        <f t="shared" si="571"/>
        <v>18000</v>
      </c>
      <c r="AK671">
        <f t="shared" si="555"/>
        <v>1418240.5859160002</v>
      </c>
      <c r="AL671">
        <v>46</v>
      </c>
      <c r="AM671">
        <f t="shared" si="556"/>
        <v>2442.5254535219997</v>
      </c>
      <c r="AN671">
        <f t="shared" si="557"/>
        <v>580.5780295822882</v>
      </c>
      <c r="AO671">
        <f t="shared" si="558"/>
        <v>3.564584904624347</v>
      </c>
      <c r="AQ671">
        <f t="shared" si="559"/>
        <v>2.7700830948197144E-5</v>
      </c>
      <c r="AR671">
        <f t="shared" si="560"/>
        <v>-0.52631578801574574</v>
      </c>
      <c r="AT671">
        <f t="shared" si="561"/>
        <v>-58.758809096610513</v>
      </c>
      <c r="AU671">
        <f t="shared" si="562"/>
        <v>-1.1749775644195906</v>
      </c>
      <c r="AV671">
        <f t="shared" si="580"/>
        <v>-3.1215986984821074</v>
      </c>
      <c r="AW671">
        <f t="shared" si="581"/>
        <v>585.20164108973745</v>
      </c>
      <c r="AX671">
        <f t="shared" si="582"/>
        <v>-432.99720332653027</v>
      </c>
      <c r="AY671">
        <f t="shared" si="590"/>
        <v>-0.63701289778739412</v>
      </c>
      <c r="BA671">
        <f t="shared" si="572"/>
        <v>8.0731562401412105E-2</v>
      </c>
      <c r="BB671">
        <f t="shared" si="583"/>
        <v>-21.859132850307923</v>
      </c>
      <c r="BC671">
        <f t="shared" si="584"/>
        <v>-2.4845858006947132</v>
      </c>
      <c r="BD671">
        <f t="shared" si="573"/>
        <v>-322.3562803806052</v>
      </c>
      <c r="BF671">
        <f t="shared" si="574"/>
        <v>-93.956270446212471</v>
      </c>
      <c r="BG671">
        <f t="shared" si="575"/>
        <v>-233.07354212050294</v>
      </c>
      <c r="BH671">
        <f t="shared" si="585"/>
        <v>-53.073542120502935</v>
      </c>
      <c r="BI671">
        <f t="shared" si="586"/>
        <v>-53.073542120502935</v>
      </c>
      <c r="BJ671">
        <f t="shared" si="576"/>
        <v>0</v>
      </c>
      <c r="BK671">
        <f t="shared" si="587"/>
        <v>0</v>
      </c>
      <c r="BM671">
        <f t="shared" si="588"/>
        <v>-72.097137595904542</v>
      </c>
      <c r="BN671">
        <f t="shared" si="577"/>
        <v>-90.717261739897779</v>
      </c>
      <c r="BQ671" s="56">
        <f t="shared" si="589"/>
        <v>-4.9571720500227849</v>
      </c>
    </row>
    <row r="672" spans="1:69" x14ac:dyDescent="0.25">
      <c r="A672">
        <f t="shared" si="563"/>
        <v>9600000</v>
      </c>
      <c r="B672">
        <f t="shared" si="578"/>
        <v>9600</v>
      </c>
      <c r="C672">
        <f t="shared" si="539"/>
        <v>79.626803661821626</v>
      </c>
      <c r="D672">
        <f t="shared" si="540"/>
        <v>1.5582374114269413</v>
      </c>
      <c r="F672">
        <f t="shared" si="541"/>
        <v>2.0579945672906176E-7</v>
      </c>
      <c r="G672">
        <f t="shared" si="542"/>
        <v>1.707225360142163E-4</v>
      </c>
      <c r="H672">
        <f t="shared" si="564"/>
        <v>-3.1414219274639859</v>
      </c>
      <c r="J672">
        <f t="shared" si="565"/>
        <v>15</v>
      </c>
      <c r="M672">
        <f t="shared" si="543"/>
        <v>1.8990423739232099E-4</v>
      </c>
      <c r="N672">
        <f t="shared" si="566"/>
        <v>-1.5707963250000001</v>
      </c>
      <c r="O672">
        <f t="shared" si="544"/>
        <v>1587.5853110653366</v>
      </c>
      <c r="P672">
        <f t="shared" si="567"/>
        <v>1.5701664393430812</v>
      </c>
      <c r="Q672">
        <f t="shared" si="545"/>
        <v>2468.2364503433928</v>
      </c>
      <c r="R672">
        <f t="shared" si="568"/>
        <v>1.5703911792138299</v>
      </c>
      <c r="S672">
        <f t="shared" si="546"/>
        <v>1.2558585225234486E-2</v>
      </c>
      <c r="T672">
        <f t="shared" si="569"/>
        <v>-1.5582374114269413</v>
      </c>
      <c r="U672">
        <f t="shared" si="547"/>
        <v>2.0362141079654238E-2</v>
      </c>
      <c r="V672">
        <f t="shared" si="570"/>
        <v>-1.5504327783717213</v>
      </c>
      <c r="X672">
        <f t="shared" si="548"/>
        <v>-86.599651717043258</v>
      </c>
      <c r="Y672">
        <f t="shared" si="549"/>
        <v>-178.88277597357612</v>
      </c>
      <c r="Z672">
        <f t="shared" si="579"/>
        <v>1.1172240264238837</v>
      </c>
      <c r="AC672">
        <v>1</v>
      </c>
      <c r="AD672">
        <f t="shared" si="550"/>
        <v>1587.5849961216002</v>
      </c>
      <c r="AE672">
        <f t="shared" si="551"/>
        <v>-14.364130622589784</v>
      </c>
      <c r="AF672">
        <f t="shared" si="552"/>
        <v>0.29254510756800001</v>
      </c>
      <c r="AG672">
        <f t="shared" si="553"/>
        <v>2.1804551093409787</v>
      </c>
      <c r="AH672">
        <f t="shared" si="554"/>
        <v>-110.47985822068303</v>
      </c>
      <c r="AJ672">
        <f t="shared" si="571"/>
        <v>18000</v>
      </c>
      <c r="AK672">
        <f t="shared" si="555"/>
        <v>1433169.4341888002</v>
      </c>
      <c r="AL672">
        <v>47</v>
      </c>
      <c r="AM672">
        <f t="shared" si="556"/>
        <v>2468.2362477695997</v>
      </c>
      <c r="AN672">
        <f t="shared" si="557"/>
        <v>580.57351433239194</v>
      </c>
      <c r="AO672">
        <f t="shared" si="558"/>
        <v>3.7625876299379781</v>
      </c>
      <c r="AQ672">
        <f t="shared" si="559"/>
        <v>2.7126736037525129E-5</v>
      </c>
      <c r="AR672">
        <f t="shared" si="560"/>
        <v>-0.52083333192048253</v>
      </c>
      <c r="AT672">
        <f t="shared" si="561"/>
        <v>-57.541533518550658</v>
      </c>
      <c r="AU672">
        <f t="shared" si="562"/>
        <v>-1.1386506576525177</v>
      </c>
      <c r="AV672">
        <f t="shared" si="580"/>
        <v>-3.121806909285147</v>
      </c>
      <c r="AW672">
        <f t="shared" si="581"/>
        <v>585.23154538623055</v>
      </c>
      <c r="AX672">
        <f t="shared" si="582"/>
        <v>-428.25017476617427</v>
      </c>
      <c r="AY672">
        <f t="shared" si="590"/>
        <v>-0.63172621340295476</v>
      </c>
      <c r="BA672">
        <f t="shared" si="572"/>
        <v>7.9362851864224399E-2</v>
      </c>
      <c r="BB672">
        <f t="shared" si="583"/>
        <v>-22.007654688387483</v>
      </c>
      <c r="BC672">
        <f t="shared" si="584"/>
        <v>-2.4900806958821922</v>
      </c>
      <c r="BD672">
        <f t="shared" si="573"/>
        <v>-322.67111468407415</v>
      </c>
      <c r="BF672">
        <f t="shared" si="574"/>
        <v>-94.195759370780863</v>
      </c>
      <c r="BG672">
        <f t="shared" si="575"/>
        <v>-233.38090574710969</v>
      </c>
      <c r="BH672">
        <f t="shared" si="585"/>
        <v>-53.380905747109693</v>
      </c>
      <c r="BI672">
        <f t="shared" si="586"/>
        <v>-53.380905747109693</v>
      </c>
      <c r="BJ672">
        <f t="shared" si="576"/>
        <v>0</v>
      </c>
      <c r="BK672">
        <f t="shared" si="587"/>
        <v>0</v>
      </c>
      <c r="BM672">
        <f t="shared" si="588"/>
        <v>-72.188104682393387</v>
      </c>
      <c r="BN672">
        <f t="shared" si="577"/>
        <v>-90.709791063035496</v>
      </c>
      <c r="BQ672" s="56">
        <f t="shared" si="589"/>
        <v>-5.1056938881023459</v>
      </c>
    </row>
    <row r="673" spans="1:69" x14ac:dyDescent="0.25">
      <c r="A673">
        <f t="shared" si="563"/>
        <v>9700000</v>
      </c>
      <c r="B673">
        <f t="shared" si="578"/>
        <v>9700</v>
      </c>
      <c r="C673">
        <f t="shared" si="539"/>
        <v>80.456119388920243</v>
      </c>
      <c r="D673">
        <f t="shared" si="540"/>
        <v>1.5583668713772127</v>
      </c>
      <c r="F673">
        <f t="shared" si="541"/>
        <v>2.015780407831179E-7</v>
      </c>
      <c r="G673">
        <f t="shared" si="542"/>
        <v>1.6896250918595478E-4</v>
      </c>
      <c r="H673">
        <f t="shared" si="564"/>
        <v>-3.1414236874908141</v>
      </c>
      <c r="J673">
        <f t="shared" si="565"/>
        <v>15</v>
      </c>
      <c r="M673">
        <f t="shared" si="543"/>
        <v>1.879464617491012E-4</v>
      </c>
      <c r="N673">
        <f t="shared" si="566"/>
        <v>-1.5707963250000001</v>
      </c>
      <c r="O673">
        <f t="shared" si="544"/>
        <v>1604.1226515280944</v>
      </c>
      <c r="P673">
        <f t="shared" si="567"/>
        <v>1.5701729330264604</v>
      </c>
      <c r="Q673">
        <f t="shared" si="545"/>
        <v>2493.9472425026033</v>
      </c>
      <c r="R673">
        <f t="shared" si="568"/>
        <v>1.5703953559925661</v>
      </c>
      <c r="S673">
        <f t="shared" si="546"/>
        <v>1.242913537957328E-2</v>
      </c>
      <c r="T673">
        <f t="shared" si="569"/>
        <v>-1.5583668713772127</v>
      </c>
      <c r="U673">
        <f t="shared" si="547"/>
        <v>2.0152307794640466E-2</v>
      </c>
      <c r="V673">
        <f t="shared" si="570"/>
        <v>-1.5506426547234593</v>
      </c>
      <c r="X673">
        <f t="shared" si="548"/>
        <v>-86.779634914616906</v>
      </c>
      <c r="Y673">
        <f t="shared" si="549"/>
        <v>-178.89429047242785</v>
      </c>
      <c r="Z673">
        <f t="shared" si="579"/>
        <v>1.1057095275721451</v>
      </c>
      <c r="AC673">
        <v>1</v>
      </c>
      <c r="AD673">
        <f t="shared" si="550"/>
        <v>1604.1223398312</v>
      </c>
      <c r="AE673">
        <f t="shared" si="551"/>
        <v>-14.664941951817195</v>
      </c>
      <c r="AF673">
        <f t="shared" si="552"/>
        <v>0.29559245243850002</v>
      </c>
      <c r="AG673">
        <f t="shared" si="553"/>
        <v>2.1357471774256038</v>
      </c>
      <c r="AH673">
        <f t="shared" si="554"/>
        <v>-109.34179176116962</v>
      </c>
      <c r="AJ673">
        <f t="shared" si="571"/>
        <v>18000</v>
      </c>
      <c r="AK673">
        <f t="shared" si="555"/>
        <v>1448098.2824616001</v>
      </c>
      <c r="AL673">
        <v>48</v>
      </c>
      <c r="AM673">
        <f t="shared" si="556"/>
        <v>2493.9470420171997</v>
      </c>
      <c r="AN673">
        <f t="shared" si="557"/>
        <v>580.56901203352197</v>
      </c>
      <c r="AO673">
        <f t="shared" si="558"/>
        <v>3.9565044531290408</v>
      </c>
      <c r="AQ673">
        <f t="shared" si="559"/>
        <v>2.65703049565036E-5</v>
      </c>
      <c r="AR673">
        <f t="shared" si="560"/>
        <v>-0.51546391615616982</v>
      </c>
      <c r="AT673">
        <f t="shared" si="561"/>
        <v>-56.361691433291107</v>
      </c>
      <c r="AU673">
        <f t="shared" si="562"/>
        <v>-1.1038058487468725</v>
      </c>
      <c r="AV673">
        <f t="shared" si="580"/>
        <v>-3.122010828895085</v>
      </c>
      <c r="AW673">
        <f t="shared" si="581"/>
        <v>585.25906536089349</v>
      </c>
      <c r="AX673">
        <f t="shared" si="582"/>
        <v>-423.60100493750747</v>
      </c>
      <c r="AY673">
        <f t="shared" si="590"/>
        <v>-0.62651052150855113</v>
      </c>
      <c r="BA673">
        <f t="shared" si="572"/>
        <v>7.8027229510365462E-2</v>
      </c>
      <c r="BB673">
        <f t="shared" si="583"/>
        <v>-22.155076263514538</v>
      </c>
      <c r="BC673">
        <f t="shared" si="584"/>
        <v>-2.4955003073865338</v>
      </c>
      <c r="BD673">
        <f t="shared" si="573"/>
        <v>-322.98163555022836</v>
      </c>
      <c r="BF673">
        <f t="shared" si="574"/>
        <v>-94.433205054855705</v>
      </c>
      <c r="BG673">
        <f t="shared" si="575"/>
        <v>-233.68410994659803</v>
      </c>
      <c r="BH673">
        <f t="shared" si="585"/>
        <v>-53.684109946598028</v>
      </c>
      <c r="BI673">
        <f t="shared" si="586"/>
        <v>-53.684109946598028</v>
      </c>
      <c r="BJ673">
        <f t="shared" si="576"/>
        <v>0</v>
      </c>
      <c r="BK673">
        <f t="shared" si="587"/>
        <v>0</v>
      </c>
      <c r="BM673">
        <f t="shared" si="588"/>
        <v>-72.27812879134116</v>
      </c>
      <c r="BN673">
        <f t="shared" si="577"/>
        <v>-90.702474396369695</v>
      </c>
      <c r="BQ673" s="56">
        <f t="shared" si="589"/>
        <v>-5.2531154632294008</v>
      </c>
    </row>
    <row r="674" spans="1:69" x14ac:dyDescent="0.25">
      <c r="A674">
        <f t="shared" si="563"/>
        <v>9800000</v>
      </c>
      <c r="B674">
        <f t="shared" si="578"/>
        <v>9800</v>
      </c>
      <c r="C674">
        <f t="shared" si="539"/>
        <v>81.285436436938781</v>
      </c>
      <c r="D674">
        <f t="shared" si="540"/>
        <v>1.5584936896916985</v>
      </c>
      <c r="F674">
        <f t="shared" si="541"/>
        <v>1.9748519142749811E-7</v>
      </c>
      <c r="G674">
        <f t="shared" si="542"/>
        <v>1.6723840129316848E-4</v>
      </c>
      <c r="H674">
        <f t="shared" si="564"/>
        <v>-3.141425411598707</v>
      </c>
      <c r="J674">
        <f t="shared" si="565"/>
        <v>15</v>
      </c>
      <c r="M674">
        <f t="shared" si="543"/>
        <v>1.8602864071084508E-4</v>
      </c>
      <c r="N674">
        <f t="shared" si="566"/>
        <v>-1.5707963250000001</v>
      </c>
      <c r="O674">
        <f t="shared" si="544"/>
        <v>1620.6599920571146</v>
      </c>
      <c r="P674">
        <f t="shared" si="567"/>
        <v>1.57017929418574</v>
      </c>
      <c r="Q674">
        <f t="shared" si="545"/>
        <v>2519.6580347044342</v>
      </c>
      <c r="R674">
        <f t="shared" si="568"/>
        <v>1.5703994475309335</v>
      </c>
      <c r="S674">
        <f t="shared" si="546"/>
        <v>1.2302326761520188E-2</v>
      </c>
      <c r="T674">
        <f t="shared" si="569"/>
        <v>-1.5584936896916985</v>
      </c>
      <c r="U674">
        <f t="shared" si="547"/>
        <v>1.9946754239315988E-2</v>
      </c>
      <c r="V674">
        <f t="shared" si="570"/>
        <v>-1.5508482496061953</v>
      </c>
      <c r="X674">
        <f t="shared" si="548"/>
        <v>-86.957772842214936</v>
      </c>
      <c r="Y674">
        <f t="shared" si="549"/>
        <v>-178.90557008015699</v>
      </c>
      <c r="Z674">
        <f t="shared" si="579"/>
        <v>1.0944299198430087</v>
      </c>
      <c r="AC674">
        <v>1</v>
      </c>
      <c r="AD674">
        <f t="shared" si="550"/>
        <v>1620.6596835408</v>
      </c>
      <c r="AE674">
        <f t="shared" si="551"/>
        <v>-14.968870496891522</v>
      </c>
      <c r="AF674">
        <f t="shared" si="552"/>
        <v>0.29863979730899998</v>
      </c>
      <c r="AG674">
        <f t="shared" si="553"/>
        <v>2.0924001348236279</v>
      </c>
      <c r="AH674">
        <f t="shared" si="554"/>
        <v>-108.22692399704226</v>
      </c>
      <c r="AJ674">
        <f t="shared" si="571"/>
        <v>18000</v>
      </c>
      <c r="AK674">
        <f t="shared" si="555"/>
        <v>1463027.1307344001</v>
      </c>
      <c r="AL674">
        <v>49</v>
      </c>
      <c r="AM674">
        <f t="shared" si="556"/>
        <v>2519.6578362648002</v>
      </c>
      <c r="AN674">
        <f t="shared" si="557"/>
        <v>580.56452472056333</v>
      </c>
      <c r="AO674">
        <f t="shared" si="558"/>
        <v>4.1464605078265162</v>
      </c>
      <c r="AQ674">
        <f t="shared" si="559"/>
        <v>2.603082042370153E-5</v>
      </c>
      <c r="AR674">
        <f t="shared" si="560"/>
        <v>-0.51020408030455</v>
      </c>
      <c r="AT674">
        <f t="shared" si="561"/>
        <v>-55.217763755209212</v>
      </c>
      <c r="AU674">
        <f t="shared" si="562"/>
        <v>-1.0703683220403819</v>
      </c>
      <c r="AV674">
        <f t="shared" si="580"/>
        <v>-3.1222105886021292</v>
      </c>
      <c r="AW674">
        <f t="shared" si="581"/>
        <v>585.28432762194996</v>
      </c>
      <c r="AX674">
        <f t="shared" si="582"/>
        <v>-419.04670033084443</v>
      </c>
      <c r="AY674">
        <f t="shared" si="590"/>
        <v>-0.6213646364638743</v>
      </c>
      <c r="BA674">
        <f t="shared" si="572"/>
        <v>7.6723664899469746E-2</v>
      </c>
      <c r="BB674">
        <f t="shared" si="583"/>
        <v>-22.301413203400266</v>
      </c>
      <c r="BC674">
        <f t="shared" si="584"/>
        <v>-2.5008459521382549</v>
      </c>
      <c r="BD674">
        <f t="shared" si="573"/>
        <v>-323.28791843362819</v>
      </c>
      <c r="BF674">
        <f t="shared" si="574"/>
        <v>-94.668642478772114</v>
      </c>
      <c r="BG674">
        <f t="shared" si="575"/>
        <v>-233.98322545991039</v>
      </c>
      <c r="BH674">
        <f t="shared" si="585"/>
        <v>-53.983225459910386</v>
      </c>
      <c r="BI674">
        <f t="shared" si="586"/>
        <v>-53.983225459910386</v>
      </c>
      <c r="BJ674">
        <f t="shared" si="576"/>
        <v>0</v>
      </c>
      <c r="BK674">
        <f t="shared" si="587"/>
        <v>0</v>
      </c>
      <c r="BM674">
        <f t="shared" si="588"/>
        <v>-72.367229275371841</v>
      </c>
      <c r="BN674">
        <f t="shared" si="577"/>
        <v>-90.695307026282194</v>
      </c>
      <c r="BQ674" s="56">
        <f t="shared" si="589"/>
        <v>-5.3994524031151316</v>
      </c>
    </row>
    <row r="675" spans="1:69" x14ac:dyDescent="0.25">
      <c r="A675">
        <f t="shared" si="563"/>
        <v>9900000</v>
      </c>
      <c r="B675">
        <f t="shared" si="578"/>
        <v>9900</v>
      </c>
      <c r="C675">
        <f t="shared" si="539"/>
        <v>82.114754765855437</v>
      </c>
      <c r="D675">
        <f t="shared" si="540"/>
        <v>1.5586179464038932</v>
      </c>
      <c r="F675">
        <f t="shared" si="541"/>
        <v>1.9351574037647942E-7</v>
      </c>
      <c r="G675">
        <f t="shared" si="542"/>
        <v>1.6554912388244697E-4</v>
      </c>
      <c r="H675">
        <f t="shared" si="564"/>
        <v>-3.1414271008761179</v>
      </c>
      <c r="J675">
        <f t="shared" si="565"/>
        <v>15</v>
      </c>
      <c r="M675">
        <f t="shared" si="543"/>
        <v>1.8414956353194763E-4</v>
      </c>
      <c r="N675">
        <f t="shared" si="566"/>
        <v>-1.5707963250000001</v>
      </c>
      <c r="O675">
        <f t="shared" si="544"/>
        <v>1637.1973326503887</v>
      </c>
      <c r="P675">
        <f t="shared" si="567"/>
        <v>1.5701855268367997</v>
      </c>
      <c r="Q675">
        <f t="shared" si="545"/>
        <v>2545.3688269475938</v>
      </c>
      <c r="R675">
        <f t="shared" si="568"/>
        <v>1.5704034564119731</v>
      </c>
      <c r="S675">
        <f t="shared" si="546"/>
        <v>1.2178079357984217E-2</v>
      </c>
      <c r="T675">
        <f t="shared" si="569"/>
        <v>-1.5586179464038932</v>
      </c>
      <c r="U675">
        <f t="shared" si="547"/>
        <v>1.9745350827607797E-2</v>
      </c>
      <c r="V675">
        <f t="shared" si="570"/>
        <v>-1.5510496926929227</v>
      </c>
      <c r="X675">
        <f t="shared" si="548"/>
        <v>-87.134102945916183</v>
      </c>
      <c r="Y675">
        <f t="shared" si="549"/>
        <v>-178.91662191075224</v>
      </c>
      <c r="Z675">
        <f t="shared" si="579"/>
        <v>1.0833780892477591</v>
      </c>
      <c r="AC675">
        <v>1</v>
      </c>
      <c r="AD675">
        <f t="shared" si="550"/>
        <v>1637.1970272504</v>
      </c>
      <c r="AE675">
        <f t="shared" si="551"/>
        <v>-15.275916257812769</v>
      </c>
      <c r="AF675">
        <f t="shared" si="552"/>
        <v>0.30168714217949999</v>
      </c>
      <c r="AG675">
        <f t="shared" si="553"/>
        <v>2.0503593106848466</v>
      </c>
      <c r="AH675">
        <f t="shared" si="554"/>
        <v>-107.13455301723724</v>
      </c>
      <c r="AJ675">
        <f t="shared" si="571"/>
        <v>18000</v>
      </c>
      <c r="AK675">
        <f t="shared" si="555"/>
        <v>1477955.9790072001</v>
      </c>
      <c r="AL675">
        <v>50</v>
      </c>
      <c r="AM675">
        <f t="shared" si="556"/>
        <v>2545.3686305123997</v>
      </c>
      <c r="AN675">
        <f t="shared" si="557"/>
        <v>580.56005424886132</v>
      </c>
      <c r="AO675">
        <f t="shared" si="558"/>
        <v>4.3325758714261582</v>
      </c>
      <c r="AQ675">
        <f t="shared" si="559"/>
        <v>2.550760120011325E-5</v>
      </c>
      <c r="AR675">
        <f t="shared" si="560"/>
        <v>-0.50505050376224236</v>
      </c>
      <c r="AT675">
        <f t="shared" si="561"/>
        <v>-54.108307671950712</v>
      </c>
      <c r="AU675">
        <f t="shared" si="562"/>
        <v>-1.0382677482081017</v>
      </c>
      <c r="AV675">
        <f t="shared" si="580"/>
        <v>-3.1224063143954539</v>
      </c>
      <c r="AW675">
        <f t="shared" si="581"/>
        <v>585.30745151615179</v>
      </c>
      <c r="AX675">
        <f t="shared" si="582"/>
        <v>-414.58438823576375</v>
      </c>
      <c r="AY675">
        <f t="shared" si="590"/>
        <v>-0.61628739223729223</v>
      </c>
      <c r="BA675">
        <f t="shared" si="572"/>
        <v>7.5451167143610304E-2</v>
      </c>
      <c r="BB675">
        <f t="shared" si="583"/>
        <v>-22.446680755909888</v>
      </c>
      <c r="BC675">
        <f t="shared" si="584"/>
        <v>-2.5061189221581617</v>
      </c>
      <c r="BD675">
        <f t="shared" si="573"/>
        <v>-323.5900373616131</v>
      </c>
      <c r="BF675">
        <f t="shared" si="574"/>
        <v>-94.902105653219607</v>
      </c>
      <c r="BG675">
        <f t="shared" si="575"/>
        <v>-234.27832179116839</v>
      </c>
      <c r="BH675">
        <f t="shared" si="585"/>
        <v>-54.278321791168395</v>
      </c>
      <c r="BI675">
        <f t="shared" si="586"/>
        <v>-54.278321791168395</v>
      </c>
      <c r="BJ675">
        <f t="shared" si="576"/>
        <v>0</v>
      </c>
      <c r="BK675">
        <f t="shared" si="587"/>
        <v>0</v>
      </c>
      <c r="BM675">
        <f t="shared" si="588"/>
        <v>-72.455424897309712</v>
      </c>
      <c r="BN675">
        <f t="shared" si="577"/>
        <v>-90.688284429555324</v>
      </c>
      <c r="BQ675" s="56">
        <f t="shared" si="589"/>
        <v>-5.5447199556247551</v>
      </c>
    </row>
    <row r="676" spans="1:69" x14ac:dyDescent="0.25">
      <c r="A676">
        <f t="shared" si="563"/>
        <v>10000000</v>
      </c>
      <c r="B676">
        <f t="shared" si="578"/>
        <v>10000</v>
      </c>
      <c r="C676">
        <f t="shared" si="539"/>
        <v>82.944074337248921</v>
      </c>
      <c r="D676">
        <f t="shared" si="540"/>
        <v>1.5587397183467431</v>
      </c>
      <c r="F676">
        <f t="shared" si="541"/>
        <v>1.8966477646001939E-7</v>
      </c>
      <c r="G676">
        <f t="shared" si="542"/>
        <v>1.6389363203855666E-4</v>
      </c>
      <c r="H676">
        <f t="shared" si="564"/>
        <v>-3.1414287563679615</v>
      </c>
      <c r="J676">
        <f t="shared" si="565"/>
        <v>15</v>
      </c>
      <c r="M676">
        <f t="shared" si="543"/>
        <v>1.8230806789662816E-4</v>
      </c>
      <c r="N676">
        <f t="shared" si="566"/>
        <v>-1.5707963250000001</v>
      </c>
      <c r="O676">
        <f t="shared" si="544"/>
        <v>1653.7346733059894</v>
      </c>
      <c r="P676">
        <f t="shared" si="567"/>
        <v>1.5701916348348841</v>
      </c>
      <c r="Q676">
        <f t="shared" si="545"/>
        <v>2571.0796192308417</v>
      </c>
      <c r="R676">
        <f t="shared" si="568"/>
        <v>1.5704073851154041</v>
      </c>
      <c r="S676">
        <f t="shared" si="546"/>
        <v>1.205631635521087E-2</v>
      </c>
      <c r="T676">
        <f t="shared" si="569"/>
        <v>-1.5587397183467431</v>
      </c>
      <c r="U676">
        <f t="shared" si="547"/>
        <v>1.9547973151830364E-2</v>
      </c>
      <c r="V676">
        <f t="shared" si="570"/>
        <v>-1.5512471084730879</v>
      </c>
      <c r="X676">
        <f t="shared" si="548"/>
        <v>-87.308661543616125</v>
      </c>
      <c r="Y676">
        <f t="shared" si="549"/>
        <v>-178.92745279383595</v>
      </c>
      <c r="Z676">
        <f t="shared" si="579"/>
        <v>1.072547206164046</v>
      </c>
      <c r="AC676">
        <v>1</v>
      </c>
      <c r="AD676">
        <f t="shared" si="550"/>
        <v>1653.73437096</v>
      </c>
      <c r="AE676">
        <f t="shared" si="551"/>
        <v>-15.58607923458093</v>
      </c>
      <c r="AF676">
        <f t="shared" si="552"/>
        <v>0.30473448705</v>
      </c>
      <c r="AG676">
        <f t="shared" si="553"/>
        <v>2.009572751852668</v>
      </c>
      <c r="AH676">
        <f t="shared" si="554"/>
        <v>-106.06400493399794</v>
      </c>
      <c r="AJ676">
        <f t="shared" si="571"/>
        <v>18000</v>
      </c>
      <c r="AK676">
        <f t="shared" si="555"/>
        <v>1492884.8272800001</v>
      </c>
      <c r="AL676">
        <v>51</v>
      </c>
      <c r="AM676">
        <f t="shared" si="556"/>
        <v>2571.0794247599997</v>
      </c>
      <c r="AN676">
        <f t="shared" si="557"/>
        <v>580.55560230801677</v>
      </c>
      <c r="AO676">
        <f t="shared" si="558"/>
        <v>4.5149658178266705</v>
      </c>
      <c r="AQ676">
        <f t="shared" si="559"/>
        <v>2.4999999937500001E-5</v>
      </c>
      <c r="AR676">
        <f t="shared" si="560"/>
        <v>-0.49999999875000001</v>
      </c>
      <c r="AT676">
        <f t="shared" si="561"/>
        <v>-53.031952095100294</v>
      </c>
      <c r="AU676">
        <f t="shared" si="562"/>
        <v>-1.007437973531089</v>
      </c>
      <c r="AV676">
        <f t="shared" si="580"/>
        <v>-3.1225981272280383</v>
      </c>
      <c r="AW676">
        <f t="shared" si="581"/>
        <v>585.32854959811073</v>
      </c>
      <c r="AX676">
        <f t="shared" si="582"/>
        <v>-410.21131071173653</v>
      </c>
      <c r="AY676">
        <f t="shared" si="590"/>
        <v>-0.61127764224228665</v>
      </c>
      <c r="BA676">
        <f t="shared" si="572"/>
        <v>7.4208783068654902E-2</v>
      </c>
      <c r="BB676">
        <f t="shared" si="583"/>
        <v>-22.590893804793875</v>
      </c>
      <c r="BC676">
        <f t="shared" si="584"/>
        <v>-2.5113204849857516</v>
      </c>
      <c r="BD676">
        <f t="shared" si="573"/>
        <v>-323.88806495884671</v>
      </c>
      <c r="BF676">
        <f t="shared" si="574"/>
        <v>-95.133627658702608</v>
      </c>
      <c r="BG676">
        <f t="shared" si="575"/>
        <v>-234.56946722270135</v>
      </c>
      <c r="BH676">
        <f t="shared" si="585"/>
        <v>-54.569467222701348</v>
      </c>
      <c r="BI676">
        <f t="shared" si="586"/>
        <v>-54.569467222701348</v>
      </c>
      <c r="BJ676">
        <f t="shared" si="576"/>
        <v>0</v>
      </c>
      <c r="BK676">
        <f t="shared" si="587"/>
        <v>0</v>
      </c>
      <c r="BM676">
        <f t="shared" si="588"/>
        <v>-72.542733853908729</v>
      </c>
      <c r="BN676">
        <f t="shared" si="577"/>
        <v>-90.681402263854693</v>
      </c>
      <c r="BQ676" s="56">
        <f t="shared" si="589"/>
        <v>-5.6889330045087396</v>
      </c>
    </row>
    <row r="677" spans="1:69" x14ac:dyDescent="0.25">
      <c r="BD677">
        <f t="shared" si="573"/>
        <v>-180</v>
      </c>
    </row>
    <row r="678" spans="1:69" x14ac:dyDescent="0.25">
      <c r="BD678">
        <f t="shared" si="573"/>
        <v>-180</v>
      </c>
    </row>
    <row r="679" spans="1:69" x14ac:dyDescent="0.25">
      <c r="C679" s="565" t="s">
        <v>46</v>
      </c>
      <c r="D679" s="565"/>
      <c r="E679" s="565"/>
      <c r="F679" s="565"/>
      <c r="G679" s="565"/>
      <c r="H679" s="565"/>
      <c r="J679" s="7" t="s">
        <v>76</v>
      </c>
      <c r="M679" s="7" t="s">
        <v>37</v>
      </c>
      <c r="N679" s="5"/>
      <c r="O679" s="5"/>
      <c r="P679" s="5"/>
      <c r="Q679" s="5"/>
      <c r="R679" s="5"/>
      <c r="S679" s="5"/>
      <c r="T679" s="5"/>
      <c r="U679" s="5"/>
      <c r="V679" s="5"/>
      <c r="X679" s="7" t="s">
        <v>105</v>
      </c>
      <c r="Y679" s="5"/>
      <c r="Z679" s="5"/>
      <c r="AD679" s="5"/>
      <c r="AE679" s="5"/>
      <c r="AF679" s="5"/>
      <c r="AG679" s="5"/>
      <c r="AH679" s="5"/>
      <c r="AJ679" s="7" t="s">
        <v>87</v>
      </c>
      <c r="AK679" s="5"/>
      <c r="AL679" s="5"/>
      <c r="AM679" s="5"/>
      <c r="AN679" s="5"/>
      <c r="AO679" s="5"/>
      <c r="AQ679" s="7" t="s">
        <v>438</v>
      </c>
      <c r="AR679" s="5"/>
      <c r="AT679" s="7" t="s">
        <v>108</v>
      </c>
      <c r="AU679" s="5"/>
      <c r="AV679" s="5"/>
      <c r="AW679" s="5"/>
      <c r="AX679" s="5"/>
      <c r="AY679" s="5"/>
      <c r="BA679" s="7" t="s">
        <v>109</v>
      </c>
      <c r="BB679" s="5"/>
      <c r="BC679" s="5"/>
      <c r="BF679" s="7" t="s">
        <v>110</v>
      </c>
      <c r="BG679" s="5"/>
      <c r="BH679" s="5"/>
      <c r="BJ679" t="s">
        <v>85</v>
      </c>
      <c r="BK679" s="4">
        <f>SUM(BK683:BK1300)</f>
        <v>0</v>
      </c>
    </row>
    <row r="680" spans="1:69" x14ac:dyDescent="0.25">
      <c r="C680" s="2" t="s">
        <v>47</v>
      </c>
      <c r="D680" s="2"/>
      <c r="E680" s="2"/>
      <c r="F680" s="2" t="s">
        <v>48</v>
      </c>
      <c r="G680" s="2"/>
      <c r="H680" s="2"/>
      <c r="M680" s="2" t="s">
        <v>50</v>
      </c>
      <c r="N680" s="2"/>
      <c r="O680" s="2" t="s">
        <v>64</v>
      </c>
      <c r="P680" s="2"/>
      <c r="Q680" s="2" t="s">
        <v>65</v>
      </c>
      <c r="R680" s="2"/>
      <c r="S680" s="2" t="s">
        <v>66</v>
      </c>
      <c r="T680" s="2"/>
      <c r="U680" s="2" t="s">
        <v>67</v>
      </c>
      <c r="V680" s="2"/>
      <c r="AD680" s="2"/>
      <c r="AE680" s="2" t="s">
        <v>91</v>
      </c>
      <c r="AF680" s="2"/>
      <c r="AG680" s="2" t="s">
        <v>92</v>
      </c>
      <c r="AH680" s="2"/>
      <c r="AJ680" s="2" t="s">
        <v>90</v>
      </c>
      <c r="AK680" s="2"/>
      <c r="AL680" s="2" t="s">
        <v>91</v>
      </c>
      <c r="AM680" s="2"/>
      <c r="AN680" s="2" t="s">
        <v>92</v>
      </c>
      <c r="AO680" s="2"/>
      <c r="AQ680" s="2" t="s">
        <v>83</v>
      </c>
      <c r="AR680" s="2"/>
      <c r="AT680" s="2" t="s">
        <v>90</v>
      </c>
      <c r="AU680" s="2"/>
      <c r="AV680" s="2"/>
      <c r="AW680" s="2" t="s">
        <v>91</v>
      </c>
      <c r="AX680" s="2"/>
      <c r="AY680" s="2"/>
    </row>
    <row r="681" spans="1:69" x14ac:dyDescent="0.25">
      <c r="A681" s="2" t="s">
        <v>44</v>
      </c>
      <c r="B681" s="2"/>
      <c r="C681" s="2" t="s">
        <v>68</v>
      </c>
      <c r="D681" s="2" t="s">
        <v>69</v>
      </c>
      <c r="E681" s="2"/>
      <c r="F681" s="2" t="s">
        <v>68</v>
      </c>
      <c r="G681" s="2"/>
      <c r="H681" s="2" t="s">
        <v>69</v>
      </c>
      <c r="J681" s="2" t="s">
        <v>68</v>
      </c>
      <c r="M681" s="2" t="s">
        <v>68</v>
      </c>
      <c r="N681" s="2" t="s">
        <v>69</v>
      </c>
      <c r="O681" s="2" t="s">
        <v>68</v>
      </c>
      <c r="P681" s="2" t="s">
        <v>69</v>
      </c>
      <c r="Q681" s="2" t="s">
        <v>68</v>
      </c>
      <c r="R681" s="2" t="s">
        <v>69</v>
      </c>
      <c r="S681" s="2" t="s">
        <v>68</v>
      </c>
      <c r="T681" s="2" t="s">
        <v>69</v>
      </c>
      <c r="U681" s="2" t="s">
        <v>68</v>
      </c>
      <c r="V681" s="2" t="s">
        <v>69</v>
      </c>
      <c r="X681" s="2" t="s">
        <v>71</v>
      </c>
      <c r="Y681" s="2" t="s">
        <v>72</v>
      </c>
      <c r="Z681" s="2" t="s">
        <v>73</v>
      </c>
      <c r="AC681" s="2" t="s">
        <v>88</v>
      </c>
      <c r="AD681" s="2" t="s">
        <v>89</v>
      </c>
      <c r="AE681" s="2" t="s">
        <v>88</v>
      </c>
      <c r="AF681" s="2" t="s">
        <v>89</v>
      </c>
      <c r="AG681" s="2" t="s">
        <v>97</v>
      </c>
      <c r="AH681" s="2" t="s">
        <v>98</v>
      </c>
      <c r="AJ681" s="2" t="s">
        <v>88</v>
      </c>
      <c r="AK681" s="2" t="s">
        <v>89</v>
      </c>
      <c r="AL681" s="2" t="s">
        <v>88</v>
      </c>
      <c r="AM681" s="2" t="s">
        <v>89</v>
      </c>
      <c r="AN681" s="2" t="s">
        <v>100</v>
      </c>
      <c r="AO681" s="2" t="s">
        <v>99</v>
      </c>
      <c r="AQ681" s="2" t="s">
        <v>88</v>
      </c>
      <c r="AR681" s="2" t="s">
        <v>89</v>
      </c>
      <c r="AT681" s="2" t="s">
        <v>88</v>
      </c>
      <c r="AU681" s="2" t="s">
        <v>89</v>
      </c>
      <c r="AV681" s="2" t="s">
        <v>69</v>
      </c>
      <c r="AW681" s="2" t="s">
        <v>88</v>
      </c>
      <c r="AX681" s="2" t="s">
        <v>89</v>
      </c>
      <c r="AY681" s="2" t="s">
        <v>69</v>
      </c>
      <c r="BA681" s="2" t="s">
        <v>437</v>
      </c>
      <c r="BB681" s="2" t="s">
        <v>435</v>
      </c>
      <c r="BC681" s="2" t="s">
        <v>436</v>
      </c>
      <c r="BF681" s="2" t="s">
        <v>71</v>
      </c>
      <c r="BG681" s="2" t="s">
        <v>72</v>
      </c>
      <c r="BH681" s="2" t="s">
        <v>104</v>
      </c>
    </row>
    <row r="682" spans="1:69" x14ac:dyDescent="0.25">
      <c r="A682">
        <f>Fesr</f>
        <v>120571.9267225427</v>
      </c>
      <c r="B682">
        <f t="shared" ref="B682:B692" si="591">A682/1000</f>
        <v>120.5719267225427</v>
      </c>
      <c r="C682">
        <f t="shared" ref="C682:C686" si="592">SQRT((A682/Fesr)^2+1)</f>
        <v>1.4142135623730951</v>
      </c>
      <c r="D682">
        <f t="shared" ref="D682:D686" si="593">ATAN(A682/Fesr)</f>
        <v>0.78539816339744828</v>
      </c>
      <c r="F682">
        <f t="shared" ref="F682:F687" si="594">(Ro/(Ro+Rdcr))/SQRT((A682/(Q*Fo))^2+(1-(A682^2/Fo^2))^2)</f>
        <v>1.3062439453701365E-3</v>
      </c>
      <c r="G682">
        <f t="shared" ref="G682:G687" si="595">-ATAN(A682*Fo/(Q*(Fo^2-A682^2)))</f>
        <v>1.3610036607626675E-2</v>
      </c>
      <c r="H682">
        <f t="shared" ref="H682:H687" si="596">IF(G682&gt;0,G682-Pi,G682)</f>
        <v>-3.1279826133923736</v>
      </c>
      <c r="J682">
        <f t="shared" ref="J682:J688" si="597">Vin/Vramp</f>
        <v>15</v>
      </c>
      <c r="M682">
        <f t="shared" ref="M682:M687" si="598">1/(2*Pi*_Rfb1*(Cc1ea_u+Cc2ea_u)*A682)</f>
        <v>1.5120274914089349E-2</v>
      </c>
      <c r="N682">
        <f t="shared" ref="N682:N688" si="599">-Pi/2</f>
        <v>-1.5707963250000001</v>
      </c>
      <c r="O682">
        <f t="shared" ref="O682:O687" si="600">SQRT(1+(A682/Fz1_u)^2)</f>
        <v>19.964454179123948</v>
      </c>
      <c r="P682">
        <f t="shared" ref="P682:P687" si="601">ATAN(A682/Fz1_u)</f>
        <v>1.5206863355310241</v>
      </c>
      <c r="Q682">
        <f t="shared" ref="Q682:Q687" si="602">SQRT(1+(A682/Fz2_u)^2)</f>
        <v>31.016124838541639</v>
      </c>
      <c r="R682">
        <f t="shared" ref="R682:R687" si="603">ATAN(A682/Fz2_u)</f>
        <v>1.5385494443596426</v>
      </c>
      <c r="S682">
        <f t="shared" ref="S682:S687" si="604">1/SQRT(1+(A682/Fp1_u)^2)</f>
        <v>0.70710678118654757</v>
      </c>
      <c r="T682">
        <f t="shared" ref="T682:T687" si="605">-ATAN(A682/Fp1_u)</f>
        <v>-0.78539816339744817</v>
      </c>
      <c r="U682">
        <f t="shared" ref="U682:U687" si="606">1/SQRT(1+(A682/Fp2_u)^2)</f>
        <v>0.85116492972988445</v>
      </c>
      <c r="V682">
        <f t="shared" ref="V682:V687" si="607">-ATAN(A682/Fp2_u)</f>
        <v>-0.55259566686043493</v>
      </c>
      <c r="X682">
        <f t="shared" ref="X682:X686" si="608">20*LOG(C682*J682*O682*Q682*F682*M682*S682*U682)</f>
        <v>-16.129321290332925</v>
      </c>
      <c r="Y682">
        <f t="shared" ref="Y682:Y686" si="609">(180/Pi)*(D682+H682+N682+P682+R682+T682+V682)</f>
        <v>-125.60030294353584</v>
      </c>
      <c r="Z682">
        <f t="shared" ref="Z682:Z687" si="610">Y682+180</f>
        <v>54.399697056464163</v>
      </c>
      <c r="AC682">
        <v>1</v>
      </c>
      <c r="AD682">
        <f t="shared" ref="AD682:AD687" si="611">Rcea1_u*Cc1ea_u*A682*2*Pi</f>
        <v>19.939393939393938</v>
      </c>
      <c r="AE682">
        <f t="shared" ref="AE682:AE687" si="612">-Rcea1_u*Cc1ea_u*Cc2ea_u*(A682*2*Pi)^2</f>
        <v>-2.2658402203856749E-3</v>
      </c>
      <c r="AF682">
        <f t="shared" ref="AF682:AF687" si="613">(Cc2ea_u+Cc1ea_u)*A682*2*Pi</f>
        <v>3.6742424242424236E-3</v>
      </c>
      <c r="AG682">
        <f t="shared" ref="AG682:AG687" si="614">AC682*AE682/(AE682^2+AF682^2)+AD682*AF682/(AE682^2+AF682^2)</f>
        <v>3810.0239714455347</v>
      </c>
      <c r="AH682">
        <f t="shared" ref="AH682:AH687" si="615">AD682*AE682/(AE682^2+AF682^2)-AC682*AF682/(AE682^2+AF682^2)</f>
        <v>-2621.7392438717543</v>
      </c>
      <c r="AJ682">
        <f t="shared" ref="AJ682:AJ688" si="616">_Rfb1</f>
        <v>18000</v>
      </c>
      <c r="AK682">
        <f t="shared" ref="AK682:AK687" si="617">_Rfb1*Rcea2_u*Cc3ea_u*A682*2*Pi</f>
        <v>18000</v>
      </c>
      <c r="AL682">
        <v>1</v>
      </c>
      <c r="AM682">
        <f t="shared" ref="AM682:AM687" si="618">(_Rfb1+Rcea2_u)*Cc3ea_u*A682*2*Pi</f>
        <v>30.999999999999996</v>
      </c>
      <c r="AN682">
        <f t="shared" ref="AN682:AN687" si="619">AJ682*AL682/(AL682^2+AM682^2)+AK682*AM682/(AL682^2+AM682^2)</f>
        <v>598.75259875259871</v>
      </c>
      <c r="AO682">
        <f t="shared" ref="AO682:AO687" si="620">AK682*AL682/(AL682^2+AM682^2)-AJ682*AM682/(AL682^2+AM682^2)</f>
        <v>-561.3305613305613</v>
      </c>
      <c r="AQ682">
        <f t="shared" ref="AQ682:AQ687" si="621">Eadcg/(1+(Eadcg*A682/GBP)^2)</f>
        <v>0.17196502944358741</v>
      </c>
      <c r="AR682">
        <f t="shared" ref="AR682:AR687" si="622">-(A682*Eadcg*Eadcg/GBP)/(1+(Eadcg*A682/GBP)^2)</f>
        <v>-41.468309857824238</v>
      </c>
      <c r="AT682">
        <f t="shared" ref="AT682:AT687" si="623">-AR682*AH682+AG682*AQ682</f>
        <v>-108063.90444686133</v>
      </c>
      <c r="AU682">
        <f t="shared" ref="AU682:AU687" si="624">AQ682*AH682+AG682*AR682</f>
        <v>-158446.10207990734</v>
      </c>
      <c r="AV682">
        <f t="shared" ref="AV682:AV687" si="625">IF(AT682&lt;0,ATAN(AU682/AT682)+Pi,ATAN(AU682/AT682))</f>
        <v>4.1138301971976867</v>
      </c>
      <c r="AW682">
        <f t="shared" ref="AW682:AW687" si="626">AG682-AH682*AO682/_Rfb2+AG682*AN682/_Rfb2+AN682-AO682*AR682+AQ682*AN682</f>
        <v>-18523.933197214828</v>
      </c>
      <c r="AX682">
        <f t="shared" ref="AX682:AX687" si="627">AH682+AH682*AN682/_Rfb2+AG682*AO682/_Rfb2+AO682+AO682*AQ682+AN682*AR682</f>
        <v>-29216.243515543098</v>
      </c>
      <c r="AY682">
        <f t="shared" ref="AY682:AY687" si="628">IF(AW682&lt;0,ATAN(AX682/AW682)+Pi,ATAN(AX682/AW682))</f>
        <v>4.1473235328019298</v>
      </c>
      <c r="BA682">
        <f t="shared" ref="BA682:BA687" si="629">SQRT(AT682^2+AU682^2)/SQRT(AW682^2+AX682^2)</f>
        <v>5.5440385943669748</v>
      </c>
      <c r="BB682">
        <f t="shared" ref="BB682:BB687" si="630">20*LOG(BA682)</f>
        <v>14.876524898389105</v>
      </c>
      <c r="BC682">
        <f t="shared" ref="BC682:BC687" si="631">AV682-AY682</f>
        <v>-3.3493335604243057E-2</v>
      </c>
      <c r="BD682">
        <f t="shared" ref="BD682:BD687" si="632">BC682*180/Pi</f>
        <v>-1.9190267741311879</v>
      </c>
      <c r="BF682">
        <f t="shared" ref="BF682:BF686" si="633">20*LOG(BA682*J682*F682*C682)</f>
        <v>-16.270864155017975</v>
      </c>
      <c r="BG682">
        <f t="shared" ref="BG682:BG686" si="634">(180/Pi)*(D682+H682+BC682)</f>
        <v>-136.13922906518459</v>
      </c>
      <c r="BH682">
        <f t="shared" ref="BH682:BH687" si="635">IF(BG682&gt;180,BG682-180,BG682+180)</f>
        <v>43.860770934815406</v>
      </c>
      <c r="BI682">
        <f t="shared" ref="BI682:BI687" si="636">IF(BH682&gt;180,BH682-360,BH682)</f>
        <v>43.860770934815406</v>
      </c>
    </row>
    <row r="683" spans="1:69" x14ac:dyDescent="0.25">
      <c r="A683">
        <f>Fo+1</f>
        <v>4368.8422842539057</v>
      </c>
      <c r="B683">
        <f t="shared" si="591"/>
        <v>4.3688422842539056</v>
      </c>
      <c r="C683">
        <f t="shared" si="592"/>
        <v>1.0006562477951233</v>
      </c>
      <c r="D683">
        <f t="shared" si="593"/>
        <v>3.6218479031452727E-2</v>
      </c>
      <c r="F683">
        <f t="shared" si="594"/>
        <v>2.6488533540445935</v>
      </c>
      <c r="G683">
        <f t="shared" si="595"/>
        <v>1.5695761631724741</v>
      </c>
      <c r="H683">
        <f t="shared" si="596"/>
        <v>-1.5720164868275261</v>
      </c>
      <c r="J683">
        <f t="shared" si="597"/>
        <v>15</v>
      </c>
      <c r="M683">
        <f t="shared" si="598"/>
        <v>0.41729148372716329</v>
      </c>
      <c r="N683">
        <f t="shared" si="599"/>
        <v>-1.5707963250000001</v>
      </c>
      <c r="O683">
        <f t="shared" si="600"/>
        <v>1.2336905898764801</v>
      </c>
      <c r="P683">
        <f t="shared" si="601"/>
        <v>0.62566130695432343</v>
      </c>
      <c r="Q683">
        <f t="shared" si="602"/>
        <v>1.5039022998885119</v>
      </c>
      <c r="R683">
        <f t="shared" si="603"/>
        <v>0.8433871131257048</v>
      </c>
      <c r="S683">
        <f t="shared" si="604"/>
        <v>0.99934418258361024</v>
      </c>
      <c r="T683">
        <f t="shared" si="605"/>
        <v>-3.621847903145272E-2</v>
      </c>
      <c r="U683">
        <f t="shared" si="606"/>
        <v>0.99975044246410283</v>
      </c>
      <c r="V683">
        <f t="shared" si="607"/>
        <v>-2.234134805311274E-2</v>
      </c>
      <c r="X683">
        <f t="shared" si="608"/>
        <v>29.75812353454803</v>
      </c>
      <c r="Y683">
        <f t="shared" si="609"/>
        <v>-97.179700609533185</v>
      </c>
      <c r="Z683">
        <f t="shared" si="610"/>
        <v>82.820299390466815</v>
      </c>
      <c r="AC683">
        <v>1</v>
      </c>
      <c r="AD683">
        <f t="shared" si="611"/>
        <v>0.72249046467740818</v>
      </c>
      <c r="AE683">
        <f t="shared" si="612"/>
        <v>-2.9748811068566336E-6</v>
      </c>
      <c r="AF683">
        <f t="shared" si="613"/>
        <v>1.3313369124944642E-4</v>
      </c>
      <c r="AG683">
        <f t="shared" si="614"/>
        <v>5256.3403198348688</v>
      </c>
      <c r="AH683">
        <f t="shared" si="615"/>
        <v>-7628.6999780223441</v>
      </c>
      <c r="AJ683">
        <f t="shared" si="616"/>
        <v>18000</v>
      </c>
      <c r="AK683">
        <f t="shared" si="617"/>
        <v>652.21783589419533</v>
      </c>
      <c r="AL683">
        <v>1</v>
      </c>
      <c r="AM683">
        <f t="shared" si="618"/>
        <v>1.1232640507066696</v>
      </c>
      <c r="AN683">
        <f t="shared" si="619"/>
        <v>8282.455488059928</v>
      </c>
      <c r="AO683">
        <f t="shared" si="620"/>
        <v>-8651.166665421686</v>
      </c>
      <c r="AQ683">
        <f t="shared" si="621"/>
        <v>129.28727660247475</v>
      </c>
      <c r="AR683">
        <f t="shared" si="622"/>
        <v>-1129.6714416738446</v>
      </c>
      <c r="AT683">
        <f t="shared" si="623"/>
        <v>-7938346.5774224969</v>
      </c>
      <c r="AU683">
        <f t="shared" si="624"/>
        <v>-6924231.3912120815</v>
      </c>
      <c r="AV683">
        <f t="shared" si="625"/>
        <v>3.858863617694043</v>
      </c>
      <c r="AW683">
        <f t="shared" si="626"/>
        <v>-8695328.3378383033</v>
      </c>
      <c r="AX683">
        <f t="shared" si="627"/>
        <v>-10523665.515620632</v>
      </c>
      <c r="AY683">
        <f t="shared" si="628"/>
        <v>4.021837163351992</v>
      </c>
      <c r="BA683">
        <f t="shared" si="629"/>
        <v>0.77164184690764692</v>
      </c>
      <c r="BB683">
        <f t="shared" si="630"/>
        <v>-2.2516845633242593</v>
      </c>
      <c r="BC683">
        <f t="shared" si="631"/>
        <v>-0.16297354565794908</v>
      </c>
      <c r="BD683">
        <f t="shared" si="632"/>
        <v>-9.3376963491529796</v>
      </c>
      <c r="BF683">
        <f t="shared" si="633"/>
        <v>29.736997154780106</v>
      </c>
      <c r="BG683">
        <f t="shared" si="634"/>
        <v>-97.332440481016533</v>
      </c>
      <c r="BH683">
        <f t="shared" si="635"/>
        <v>82.667559518983467</v>
      </c>
      <c r="BI683">
        <f t="shared" si="636"/>
        <v>82.667559518983467</v>
      </c>
    </row>
    <row r="684" spans="1:69" x14ac:dyDescent="0.25">
      <c r="A684">
        <f>Fz1_u</f>
        <v>6046.9203371487984</v>
      </c>
      <c r="B684">
        <f t="shared" si="591"/>
        <v>6.0469203371487987</v>
      </c>
      <c r="C684">
        <f t="shared" si="592"/>
        <v>1.0012568205335721</v>
      </c>
      <c r="D684">
        <f t="shared" si="593"/>
        <v>5.0109991263872514E-2</v>
      </c>
      <c r="F684">
        <f t="shared" si="594"/>
        <v>0.94359347114376035</v>
      </c>
      <c r="G684">
        <f t="shared" si="595"/>
        <v>0.5155967326916614</v>
      </c>
      <c r="H684">
        <f t="shared" si="596"/>
        <v>-2.6259959173083387</v>
      </c>
      <c r="J684">
        <f t="shared" si="597"/>
        <v>15</v>
      </c>
      <c r="M684">
        <f t="shared" si="598"/>
        <v>0.30148911798396338</v>
      </c>
      <c r="N684">
        <f t="shared" si="599"/>
        <v>-1.5707963250000001</v>
      </c>
      <c r="O684">
        <f t="shared" si="600"/>
        <v>1.4142135623730951</v>
      </c>
      <c r="P684">
        <f t="shared" si="601"/>
        <v>0.78539816339744828</v>
      </c>
      <c r="Q684">
        <f t="shared" si="602"/>
        <v>1.8485472834262711</v>
      </c>
      <c r="R684">
        <f t="shared" si="603"/>
        <v>0.99921186020478248</v>
      </c>
      <c r="S684">
        <f t="shared" si="604"/>
        <v>0.99874475708150245</v>
      </c>
      <c r="T684">
        <f t="shared" si="605"/>
        <v>-5.01099912638725E-2</v>
      </c>
      <c r="U684">
        <f t="shared" si="606"/>
        <v>0.99952207734306631</v>
      </c>
      <c r="V684">
        <f t="shared" si="607"/>
        <v>-3.0917979563042652E-2</v>
      </c>
      <c r="X684">
        <f t="shared" si="608"/>
        <v>20.945715607064244</v>
      </c>
      <c r="Y684">
        <f t="shared" si="609"/>
        <v>-139.97933044834667</v>
      </c>
      <c r="Z684">
        <f t="shared" si="610"/>
        <v>40.020669551653327</v>
      </c>
      <c r="AC684">
        <v>1</v>
      </c>
      <c r="AD684">
        <f t="shared" si="611"/>
        <v>1</v>
      </c>
      <c r="AE684">
        <f t="shared" si="612"/>
        <v>-5.6990881458966545E-6</v>
      </c>
      <c r="AF684">
        <f t="shared" si="613"/>
        <v>1.842705167173252E-4</v>
      </c>
      <c r="AG684">
        <f t="shared" si="614"/>
        <v>5253.9392652367815</v>
      </c>
      <c r="AH684">
        <f t="shared" si="615"/>
        <v>-5589.2970906774271</v>
      </c>
      <c r="AJ684">
        <f t="shared" si="616"/>
        <v>18000</v>
      </c>
      <c r="AK684">
        <f t="shared" si="617"/>
        <v>902.73556231003045</v>
      </c>
      <c r="AL684">
        <v>1</v>
      </c>
      <c r="AM684">
        <f t="shared" si="618"/>
        <v>1.5547112462006076</v>
      </c>
      <c r="AN684">
        <f t="shared" si="619"/>
        <v>5678.3060142900313</v>
      </c>
      <c r="AO684">
        <f t="shared" si="620"/>
        <v>-7925.3906574752291</v>
      </c>
      <c r="AQ684">
        <f t="shared" si="621"/>
        <v>67.906650131287165</v>
      </c>
      <c r="AR684">
        <f t="shared" si="622"/>
        <v>-821.25220741305702</v>
      </c>
      <c r="AT684">
        <f t="shared" si="623"/>
        <v>-4233445.158110748</v>
      </c>
      <c r="AU684">
        <f t="shared" si="624"/>
        <v>-4694359.6612062948</v>
      </c>
      <c r="AV684">
        <f t="shared" si="625"/>
        <v>3.9785718760726416</v>
      </c>
      <c r="AW684">
        <f t="shared" si="626"/>
        <v>-6116536.6646034317</v>
      </c>
      <c r="AX684">
        <f t="shared" si="627"/>
        <v>-5236934.0321558695</v>
      </c>
      <c r="AY684">
        <f t="shared" si="628"/>
        <v>3.8496709263746678</v>
      </c>
      <c r="BA684">
        <f t="shared" si="629"/>
        <v>0.78504501886517797</v>
      </c>
      <c r="BB684">
        <f t="shared" si="630"/>
        <v>-2.1021087533975451</v>
      </c>
      <c r="BC684">
        <f t="shared" si="631"/>
        <v>0.12890094969797383</v>
      </c>
      <c r="BD684">
        <f t="shared" si="632"/>
        <v>7.385480401361165</v>
      </c>
      <c r="BF684">
        <f t="shared" si="633"/>
        <v>20.926324723386031</v>
      </c>
      <c r="BG684">
        <f t="shared" si="634"/>
        <v>-140.20191183677761</v>
      </c>
      <c r="BH684">
        <f t="shared" si="635"/>
        <v>39.798088163222388</v>
      </c>
      <c r="BI684">
        <f t="shared" si="636"/>
        <v>39.798088163222388</v>
      </c>
    </row>
    <row r="685" spans="1:69" x14ac:dyDescent="0.25">
      <c r="A685">
        <f>Fz2_u</f>
        <v>3889.4169910497653</v>
      </c>
      <c r="B685">
        <f t="shared" si="591"/>
        <v>3.8894169910497651</v>
      </c>
      <c r="C685">
        <f t="shared" si="592"/>
        <v>1.0005201560819885</v>
      </c>
      <c r="D685">
        <f t="shared" si="593"/>
        <v>3.2246882435253928E-2</v>
      </c>
      <c r="F685">
        <f t="shared" si="594"/>
        <v>2.5290739488920413</v>
      </c>
      <c r="G685">
        <f t="shared" si="595"/>
        <v>-1.0159945962804049</v>
      </c>
      <c r="H685">
        <f t="shared" si="596"/>
        <v>-1.0159945962804049</v>
      </c>
      <c r="J685">
        <f t="shared" si="597"/>
        <v>15</v>
      </c>
      <c r="M685">
        <f t="shared" si="598"/>
        <v>0.4687285223367697</v>
      </c>
      <c r="N685">
        <f t="shared" si="599"/>
        <v>-1.5707963250000001</v>
      </c>
      <c r="O685">
        <f t="shared" si="600"/>
        <v>1.1889971774139654</v>
      </c>
      <c r="P685">
        <f t="shared" si="601"/>
        <v>0.57158446659011419</v>
      </c>
      <c r="Q685">
        <f t="shared" si="602"/>
        <v>1.4142135623730951</v>
      </c>
      <c r="R685">
        <f t="shared" si="603"/>
        <v>0.78539816339744828</v>
      </c>
      <c r="S685">
        <f t="shared" si="604"/>
        <v>0.99948011433969963</v>
      </c>
      <c r="T685">
        <f t="shared" si="605"/>
        <v>-3.2246882435253921E-2</v>
      </c>
      <c r="U685">
        <f t="shared" si="606"/>
        <v>0.99980219343981247</v>
      </c>
      <c r="V685">
        <f t="shared" si="607"/>
        <v>-1.9890353529825541E-2</v>
      </c>
      <c r="X685">
        <f t="shared" si="608"/>
        <v>29.51168150310902</v>
      </c>
      <c r="Y685">
        <f t="shared" si="609"/>
        <v>-71.602458093375105</v>
      </c>
      <c r="Z685">
        <f t="shared" si="610"/>
        <v>108.39754190662489</v>
      </c>
      <c r="AC685">
        <v>1</v>
      </c>
      <c r="AD685">
        <f t="shared" si="611"/>
        <v>0.64320625610948201</v>
      </c>
      <c r="AE685">
        <f t="shared" si="612"/>
        <v>-2.3577941939497138E-6</v>
      </c>
      <c r="AF685">
        <f t="shared" si="613"/>
        <v>1.1852394916911046E-4</v>
      </c>
      <c r="AG685">
        <f t="shared" si="614"/>
        <v>5256.8845112032059</v>
      </c>
      <c r="AH685">
        <f t="shared" si="615"/>
        <v>-8541.6884846984813</v>
      </c>
      <c r="AJ685">
        <f t="shared" si="616"/>
        <v>18000</v>
      </c>
      <c r="AK685">
        <f t="shared" si="617"/>
        <v>580.64516129032268</v>
      </c>
      <c r="AL685">
        <v>1</v>
      </c>
      <c r="AM685">
        <f t="shared" si="618"/>
        <v>1</v>
      </c>
      <c r="AN685">
        <f t="shared" si="619"/>
        <v>9290.322580645161</v>
      </c>
      <c r="AO685">
        <f t="shared" si="620"/>
        <v>-8709.677419354839</v>
      </c>
      <c r="AQ685">
        <f t="shared" si="621"/>
        <v>162.57450879685277</v>
      </c>
      <c r="AR685">
        <f t="shared" si="622"/>
        <v>-1264.6401136520974</v>
      </c>
      <c r="AT685">
        <f t="shared" si="623"/>
        <v>-9947526.4788592551</v>
      </c>
      <c r="AU685">
        <f t="shared" si="624"/>
        <v>-8036727.8353995625</v>
      </c>
      <c r="AV685">
        <f t="shared" si="625"/>
        <v>3.8211395081365169</v>
      </c>
      <c r="AW685">
        <f t="shared" si="626"/>
        <v>-9497322.2677045409</v>
      </c>
      <c r="AX685">
        <f t="shared" si="627"/>
        <v>-13219505.934625152</v>
      </c>
      <c r="AY685">
        <f t="shared" si="628"/>
        <v>4.0893990494471035</v>
      </c>
      <c r="BA685">
        <f t="shared" si="629"/>
        <v>0.78565051087614779</v>
      </c>
      <c r="BB685">
        <f t="shared" si="630"/>
        <v>-2.0954120550942195</v>
      </c>
      <c r="BC685">
        <f t="shared" si="631"/>
        <v>-0.2682595413105866</v>
      </c>
      <c r="BD685">
        <f t="shared" si="632"/>
        <v>-15.370139548774914</v>
      </c>
      <c r="BF685">
        <f t="shared" si="633"/>
        <v>29.490160531501161</v>
      </c>
      <c r="BG685">
        <f t="shared" si="634"/>
        <v>-71.734731722151409</v>
      </c>
      <c r="BH685">
        <f t="shared" si="635"/>
        <v>108.26526827784859</v>
      </c>
      <c r="BI685">
        <f t="shared" si="636"/>
        <v>108.26526827784859</v>
      </c>
    </row>
    <row r="686" spans="1:69" x14ac:dyDescent="0.25">
      <c r="A686">
        <f>Fp1_u</f>
        <v>120571.92672254273</v>
      </c>
      <c r="B686">
        <f t="shared" si="591"/>
        <v>120.57192672254273</v>
      </c>
      <c r="C686">
        <f t="shared" si="592"/>
        <v>1.4142135623730951</v>
      </c>
      <c r="D686">
        <f t="shared" si="593"/>
        <v>0.78539816339744839</v>
      </c>
      <c r="F686">
        <f t="shared" si="594"/>
        <v>1.3062439453701358E-3</v>
      </c>
      <c r="G686">
        <f t="shared" si="595"/>
        <v>1.361003660762667E-2</v>
      </c>
      <c r="H686">
        <f t="shared" si="596"/>
        <v>-3.1279826133923736</v>
      </c>
      <c r="J686">
        <f t="shared" si="597"/>
        <v>15</v>
      </c>
      <c r="M686">
        <f t="shared" si="598"/>
        <v>1.5120274914089345E-2</v>
      </c>
      <c r="N686">
        <f t="shared" si="599"/>
        <v>-1.5707963250000001</v>
      </c>
      <c r="O686">
        <f t="shared" si="600"/>
        <v>19.964454179123955</v>
      </c>
      <c r="P686">
        <f t="shared" si="601"/>
        <v>1.5206863355310241</v>
      </c>
      <c r="Q686">
        <f t="shared" si="602"/>
        <v>31.016124838541646</v>
      </c>
      <c r="R686">
        <f t="shared" si="603"/>
        <v>1.5385494443596428</v>
      </c>
      <c r="S686">
        <f t="shared" si="604"/>
        <v>0.70710678118654746</v>
      </c>
      <c r="T686">
        <f t="shared" si="605"/>
        <v>-0.78539816339744828</v>
      </c>
      <c r="U686">
        <f t="shared" si="606"/>
        <v>0.85116492972988445</v>
      </c>
      <c r="V686">
        <f t="shared" si="607"/>
        <v>-0.55259566686043504</v>
      </c>
      <c r="X686">
        <f t="shared" si="608"/>
        <v>-16.129321290332928</v>
      </c>
      <c r="Y686">
        <f t="shared" si="609"/>
        <v>-125.60030294353584</v>
      </c>
      <c r="Z686">
        <f t="shared" si="610"/>
        <v>54.399697056464163</v>
      </c>
      <c r="AC686">
        <v>1</v>
      </c>
      <c r="AD686">
        <f t="shared" si="611"/>
        <v>19.939393939393941</v>
      </c>
      <c r="AE686">
        <f t="shared" si="612"/>
        <v>-2.2658402203856753E-3</v>
      </c>
      <c r="AF686">
        <f t="shared" si="613"/>
        <v>3.6742424242424249E-3</v>
      </c>
      <c r="AG686">
        <f t="shared" si="614"/>
        <v>3810.0239714455352</v>
      </c>
      <c r="AH686">
        <f t="shared" si="615"/>
        <v>-2621.7392438717543</v>
      </c>
      <c r="AJ686">
        <f t="shared" si="616"/>
        <v>18000</v>
      </c>
      <c r="AK686">
        <f t="shared" si="617"/>
        <v>18000.000000000004</v>
      </c>
      <c r="AL686">
        <v>1</v>
      </c>
      <c r="AM686">
        <f t="shared" si="618"/>
        <v>31</v>
      </c>
      <c r="AN686">
        <f t="shared" si="619"/>
        <v>598.75259875259883</v>
      </c>
      <c r="AO686">
        <f t="shared" si="620"/>
        <v>-561.3305613305613</v>
      </c>
      <c r="AQ686">
        <f t="shared" si="621"/>
        <v>0.17196502944358727</v>
      </c>
      <c r="AR686">
        <f t="shared" si="622"/>
        <v>-41.468309857824217</v>
      </c>
      <c r="AT686">
        <f t="shared" si="623"/>
        <v>-108063.90444686128</v>
      </c>
      <c r="AU686">
        <f t="shared" si="624"/>
        <v>-158446.10207990726</v>
      </c>
      <c r="AV686">
        <f t="shared" si="625"/>
        <v>4.1138301971976867</v>
      </c>
      <c r="AW686">
        <f t="shared" si="626"/>
        <v>-18523.933197214814</v>
      </c>
      <c r="AX686">
        <f t="shared" si="627"/>
        <v>-29216.24351554309</v>
      </c>
      <c r="AY686">
        <f t="shared" si="628"/>
        <v>4.1473235328019298</v>
      </c>
      <c r="BA686">
        <f t="shared" si="629"/>
        <v>5.5440385943669748</v>
      </c>
      <c r="BB686">
        <f t="shared" si="630"/>
        <v>14.876524898389105</v>
      </c>
      <c r="BC686">
        <f t="shared" si="631"/>
        <v>-3.3493335604243057E-2</v>
      </c>
      <c r="BD686">
        <f t="shared" si="632"/>
        <v>-1.9190267741311879</v>
      </c>
      <c r="BF686">
        <f t="shared" si="633"/>
        <v>-16.270864155017975</v>
      </c>
      <c r="BG686">
        <f t="shared" si="634"/>
        <v>-136.13922906518459</v>
      </c>
      <c r="BH686">
        <f t="shared" si="635"/>
        <v>43.860770934815406</v>
      </c>
      <c r="BI686">
        <f t="shared" si="636"/>
        <v>43.860770934815406</v>
      </c>
    </row>
    <row r="687" spans="1:69" x14ac:dyDescent="0.25">
      <c r="A687">
        <f>Fp2_u</f>
        <v>195517.09090114446</v>
      </c>
      <c r="B687">
        <f t="shared" si="591"/>
        <v>195.51709090114446</v>
      </c>
      <c r="C687">
        <f>SQRT((A687/Fesr)^2+1)</f>
        <v>1.9051308277316681</v>
      </c>
      <c r="D687">
        <f>ATAN(A687/Fesr)</f>
        <v>1.0182006599344617</v>
      </c>
      <c r="F687">
        <f t="shared" si="594"/>
        <v>4.963850337461618E-4</v>
      </c>
      <c r="G687">
        <f t="shared" si="595"/>
        <v>8.3865606263048512E-3</v>
      </c>
      <c r="H687">
        <f t="shared" si="596"/>
        <v>-3.1332060893736955</v>
      </c>
      <c r="J687">
        <f t="shared" si="597"/>
        <v>15</v>
      </c>
      <c r="M687">
        <f t="shared" si="598"/>
        <v>9.3244057108442281E-3</v>
      </c>
      <c r="N687">
        <f t="shared" si="599"/>
        <v>-1.5707963250000001</v>
      </c>
      <c r="O687">
        <f t="shared" si="600"/>
        <v>32.348793554697586</v>
      </c>
      <c r="P687">
        <f t="shared" si="601"/>
        <v>1.539878347231854</v>
      </c>
      <c r="Q687">
        <f t="shared" si="602"/>
        <v>50.278942465145207</v>
      </c>
      <c r="R687">
        <f t="shared" si="603"/>
        <v>1.5509059732650712</v>
      </c>
      <c r="S687">
        <f t="shared" si="604"/>
        <v>0.5248983352973422</v>
      </c>
      <c r="T687">
        <f t="shared" si="605"/>
        <v>-1.0182006599344615</v>
      </c>
      <c r="U687">
        <f t="shared" si="606"/>
        <v>0.70710678118654746</v>
      </c>
      <c r="V687">
        <f t="shared" si="607"/>
        <v>-0.78539816339744828</v>
      </c>
      <c r="X687">
        <f>20*LOG(C687*J687*O687*Q687*F687*M687*S687*U687)</f>
        <v>-21.954793509638343</v>
      </c>
      <c r="Y687">
        <f>(180/Pi)*(D687+H687+N687+P687+R687+T687+V687)</f>
        <v>-137.43058837031569</v>
      </c>
      <c r="Z687">
        <f t="shared" si="610"/>
        <v>42.569411629684311</v>
      </c>
      <c r="AC687">
        <v>1</v>
      </c>
      <c r="AD687">
        <f t="shared" si="611"/>
        <v>32.333333333333329</v>
      </c>
      <c r="AE687">
        <f t="shared" si="612"/>
        <v>-5.9580800405268468E-3</v>
      </c>
      <c r="AF687">
        <f t="shared" si="613"/>
        <v>5.9580800405268485E-3</v>
      </c>
      <c r="AG687">
        <f t="shared" si="614"/>
        <v>2629.4824104580725</v>
      </c>
      <c r="AH687">
        <f t="shared" si="615"/>
        <v>-2797.3217132532682</v>
      </c>
      <c r="AJ687">
        <f t="shared" si="616"/>
        <v>18000</v>
      </c>
      <c r="AK687">
        <f t="shared" si="617"/>
        <v>29188.449848024313</v>
      </c>
      <c r="AL687">
        <v>1</v>
      </c>
      <c r="AM687">
        <f t="shared" si="618"/>
        <v>50.268996960486305</v>
      </c>
      <c r="AN687">
        <f t="shared" si="619"/>
        <v>587.53580503830563</v>
      </c>
      <c r="AO687">
        <f t="shared" si="620"/>
        <v>-346.38574962314595</v>
      </c>
      <c r="AQ687">
        <f t="shared" si="621"/>
        <v>6.5398489102033913E-2</v>
      </c>
      <c r="AR687">
        <f t="shared" si="622"/>
        <v>-25.573044677119739</v>
      </c>
      <c r="AT687">
        <f t="shared" si="623"/>
        <v>-71364.068972538633</v>
      </c>
      <c r="AU687">
        <f t="shared" si="624"/>
        <v>-67426.811773923866</v>
      </c>
      <c r="AV687">
        <f t="shared" si="625"/>
        <v>3.8986301494517663</v>
      </c>
      <c r="AW687">
        <f t="shared" si="626"/>
        <v>-5430.7072234824182</v>
      </c>
      <c r="AX687">
        <f t="shared" si="627"/>
        <v>-18954.194832300596</v>
      </c>
      <c r="AY687">
        <f t="shared" si="628"/>
        <v>4.4333469442184432</v>
      </c>
      <c r="BA687">
        <f t="shared" si="629"/>
        <v>4.9794701497757865</v>
      </c>
      <c r="BB687">
        <f t="shared" si="630"/>
        <v>13.943662665351447</v>
      </c>
      <c r="BC687">
        <f t="shared" si="631"/>
        <v>-0.53471679476667688</v>
      </c>
      <c r="BD687">
        <f t="shared" si="632"/>
        <v>-30.637015609901503</v>
      </c>
      <c r="BF687">
        <f>20*LOG(BA687*J687*F687*C687)</f>
        <v>-23.019642485227013</v>
      </c>
      <c r="BG687">
        <f>(180/Pi)*(D687+H687+BC687)</f>
        <v>-151.81790050249316</v>
      </c>
      <c r="BH687">
        <f t="shared" si="635"/>
        <v>28.18209949750684</v>
      </c>
      <c r="BI687">
        <f t="shared" si="636"/>
        <v>28.18209949750684</v>
      </c>
    </row>
    <row r="688" spans="1:69" x14ac:dyDescent="0.25">
      <c r="A688">
        <f>'Bode Plots Calculations'!BK5*1000</f>
        <v>23500</v>
      </c>
      <c r="B688">
        <f t="shared" si="591"/>
        <v>23.5</v>
      </c>
      <c r="C688">
        <f>SQRT((A688/Fesr)^2+1)</f>
        <v>1.0188168276290734</v>
      </c>
      <c r="D688">
        <f>ATAN(A688/Fesr)</f>
        <v>0.19249118554463379</v>
      </c>
      <c r="F688">
        <f t="shared" ref="F688" si="637">(Ro/(Ro+Rdcr))/SQRT((A688/(Q*Fo))^2+(1-(A688^2/Fo^2))^2)</f>
        <v>3.5480450634211541E-2</v>
      </c>
      <c r="G688">
        <f t="shared" ref="G688" si="638">-ATAN(A688*Fo/(Q*(Fo^2-A688^2)))</f>
        <v>7.2112217386940861E-2</v>
      </c>
      <c r="H688">
        <f t="shared" ref="H688" si="639">IF(G688&gt;0,G688-Pi,G688)</f>
        <v>-3.0694804326130591</v>
      </c>
      <c r="J688">
        <f t="shared" si="597"/>
        <v>15</v>
      </c>
      <c r="M688">
        <f t="shared" ref="M688" si="640">1/(2*Pi*_Rfb1*(Cc1ea_u+Cc2ea_u)*A688)</f>
        <v>7.7577901232607729E-2</v>
      </c>
      <c r="N688">
        <f t="shared" si="599"/>
        <v>-1.5707963250000001</v>
      </c>
      <c r="O688">
        <f t="shared" ref="O688" si="641">SQRT(1+(A688/Fz1_u)^2)</f>
        <v>4.0128717116471213</v>
      </c>
      <c r="P688">
        <f t="shared" ref="P688" si="642">ATAN(A688/Fz1_u)</f>
        <v>1.3189441835402014</v>
      </c>
      <c r="Q688">
        <f t="shared" ref="Q688" si="643">SQRT(1+(A688/Fz2_u)^2)</f>
        <v>6.1242311238246643</v>
      </c>
      <c r="R688">
        <f t="shared" ref="R688" si="644">ATAN(A688/Fz2_u)</f>
        <v>1.4067760822755044</v>
      </c>
      <c r="S688">
        <f t="shared" ref="S688" si="645">1/SQRT(1+(A688/Fp1_u)^2)</f>
        <v>0.98153070589453972</v>
      </c>
      <c r="T688">
        <f t="shared" ref="T688" si="646">-ATAN(A688/Fp1_u)</f>
        <v>-0.19249118554463374</v>
      </c>
      <c r="U688">
        <f t="shared" ref="U688" si="647">1/SQRT(1+(A688/Fp2_u)^2)</f>
        <v>0.99285402350320884</v>
      </c>
      <c r="V688">
        <f t="shared" ref="V688" si="648">-ATAN(A688/Fp2_u)</f>
        <v>-0.11962026234997034</v>
      </c>
      <c r="X688">
        <f>20*LOG(C688*J688*O688*Q688*F688*M688*S688*U688)</f>
        <v>6.4213212796170649E-2</v>
      </c>
      <c r="Y688">
        <f>(180/Pi)*(D688+H688+N688+P688+R688+T688+V688)</f>
        <v>-116.54974292944001</v>
      </c>
      <c r="Z688">
        <f t="shared" ref="Z688" si="649">Y688+180</f>
        <v>63.450257070559985</v>
      </c>
      <c r="AC688">
        <v>1</v>
      </c>
      <c r="AD688">
        <f t="shared" ref="AD688" si="650">Rcea1_u*Cc1ea_u*A688*2*Pi</f>
        <v>3.8862757717559999</v>
      </c>
      <c r="AE688">
        <f t="shared" ref="AE688" si="651">-Rcea1_u*Cc1ea_u*Cc2ea_u*(A688*2*Pi)^2</f>
        <v>-8.6074122572973177E-5</v>
      </c>
      <c r="AF688">
        <f t="shared" ref="AF688" si="652">(Cc2ea_u+Cc1ea_u)*A688*2*Pi</f>
        <v>7.1612604456749995E-4</v>
      </c>
      <c r="AG688">
        <f t="shared" ref="AG688" si="653">AC688*AE688/(AE688^2+AF688^2)+AD688*AF688/(AE688^2+AF688^2)</f>
        <v>5184.072491834595</v>
      </c>
      <c r="AH688">
        <f t="shared" ref="AH688" si="654">AD688*AE688/(AE688^2+AF688^2)-AC688*AF688/(AE688^2+AF688^2)</f>
        <v>-2019.497129116121</v>
      </c>
      <c r="AJ688">
        <f t="shared" si="616"/>
        <v>18000</v>
      </c>
      <c r="AK688">
        <f t="shared" ref="AK688" si="655">_Rfb1*Rcea2_u*Cc3ea_u*A688*2*Pi</f>
        <v>3508.2793441080003</v>
      </c>
      <c r="AL688">
        <v>1</v>
      </c>
      <c r="AM688">
        <f t="shared" ref="AM688" si="656">(_Rfb1+Rcea2_u)*Cc3ea_u*A688*2*Pi</f>
        <v>6.0420366481859995</v>
      </c>
      <c r="AN688">
        <f t="shared" ref="AN688" si="657">AJ688*AL688/(AL688^2+AM688^2)+AK688*AM688/(AL688^2+AM688^2)</f>
        <v>1045.0844180951897</v>
      </c>
      <c r="AO688">
        <f t="shared" ref="AO688" si="658">AK688*AL688/(AL688^2+AM688^2)-AJ688*AM688/(AL688^2+AM688^2)</f>
        <v>-2806.1590104712764</v>
      </c>
      <c r="AQ688">
        <f t="shared" ref="AQ688" si="659">Eadcg/(1+(Eadcg*A688/GBP)^2)</f>
        <v>4.5248868778280542</v>
      </c>
      <c r="AR688">
        <f t="shared" ref="AR688" si="660">-(A688*Eadcg*Eadcg/GBP)/(1+(Eadcg*A688/GBP)^2)</f>
        <v>-212.66968325791856</v>
      </c>
      <c r="AT688">
        <f t="shared" ref="AT688" si="661">-AR688*AH688+AG688*AQ688</f>
        <v>-406028.47319738957</v>
      </c>
      <c r="AU688">
        <f t="shared" ref="AU688" si="662">AQ688*AH688+AG688*AR688</f>
        <v>-1111633.0508839011</v>
      </c>
      <c r="AV688">
        <f t="shared" ref="AV688" si="663">IF(AT688&lt;0,ATAN(AU688/AT688)+Pi,ATAN(AU688/AT688))</f>
        <v>4.3621899572142926</v>
      </c>
      <c r="AW688">
        <f t="shared" ref="AW688" si="664">AG688-AH688*AO688/_Rfb2+AG688*AN688/_Rfb2+AN688-AO688*AR688+AQ688*AN688</f>
        <v>-585901.32709123031</v>
      </c>
      <c r="AX688">
        <f t="shared" ref="AX688" si="665">AH688+AH688*AN688/_Rfb2+AG688*AO688/_Rfb2+AO688+AO688*AQ688+AN688*AR688</f>
        <v>-244755.20747215228</v>
      </c>
      <c r="AY688">
        <f t="shared" ref="AY688" si="666">IF(AW688&lt;0,ATAN(AX688/AW688)+Pi,ATAN(AX688/AW688))</f>
        <v>3.5372991210743385</v>
      </c>
      <c r="BA688">
        <f t="shared" ref="BA688" si="667">SQRT(AT688^2+AU688^2)/SQRT(AW688^2+AX688^2)</f>
        <v>1.8638142614872628</v>
      </c>
      <c r="BB688">
        <f t="shared" ref="BB688" si="668">20*LOG(BA688)</f>
        <v>5.4080526106771352</v>
      </c>
      <c r="BC688">
        <f t="shared" ref="BC688" si="669">AV688-AY688</f>
        <v>0.82489083613995406</v>
      </c>
      <c r="BD688">
        <f t="shared" ref="BD688" si="670">BC688*180/Pi</f>
        <v>47.262763523842501</v>
      </c>
      <c r="BF688">
        <v>0</v>
      </c>
      <c r="BG688">
        <f>(180/Pi)*(D688+H688+BC688)</f>
        <v>-117.5765782260551</v>
      </c>
      <c r="BH688">
        <f t="shared" ref="BH688:BH690" si="671">IF(BG688&gt;180,BG688-180,BG688+180)</f>
        <v>62.423421773944895</v>
      </c>
      <c r="BI688">
        <f t="shared" ref="BI688:BI690" si="672">IF(BH688&gt;180,BH688-360,BH688)</f>
        <v>62.423421773944895</v>
      </c>
    </row>
    <row r="689" spans="1:61" x14ac:dyDescent="0.25">
      <c r="A689">
        <v>1000000</v>
      </c>
      <c r="B689">
        <f t="shared" si="591"/>
        <v>1000</v>
      </c>
      <c r="BG689">
        <f>BG688</f>
        <v>-117.5765782260551</v>
      </c>
      <c r="BH689">
        <f t="shared" si="671"/>
        <v>62.423421773944895</v>
      </c>
      <c r="BI689">
        <f t="shared" si="672"/>
        <v>62.423421773944895</v>
      </c>
    </row>
    <row r="690" spans="1:61" x14ac:dyDescent="0.25">
      <c r="A690">
        <f>'Bode Plots Calculations'!BK5*1000</f>
        <v>23500</v>
      </c>
      <c r="B690">
        <f t="shared" si="591"/>
        <v>23.5</v>
      </c>
      <c r="BG690">
        <f>BG688</f>
        <v>-117.5765782260551</v>
      </c>
      <c r="BH690">
        <f t="shared" si="671"/>
        <v>62.423421773944895</v>
      </c>
      <c r="BI690">
        <f t="shared" si="672"/>
        <v>62.423421773944895</v>
      </c>
    </row>
    <row r="691" spans="1:61" x14ac:dyDescent="0.25">
      <c r="A691">
        <f>'Bode Plots Calculations'!BK5*1000</f>
        <v>23500</v>
      </c>
      <c r="B691">
        <f t="shared" si="591"/>
        <v>23.5</v>
      </c>
      <c r="BG691">
        <v>-90</v>
      </c>
    </row>
    <row r="692" spans="1:61" x14ac:dyDescent="0.25">
      <c r="A692">
        <f>'Bode Plots Calculations'!BK5*1000</f>
        <v>23500</v>
      </c>
      <c r="B692">
        <f t="shared" si="591"/>
        <v>23.5</v>
      </c>
      <c r="BG692">
        <v>-80</v>
      </c>
    </row>
  </sheetData>
  <mergeCells count="8">
    <mergeCell ref="A1:G1"/>
    <mergeCell ref="C6:H6"/>
    <mergeCell ref="C679:H679"/>
    <mergeCell ref="O7:P7"/>
    <mergeCell ref="U7:V7"/>
    <mergeCell ref="S7:T7"/>
    <mergeCell ref="Q7:R7"/>
    <mergeCell ref="M7:N7"/>
  </mergeCells>
  <phoneticPr fontId="5" type="noConversion"/>
  <pageMargins left="0.75" right="0.75" top="1" bottom="1" header="0.5" footer="0.5"/>
  <pageSetup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2:B9"/>
  <sheetViews>
    <sheetView zoomScaleNormal="100" workbookViewId="0">
      <selection activeCell="B2" sqref="B2"/>
    </sheetView>
  </sheetViews>
  <sheetFormatPr defaultColWidth="9.109375" defaultRowHeight="13.2" x14ac:dyDescent="0.25"/>
  <cols>
    <col min="1" max="1" width="10.5546875" style="385" customWidth="1"/>
    <col min="2" max="2" width="133.6640625" style="385" customWidth="1"/>
    <col min="3" max="16384" width="9.109375" style="385"/>
  </cols>
  <sheetData>
    <row r="2" spans="1:2" x14ac:dyDescent="0.25">
      <c r="A2" s="385" t="str">
        <f>IF(RDSON_sense=1, "SCH_RDSON", "SCH_SHUNT")</f>
        <v>SCH_RDSON</v>
      </c>
    </row>
    <row r="5" spans="1:2" ht="403.5" customHeight="1" x14ac:dyDescent="0.25">
      <c r="B5" s="346"/>
    </row>
    <row r="6" spans="1:2" ht="12" customHeight="1" x14ac:dyDescent="0.25">
      <c r="B6" s="346"/>
    </row>
    <row r="7" spans="1:2" ht="34.5" customHeight="1" x14ac:dyDescent="0.25"/>
    <row r="8" spans="1:2" ht="404.1" customHeight="1" x14ac:dyDescent="0.25">
      <c r="B8" s="346"/>
    </row>
    <row r="9" spans="1:2" x14ac:dyDescent="0.25">
      <c r="B9" s="346"/>
    </row>
  </sheetData>
  <phoneticPr fontId="106"/>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209"/>
  <sheetViews>
    <sheetView topLeftCell="I1" workbookViewId="0">
      <selection activeCell="P9" sqref="P9"/>
    </sheetView>
  </sheetViews>
  <sheetFormatPr defaultRowHeight="13.2" x14ac:dyDescent="0.25"/>
  <cols>
    <col min="1" max="1" width="19.88671875" customWidth="1"/>
    <col min="2" max="2" width="13.109375" bestFit="1" customWidth="1"/>
    <col min="4" max="4" width="61.5546875" customWidth="1"/>
    <col min="8" max="8" width="11" bestFit="1" customWidth="1"/>
    <col min="10" max="10" width="12.44140625" bestFit="1" customWidth="1"/>
    <col min="11" max="11" width="12.44140625" customWidth="1"/>
    <col min="12" max="12" width="10" customWidth="1"/>
    <col min="13" max="13" width="11" customWidth="1"/>
    <col min="14" max="14" width="11.44140625" customWidth="1"/>
    <col min="15" max="15" width="10.33203125" bestFit="1" customWidth="1"/>
    <col min="16" max="16" width="8" customWidth="1"/>
    <col min="17" max="17" width="11.88671875" style="40" customWidth="1"/>
    <col min="18" max="18" width="10.33203125" style="9" customWidth="1"/>
    <col min="19" max="19" width="9.44140625" bestFit="1" customWidth="1"/>
    <col min="20" max="20" width="11.5546875" customWidth="1"/>
    <col min="21" max="21" width="12.5546875" bestFit="1" customWidth="1"/>
    <col min="22" max="22" width="12.33203125" bestFit="1" customWidth="1"/>
    <col min="23" max="23" width="10.5546875" bestFit="1" customWidth="1"/>
    <col min="24" max="25" width="10.33203125" customWidth="1"/>
    <col min="26" max="27" width="12.44140625" customWidth="1"/>
    <col min="28" max="28" width="11.109375" bestFit="1" customWidth="1"/>
    <col min="29" max="29" width="11.88671875" customWidth="1"/>
    <col min="30" max="30" width="12.44140625" customWidth="1"/>
    <col min="31" max="31" width="9.5546875" bestFit="1" customWidth="1"/>
    <col min="32" max="32" width="11.5546875" customWidth="1"/>
    <col min="33" max="34" width="12.6640625" customWidth="1"/>
    <col min="35" max="35" width="14.33203125" customWidth="1"/>
    <col min="36" max="36" width="10.88671875" bestFit="1" customWidth="1"/>
    <col min="37" max="37" width="10" customWidth="1"/>
    <col min="38" max="38" width="11.33203125" customWidth="1"/>
    <col min="39" max="39" width="10.6640625" customWidth="1"/>
    <col min="41" max="41" width="10" style="4" bestFit="1" customWidth="1"/>
    <col min="42" max="42" width="15" customWidth="1"/>
    <col min="43" max="43" width="14.88671875" style="10" customWidth="1"/>
    <col min="55" max="55" width="28.44140625" customWidth="1"/>
    <col min="58" max="58" width="12.44140625" bestFit="1" customWidth="1"/>
  </cols>
  <sheetData>
    <row r="1" spans="1:69" ht="12.75" customHeight="1" x14ac:dyDescent="0.25">
      <c r="A1" s="566" t="s">
        <v>195</v>
      </c>
      <c r="B1" s="566"/>
      <c r="C1" s="566"/>
      <c r="D1" s="566"/>
    </row>
    <row r="2" spans="1:69" ht="12.75" customHeight="1" x14ac:dyDescent="0.25">
      <c r="A2" s="566"/>
      <c r="B2" s="566"/>
      <c r="C2" s="566"/>
      <c r="D2" s="566"/>
    </row>
    <row r="3" spans="1:69" ht="12.75" customHeight="1" x14ac:dyDescent="0.25">
      <c r="A3" s="566"/>
      <c r="B3" s="566"/>
      <c r="C3" s="566"/>
      <c r="D3" s="566"/>
      <c r="AG3">
        <f>VsdBot</f>
        <v>0.8</v>
      </c>
      <c r="AK3">
        <f>Iq</f>
        <v>2E-3</v>
      </c>
    </row>
    <row r="4" spans="1:69" ht="12.75" customHeight="1" x14ac:dyDescent="0.25">
      <c r="A4" s="566"/>
      <c r="B4" s="566"/>
      <c r="C4" s="566"/>
      <c r="D4" s="566"/>
    </row>
    <row r="5" spans="1:69" x14ac:dyDescent="0.25">
      <c r="A5" s="11"/>
      <c r="B5" s="12"/>
      <c r="C5" s="6"/>
      <c r="D5" s="6"/>
    </row>
    <row r="6" spans="1:69" ht="13.5" customHeight="1" thickBot="1" x14ac:dyDescent="0.3">
      <c r="A6" s="567" t="s">
        <v>198</v>
      </c>
      <c r="B6" s="567"/>
      <c r="C6" s="567"/>
      <c r="D6" s="567"/>
      <c r="BH6">
        <v>80</v>
      </c>
      <c r="BI6">
        <v>100</v>
      </c>
      <c r="BJ6">
        <v>120</v>
      </c>
      <c r="BK6">
        <v>140</v>
      </c>
      <c r="BL6">
        <v>160</v>
      </c>
      <c r="BM6">
        <v>180</v>
      </c>
      <c r="BN6">
        <v>20</v>
      </c>
      <c r="BO6">
        <v>30</v>
      </c>
      <c r="BP6">
        <v>40</v>
      </c>
      <c r="BQ6">
        <v>50</v>
      </c>
    </row>
    <row r="7" spans="1:69" ht="13.8" thickBot="1" x14ac:dyDescent="0.3">
      <c r="A7" s="567"/>
      <c r="B7" s="567"/>
      <c r="C7" s="567"/>
      <c r="D7" s="567"/>
      <c r="G7" s="13" t="s">
        <v>118</v>
      </c>
      <c r="H7" s="14"/>
      <c r="I7" s="15"/>
      <c r="J7" s="15"/>
      <c r="K7" s="497"/>
      <c r="L7" s="497"/>
      <c r="M7" s="497"/>
      <c r="N7" s="13" t="s">
        <v>143</v>
      </c>
      <c r="O7" s="14"/>
      <c r="P7" s="14"/>
      <c r="Q7" s="16"/>
      <c r="R7" s="67" t="s">
        <v>36</v>
      </c>
      <c r="S7" s="17"/>
      <c r="T7" s="15"/>
      <c r="U7" s="13" t="s">
        <v>127</v>
      </c>
      <c r="V7" s="18"/>
      <c r="W7" s="15"/>
      <c r="X7" s="13" t="s">
        <v>256</v>
      </c>
      <c r="Y7" s="14"/>
      <c r="Z7" s="14"/>
      <c r="AA7" s="479"/>
      <c r="AB7" s="14"/>
      <c r="AC7" s="15"/>
      <c r="AD7" s="13" t="s">
        <v>255</v>
      </c>
      <c r="AE7" s="18"/>
      <c r="AF7" s="68"/>
      <c r="AG7" s="15"/>
      <c r="AH7" s="415" t="s">
        <v>619</v>
      </c>
      <c r="AI7" s="69" t="s">
        <v>372</v>
      </c>
      <c r="AJ7" s="14" t="s">
        <v>371</v>
      </c>
      <c r="AK7" s="70" t="s">
        <v>237</v>
      </c>
      <c r="AL7" s="71"/>
      <c r="AM7" s="72"/>
      <c r="AN7" s="73"/>
      <c r="AO7" s="13" t="s">
        <v>254</v>
      </c>
      <c r="AP7" s="14"/>
      <c r="AQ7" s="14"/>
      <c r="AR7" s="14"/>
      <c r="AS7" s="14"/>
    </row>
    <row r="8" spans="1:69" ht="66.599999999999994" thickBot="1" x14ac:dyDescent="0.55000000000000004">
      <c r="A8" s="19" t="s">
        <v>189</v>
      </c>
      <c r="B8" s="19"/>
      <c r="C8" s="19"/>
      <c r="D8" s="6"/>
      <c r="G8" s="20" t="s">
        <v>120</v>
      </c>
      <c r="H8" s="21" t="s">
        <v>6</v>
      </c>
      <c r="I8" s="21" t="s">
        <v>247</v>
      </c>
      <c r="J8" s="22" t="s">
        <v>248</v>
      </c>
      <c r="K8" s="498" t="s">
        <v>742</v>
      </c>
      <c r="L8" s="498" t="s">
        <v>743</v>
      </c>
      <c r="M8" s="498" t="s">
        <v>741</v>
      </c>
      <c r="N8" s="20" t="s">
        <v>252</v>
      </c>
      <c r="O8" s="21" t="s">
        <v>165</v>
      </c>
      <c r="P8" s="21" t="s">
        <v>121</v>
      </c>
      <c r="Q8" s="74" t="s">
        <v>373</v>
      </c>
      <c r="R8" s="75" t="s">
        <v>157</v>
      </c>
      <c r="S8" s="23" t="s">
        <v>164</v>
      </c>
      <c r="T8" s="74" t="s">
        <v>374</v>
      </c>
      <c r="U8" s="20" t="s">
        <v>157</v>
      </c>
      <c r="V8" s="21" t="s">
        <v>163</v>
      </c>
      <c r="W8" s="74" t="s">
        <v>375</v>
      </c>
      <c r="X8" s="20" t="s">
        <v>157</v>
      </c>
      <c r="Y8" s="21" t="s">
        <v>162</v>
      </c>
      <c r="Z8" s="21" t="s">
        <v>744</v>
      </c>
      <c r="AA8" s="499" t="s">
        <v>731</v>
      </c>
      <c r="AB8" s="76" t="s">
        <v>377</v>
      </c>
      <c r="AC8" s="74" t="s">
        <v>376</v>
      </c>
      <c r="AD8" s="20" t="s">
        <v>157</v>
      </c>
      <c r="AE8" s="21" t="s">
        <v>162</v>
      </c>
      <c r="AF8" s="21" t="s">
        <v>172</v>
      </c>
      <c r="AG8" s="77" t="s">
        <v>746</v>
      </c>
      <c r="AH8" s="77" t="s">
        <v>620</v>
      </c>
      <c r="AI8" s="74" t="s">
        <v>172</v>
      </c>
      <c r="AJ8" s="78" t="s">
        <v>171</v>
      </c>
      <c r="AK8" s="79" t="s">
        <v>197</v>
      </c>
      <c r="AL8" s="80" t="s">
        <v>270</v>
      </c>
      <c r="AM8" s="81" t="s">
        <v>379</v>
      </c>
      <c r="AN8" s="82" t="s">
        <v>253</v>
      </c>
      <c r="AO8" s="83" t="s">
        <v>122</v>
      </c>
      <c r="AP8" s="21" t="s">
        <v>123</v>
      </c>
      <c r="AQ8" s="84" t="s">
        <v>124</v>
      </c>
      <c r="AR8" s="21" t="s">
        <v>257</v>
      </c>
      <c r="AS8" s="21" t="s">
        <v>258</v>
      </c>
      <c r="BF8" t="s">
        <v>220</v>
      </c>
      <c r="BH8" t="s">
        <v>212</v>
      </c>
      <c r="BI8" t="s">
        <v>213</v>
      </c>
      <c r="BJ8" t="s">
        <v>214</v>
      </c>
      <c r="BK8" t="s">
        <v>215</v>
      </c>
      <c r="BL8" t="s">
        <v>216</v>
      </c>
      <c r="BM8" t="s">
        <v>217</v>
      </c>
      <c r="BN8" t="s">
        <v>221</v>
      </c>
      <c r="BO8" t="s">
        <v>222</v>
      </c>
      <c r="BP8" t="s">
        <v>223</v>
      </c>
      <c r="BQ8" t="s">
        <v>224</v>
      </c>
    </row>
    <row r="9" spans="1:69" x14ac:dyDescent="0.25">
      <c r="A9" s="24" t="s">
        <v>125</v>
      </c>
      <c r="B9" s="25" t="s">
        <v>201</v>
      </c>
      <c r="C9" s="26" t="s">
        <v>148</v>
      </c>
      <c r="D9" s="27" t="s">
        <v>188</v>
      </c>
      <c r="G9">
        <v>0</v>
      </c>
      <c r="H9">
        <f t="shared" ref="H9:H72" si="0">Iout*(G9/200)</f>
        <v>0</v>
      </c>
      <c r="I9" s="407">
        <f t="shared" ref="I9:I73" si="1">(Vout+Rdcr*H9+RdsonBot*H9)/(Vin-RdsonTop*H9+RdsonBot*H9)</f>
        <v>0.21249999999999999</v>
      </c>
      <c r="J9" s="408">
        <f t="shared" ref="J9:J72" si="2">(Vin-Vout)*I9/(Fsw*Lout2)</f>
        <v>1.3387499999999997</v>
      </c>
      <c r="K9" s="408">
        <f>H9+J9/2</f>
        <v>0.66937499999999983</v>
      </c>
      <c r="L9" s="408">
        <f>H9-J9/2</f>
        <v>-0.66937499999999983</v>
      </c>
      <c r="M9" s="63">
        <f t="shared" ref="M9:M72" si="3">IF(MIN(Vin, -L9/(CossTop+CossBot)*0.00000002)&lt;0, 0, MIN(Vin, -L9/(CossTop+CossBot)*0.00000002))</f>
        <v>19.80399408284023</v>
      </c>
      <c r="N9" s="407">
        <f t="shared" ref="N9:N40" si="4">SQRT(H9^2+(J9^2)/12)</f>
        <v>0.38646383643880566</v>
      </c>
      <c r="O9" s="407">
        <f t="shared" ref="O9:O73" si="5">(N9^2*Rdcr*(1+Ltc*Ta-Ltc*25))/(1-N9^2*Rdcr*Ltc*ThetaCa)</f>
        <v>7.4681610045243085E-4</v>
      </c>
      <c r="P9">
        <f t="shared" ref="P9:P72" si="6">Core_Loss</f>
        <v>0.2</v>
      </c>
      <c r="Q9" s="407">
        <f>O9+P9</f>
        <v>0.20074681610045245</v>
      </c>
      <c r="R9" s="9">
        <f>J9/(2*SQRT(3))</f>
        <v>0.38646383643880566</v>
      </c>
      <c r="S9" s="9">
        <f t="shared" ref="S9:S73" si="7">RCoutEsr*R9^2</f>
        <v>1.4935429687499993E-3</v>
      </c>
      <c r="T9" s="9">
        <f>S9</f>
        <v>1.4935429687499993E-3</v>
      </c>
      <c r="U9" s="407">
        <f t="shared" ref="U9:U40" si="8">SQRT(I9)*SQRT(H9^2+(J9^2)/12)</f>
        <v>0.17815102605917679</v>
      </c>
      <c r="V9" s="409">
        <f t="shared" ref="V9:V73" si="9">RCinEsr*U9^2</f>
        <v>6.3475576171874979E-5</v>
      </c>
      <c r="W9" s="407">
        <f>V9</f>
        <v>6.3475576171874979E-5</v>
      </c>
      <c r="X9" s="407">
        <f t="shared" ref="X9:X40" si="10">SQRT(I9)*SQRT(H9^2+(J9^2)/12)</f>
        <v>0.17815102605917679</v>
      </c>
      <c r="Y9" s="407">
        <f t="shared" ref="Y9:Y73" si="11">RdsonTop*X9^2</f>
        <v>1.9042672851562494E-4</v>
      </c>
      <c r="Z9" s="407">
        <f t="shared" ref="Z9:Z72" si="12">IF(L9&lt;0, (Vin*K9*Tf/2)*Fsw, (Vin*L9*Tr/2+Vin*K9*Tf/2)*Fsw)</f>
        <v>2.434721502590674E-2</v>
      </c>
      <c r="AA9" s="407">
        <f t="shared" ref="AA9:AA72" si="13">(0.5*CossTop*(Vin-M9)^2-0.5*CossBot*(Vin-M9)^2+(QossBot*(Vin-M9)/Vin)*Vin)*Fsw</f>
        <v>2.5176035502958619E-2</v>
      </c>
      <c r="AB9" s="407">
        <f t="shared" ref="AB9:AB72" si="14">IF(L9&gt;0,0,-L9*VsdTop*Deadtime*Fsw)</f>
        <v>4.8194999999999983E-3</v>
      </c>
      <c r="AC9" s="407">
        <f t="shared" ref="AC9:AC40" si="15">(AB9+AA9+Z9+Y9*(1+RdsonTopTc*Ta-RdsonTopTc*25))/(1-Y9*RdsonTopTc*ThetaJaTop)</f>
        <v>5.4535254251392155E-2</v>
      </c>
      <c r="AD9" s="407">
        <f t="shared" ref="AD9:AD40" si="16">SQRT(1-I9)*SQRT(H9^2+(J9^2)/12)</f>
        <v>0.34295263344821025</v>
      </c>
      <c r="AE9" s="407">
        <f t="shared" ref="AE9:AE73" si="17">RdsonBot*AD9^2</f>
        <v>7.0569905273437476E-4</v>
      </c>
      <c r="AF9" s="407">
        <f t="shared" ref="AF9:AF72" si="18">IF(L9&lt;0, Deadtime*Fsw*IF(VfdSky&gt;0,0,VsdBot)*K9, Deadtime*Fsw*IF(VfdSky&gt;0,0,VsdBot)*(K9+L9))</f>
        <v>4.8194999999999983E-3</v>
      </c>
      <c r="AG9" s="407">
        <f t="shared" ref="AG9:AG40" si="19">(AF9+AE9*(1+RdsonBotTc*Ta-RdsonBotTc*25))/(1-AE9*RdsonBotTc*ThetaJaBot)</f>
        <v>5.5259789883618767E-3</v>
      </c>
      <c r="AH9" s="407">
        <f t="shared" ref="AH9:AH40" si="20">IF(RDSON_sense=1, 0, AD9^2*Rshunt)</f>
        <v>0</v>
      </c>
      <c r="AI9">
        <f t="shared" ref="AI9:AI72" si="21">2*Deadtime*Fsw*IF(VfdSky&gt;0,VfdSky,0)*H9</f>
        <v>0</v>
      </c>
      <c r="AJ9" s="408">
        <f t="shared" ref="AJ9:AJ72" si="22">IF(QrrSky&gt;0,QrrSky,QrrBot)*Fsw*(Vin-H9*RdsonTop)</f>
        <v>0.1368</v>
      </c>
      <c r="AK9">
        <f t="shared" ref="AK9:AK73" si="23">Iq*Vin</f>
        <v>4.8000000000000001E-2</v>
      </c>
      <c r="AL9" s="408">
        <f t="shared" ref="AL9:AL72" si="24">IF(Ext_VCC=1, Vdd*(QgTop+QgBot)*Fsw, Vin*(QgTop+QgBot)*Fsw)</f>
        <v>0.1215</v>
      </c>
      <c r="AM9" s="408">
        <f t="shared" ref="AM9:AM73" si="25">(Vin-Vdd)*Fsw*(QgTop+QgBot)+(RdsonDRT+RdsonDRT2)*Fsw*QgTop*Vdd/(RdsonDRT+2*RGateTop+RdsonDRT2)+(RdsonDRB+RdsonDRB2)*Fsw*QgBot*Vdd/(RdsonDRB+2*RGateBot+RdsonDRB2)</f>
        <v>0.31645971316818772</v>
      </c>
      <c r="AN9" s="408">
        <f>SUM(AK9:AL9)</f>
        <v>0.16949999999999998</v>
      </c>
      <c r="AO9" s="408">
        <f t="shared" ref="AO9:AO40" si="26">SUM(Q9,T9,W9,AC9,AJ9,AI9,AG9,AN9, AH9)</f>
        <v>0.56866506788512838</v>
      </c>
      <c r="AP9">
        <f t="shared" ref="AP9:AP72" si="27">Vout*H9</f>
        <v>0</v>
      </c>
      <c r="AQ9" s="10">
        <f>AP9/(AP9+AO9)</f>
        <v>0</v>
      </c>
      <c r="AR9" s="63">
        <f t="shared" ref="AR9:AR40" si="28">ThetaJaTop*AC9</f>
        <v>2.7267627125696077</v>
      </c>
      <c r="AS9" s="63">
        <f>AG9*ThetaJaBot</f>
        <v>0.27629894941809385</v>
      </c>
      <c r="AU9">
        <f>AQ9*100</f>
        <v>0</v>
      </c>
      <c r="BC9" t="s">
        <v>225</v>
      </c>
      <c r="BD9" s="28">
        <v>70</v>
      </c>
      <c r="BE9" s="28">
        <v>70</v>
      </c>
      <c r="BF9" s="28">
        <v>70</v>
      </c>
      <c r="BG9" s="29">
        <f>250000*(5-Vdd)*BF9/1000000000+((250000*BF9/1000000000*Vdd)*2.5/(2*4))</f>
        <v>-2.7343749999999972E-3</v>
      </c>
      <c r="BH9">
        <f t="shared" ref="BH9:BQ17" si="29">BH$6*$BG9</f>
        <v>-0.21874999999999978</v>
      </c>
      <c r="BI9">
        <f t="shared" si="29"/>
        <v>-0.27343749999999972</v>
      </c>
      <c r="BJ9">
        <f t="shared" si="29"/>
        <v>-0.32812499999999967</v>
      </c>
      <c r="BK9">
        <f t="shared" si="29"/>
        <v>-0.38281249999999961</v>
      </c>
      <c r="BL9">
        <f t="shared" si="29"/>
        <v>-0.43749999999999956</v>
      </c>
      <c r="BM9">
        <f t="shared" si="29"/>
        <v>-0.4921874999999995</v>
      </c>
      <c r="BN9">
        <f t="shared" si="29"/>
        <v>-5.4687499999999944E-2</v>
      </c>
      <c r="BO9">
        <f t="shared" si="29"/>
        <v>-8.2031249999999917E-2</v>
      </c>
      <c r="BP9">
        <f t="shared" si="29"/>
        <v>-0.10937499999999989</v>
      </c>
      <c r="BQ9">
        <f t="shared" si="29"/>
        <v>-0.13671874999999986</v>
      </c>
    </row>
    <row r="10" spans="1:69" x14ac:dyDescent="0.25">
      <c r="A10" s="357"/>
      <c r="B10" s="34"/>
      <c r="C10" s="26"/>
      <c r="D10" s="27"/>
      <c r="G10">
        <v>1</v>
      </c>
      <c r="H10">
        <f t="shared" si="0"/>
        <v>0.03</v>
      </c>
      <c r="I10" s="407">
        <f t="shared" ref="I10" si="30">(Vout+Rdcr*H10+RdsonBot*H10)/(Vin-RdsonTop*H10+RdsonBot*H10)</f>
        <v>0.21251374999999997</v>
      </c>
      <c r="J10" s="408">
        <f t="shared" si="2"/>
        <v>1.3388366249999994</v>
      </c>
      <c r="K10" s="408">
        <f t="shared" ref="K10:K73" si="31">H10+J10/2</f>
        <v>0.69941831249999975</v>
      </c>
      <c r="L10" s="408">
        <f t="shared" ref="L10:L73" si="32">H10-J10/2</f>
        <v>-0.6394183124999997</v>
      </c>
      <c r="M10" s="63">
        <f t="shared" si="3"/>
        <v>18.917701553254428</v>
      </c>
      <c r="N10" s="407">
        <f t="shared" si="4"/>
        <v>0.38765142293489535</v>
      </c>
      <c r="O10" s="407">
        <f t="shared" ref="O10" si="33">(N10^2*Rdcr*(1+Ltc*Ta-Ltc*25))/(1-N10^2*Rdcr*Ltc*ThetaCa)</f>
        <v>7.5141329555737559E-4</v>
      </c>
      <c r="P10">
        <f t="shared" si="6"/>
        <v>0.2</v>
      </c>
      <c r="Q10" s="407">
        <f t="shared" ref="Q10:Q73" si="34">O10+P10</f>
        <v>0.20075141329555737</v>
      </c>
      <c r="R10" s="9">
        <f>J10/(2*SQRT(3))</f>
        <v>0.38648884292233987</v>
      </c>
      <c r="S10" s="9">
        <f t="shared" ref="S10" si="35">RCoutEsr*R10^2</f>
        <v>1.4937362570344912E-3</v>
      </c>
      <c r="T10" s="9">
        <f>S10</f>
        <v>1.4937362570344912E-3</v>
      </c>
      <c r="U10" s="407">
        <f t="shared" si="8"/>
        <v>0.17870425771183057</v>
      </c>
      <c r="V10" s="409">
        <f t="shared" ref="V10" si="36">RCinEsr*U10^2</f>
        <v>6.3870423448672716E-5</v>
      </c>
      <c r="W10" s="407">
        <f>V10</f>
        <v>6.3870423448672716E-5</v>
      </c>
      <c r="X10" s="407">
        <f t="shared" si="10"/>
        <v>0.17870425771183057</v>
      </c>
      <c r="Y10" s="407">
        <f t="shared" ref="Y10" si="37">RdsonTop*X10^2</f>
        <v>1.9161127034601817E-4</v>
      </c>
      <c r="Z10" s="407">
        <f t="shared" si="12"/>
        <v>2.5439982143782382E-2</v>
      </c>
      <c r="AA10" s="407">
        <f t="shared" si="13"/>
        <v>3.0493790680473427E-2</v>
      </c>
      <c r="AB10" s="407">
        <f t="shared" si="14"/>
        <v>4.6038118499999977E-3</v>
      </c>
      <c r="AC10" s="407">
        <f t="shared" si="15"/>
        <v>6.0731523313468254E-2</v>
      </c>
      <c r="AD10" s="407">
        <f t="shared" si="16"/>
        <v>0.34400350867267726</v>
      </c>
      <c r="AE10" s="407">
        <f t="shared" ref="AE10" si="38">RdsonBot*AD10^2</f>
        <v>7.100304838746765E-4</v>
      </c>
      <c r="AF10" s="407">
        <f t="shared" si="18"/>
        <v>5.0358118499999978E-3</v>
      </c>
      <c r="AG10" s="407">
        <f t="shared" si="19"/>
        <v>5.746658394402763E-3</v>
      </c>
      <c r="AH10" s="407">
        <f t="shared" si="20"/>
        <v>0</v>
      </c>
      <c r="AI10">
        <f t="shared" si="21"/>
        <v>0</v>
      </c>
      <c r="AJ10" s="408">
        <f t="shared" si="22"/>
        <v>0.13679897399999999</v>
      </c>
      <c r="AK10">
        <f t="shared" si="23"/>
        <v>4.8000000000000001E-2</v>
      </c>
      <c r="AL10" s="408">
        <f t="shared" si="24"/>
        <v>0.1215</v>
      </c>
      <c r="AM10" s="408">
        <f t="shared" si="25"/>
        <v>0.31645971316818772</v>
      </c>
      <c r="AN10" s="408">
        <f>SUM(AK10:AL10)</f>
        <v>0.16949999999999998</v>
      </c>
      <c r="AO10" s="408">
        <f t="shared" si="26"/>
        <v>0.57508617568391163</v>
      </c>
      <c r="AP10">
        <f t="shared" si="27"/>
        <v>0.153</v>
      </c>
      <c r="AQ10" s="10">
        <f>AP10/(AP10+AO10)</f>
        <v>0.21013996022693718</v>
      </c>
      <c r="AR10" s="63">
        <f t="shared" si="28"/>
        <v>3.0365761656734125</v>
      </c>
      <c r="AS10" s="63">
        <f>AG10*ThetaJaBot</f>
        <v>0.28733291972013814</v>
      </c>
      <c r="AU10">
        <f>AQ10*100</f>
        <v>21.013996022693718</v>
      </c>
      <c r="BD10" s="28"/>
      <c r="BE10" s="28"/>
      <c r="BF10" s="28"/>
      <c r="BG10" s="29"/>
    </row>
    <row r="11" spans="1:69" x14ac:dyDescent="0.25">
      <c r="A11" s="30" t="s">
        <v>4</v>
      </c>
      <c r="B11" s="5">
        <f>Vin</f>
        <v>24</v>
      </c>
      <c r="C11" s="417" t="s">
        <v>0</v>
      </c>
      <c r="D11" s="31" t="s">
        <v>4</v>
      </c>
      <c r="G11">
        <v>2</v>
      </c>
      <c r="H11">
        <f t="shared" si="0"/>
        <v>0.06</v>
      </c>
      <c r="I11" s="407">
        <f t="shared" si="1"/>
        <v>0.21252749999999998</v>
      </c>
      <c r="J11" s="408">
        <f t="shared" si="2"/>
        <v>1.3389232499999995</v>
      </c>
      <c r="K11" s="408">
        <f t="shared" si="31"/>
        <v>0.72946162499999967</v>
      </c>
      <c r="L11" s="408">
        <f t="shared" si="32"/>
        <v>-0.60946162499999978</v>
      </c>
      <c r="M11" s="63">
        <f t="shared" si="3"/>
        <v>18.031409023668633</v>
      </c>
      <c r="N11" s="407">
        <f t="shared" si="4"/>
        <v>0.39114313976157983</v>
      </c>
      <c r="O11" s="407">
        <f t="shared" si="5"/>
        <v>7.6501159546681313E-4</v>
      </c>
      <c r="P11">
        <f t="shared" si="6"/>
        <v>0.2</v>
      </c>
      <c r="Q11" s="407">
        <f t="shared" si="34"/>
        <v>0.20076501159546684</v>
      </c>
      <c r="R11" s="9">
        <f t="shared" ref="R11:R74" si="39">J11/(2*SQRT(3))</f>
        <v>0.38651384940587419</v>
      </c>
      <c r="S11" s="9">
        <f t="shared" si="7"/>
        <v>1.4939295578254681E-3</v>
      </c>
      <c r="T11" s="9">
        <f t="shared" ref="T11:T74" si="40">S11</f>
        <v>1.4939295578254681E-3</v>
      </c>
      <c r="U11" s="407">
        <f t="shared" si="8"/>
        <v>0.18031974492571581</v>
      </c>
      <c r="V11" s="409">
        <f t="shared" si="9"/>
        <v>6.503042082015042E-5</v>
      </c>
      <c r="W11" s="407">
        <f t="shared" ref="W11:W74" si="41">V11</f>
        <v>6.503042082015042E-5</v>
      </c>
      <c r="X11" s="407">
        <f t="shared" si="10"/>
        <v>0.18031974492571581</v>
      </c>
      <c r="Y11" s="407">
        <f t="shared" si="11"/>
        <v>1.9509126246045129E-4</v>
      </c>
      <c r="Z11" s="407">
        <f t="shared" si="12"/>
        <v>2.6532749261658023E-2</v>
      </c>
      <c r="AA11" s="407">
        <f t="shared" si="13"/>
        <v>3.5811545857988195E-2</v>
      </c>
      <c r="AB11" s="407">
        <f t="shared" si="14"/>
        <v>4.3881236999999988E-3</v>
      </c>
      <c r="AC11" s="407">
        <f t="shared" si="15"/>
        <v>6.6930121578489737E-2</v>
      </c>
      <c r="AD11" s="407">
        <f t="shared" si="16"/>
        <v>0.34709904259803365</v>
      </c>
      <c r="AE11" s="407">
        <f t="shared" si="17"/>
        <v>7.2286647223482943E-4</v>
      </c>
      <c r="AF11" s="407">
        <f t="shared" si="18"/>
        <v>5.2521236999999972E-3</v>
      </c>
      <c r="AG11" s="407">
        <f t="shared" si="19"/>
        <v>5.9758541211522558E-3</v>
      </c>
      <c r="AH11" s="407">
        <f t="shared" si="20"/>
        <v>0</v>
      </c>
      <c r="AI11">
        <f t="shared" si="21"/>
        <v>0</v>
      </c>
      <c r="AJ11" s="408">
        <f t="shared" si="22"/>
        <v>0.136797948</v>
      </c>
      <c r="AK11">
        <f t="shared" si="23"/>
        <v>4.8000000000000001E-2</v>
      </c>
      <c r="AL11" s="408">
        <f t="shared" si="24"/>
        <v>0.1215</v>
      </c>
      <c r="AM11" s="408">
        <f t="shared" si="25"/>
        <v>0.31645971316818772</v>
      </c>
      <c r="AN11" s="408">
        <f t="shared" ref="AN11:AN74" si="42">SUM(AK11:AL11)</f>
        <v>0.16949999999999998</v>
      </c>
      <c r="AO11" s="408">
        <f t="shared" si="26"/>
        <v>0.58152789527375437</v>
      </c>
      <c r="AP11">
        <f t="shared" si="27"/>
        <v>0.30599999999999999</v>
      </c>
      <c r="AQ11" s="10">
        <f t="shared" ref="AQ11:AQ74" si="43">AP11/(AP11+AO11)</f>
        <v>0.34477789557883759</v>
      </c>
      <c r="AR11" s="63">
        <f t="shared" si="28"/>
        <v>3.3465060789244867</v>
      </c>
      <c r="AS11" s="63">
        <f t="shared" ref="AS11:AS74" si="44">AG11*ThetaJaBot</f>
        <v>0.29879270605761277</v>
      </c>
      <c r="AT11" s="10"/>
      <c r="AU11">
        <f t="shared" ref="AU11:AU74" si="45">AQ11*100</f>
        <v>34.47778955788376</v>
      </c>
      <c r="BC11" t="s">
        <v>226</v>
      </c>
      <c r="BD11" s="28">
        <v>90</v>
      </c>
      <c r="BE11" s="28">
        <v>90</v>
      </c>
      <c r="BF11" s="28">
        <v>90</v>
      </c>
      <c r="BG11" s="29">
        <f>250000*(12-Vdd)*BF11/1000000000+((250000*BF9/1000000000*Vdd)*2.5/(2*4))</f>
        <v>0.14226562500000001</v>
      </c>
      <c r="BH11">
        <f t="shared" si="29"/>
        <v>11.381250000000001</v>
      </c>
      <c r="BI11">
        <f t="shared" si="29"/>
        <v>14.2265625</v>
      </c>
      <c r="BJ11">
        <f t="shared" si="29"/>
        <v>17.071875000000002</v>
      </c>
      <c r="BK11">
        <f t="shared" si="29"/>
        <v>19.917187500000001</v>
      </c>
      <c r="BL11">
        <f t="shared" si="29"/>
        <v>22.762500000000003</v>
      </c>
      <c r="BM11">
        <f t="shared" si="29"/>
        <v>25.607812500000001</v>
      </c>
      <c r="BN11">
        <f t="shared" si="29"/>
        <v>2.8453125000000004</v>
      </c>
      <c r="BO11">
        <f t="shared" si="29"/>
        <v>4.2679687500000005</v>
      </c>
      <c r="BP11">
        <f t="shared" si="29"/>
        <v>5.6906250000000007</v>
      </c>
      <c r="BQ11">
        <f t="shared" si="29"/>
        <v>7.11328125</v>
      </c>
    </row>
    <row r="12" spans="1:69" x14ac:dyDescent="0.25">
      <c r="A12" s="32" t="s">
        <v>5</v>
      </c>
      <c r="B12" s="5">
        <f>Vout</f>
        <v>5.0999999999999996</v>
      </c>
      <c r="C12" s="417" t="s">
        <v>0</v>
      </c>
      <c r="D12" s="31" t="s">
        <v>5</v>
      </c>
      <c r="G12">
        <v>3</v>
      </c>
      <c r="H12">
        <f t="shared" si="0"/>
        <v>0.09</v>
      </c>
      <c r="I12" s="407">
        <f t="shared" si="1"/>
        <v>0.21254124999999999</v>
      </c>
      <c r="J12" s="408">
        <f t="shared" si="2"/>
        <v>1.3390098749999995</v>
      </c>
      <c r="K12" s="408">
        <f t="shared" si="31"/>
        <v>0.7595049374999997</v>
      </c>
      <c r="L12" s="408">
        <f t="shared" si="32"/>
        <v>-0.57950493749999976</v>
      </c>
      <c r="M12" s="63">
        <f t="shared" si="3"/>
        <v>17.145116494082831</v>
      </c>
      <c r="N12" s="407">
        <f t="shared" si="4"/>
        <v>0.39687817666419106</v>
      </c>
      <c r="O12" s="407">
        <f t="shared" si="5"/>
        <v>7.87611058929163E-4</v>
      </c>
      <c r="P12">
        <f t="shared" si="6"/>
        <v>0.2</v>
      </c>
      <c r="Q12" s="407">
        <f t="shared" si="34"/>
        <v>0.20078761105892917</v>
      </c>
      <c r="R12" s="9">
        <f t="shared" si="39"/>
        <v>0.38653885588940845</v>
      </c>
      <c r="S12" s="9">
        <f t="shared" si="7"/>
        <v>1.4941228711229289E-3</v>
      </c>
      <c r="T12" s="9">
        <f t="shared" si="40"/>
        <v>1.4941228711229289E-3</v>
      </c>
      <c r="U12" s="407">
        <f t="shared" si="8"/>
        <v>0.18296955591902608</v>
      </c>
      <c r="V12" s="409">
        <f t="shared" si="9"/>
        <v>6.695571678641123E-5</v>
      </c>
      <c r="W12" s="407">
        <f t="shared" si="41"/>
        <v>6.695571678641123E-5</v>
      </c>
      <c r="X12" s="407">
        <f t="shared" si="10"/>
        <v>0.18296955591902608</v>
      </c>
      <c r="Y12" s="407">
        <f t="shared" si="11"/>
        <v>2.0086715035923369E-4</v>
      </c>
      <c r="Z12" s="407">
        <f t="shared" si="12"/>
        <v>2.7625516379533678E-2</v>
      </c>
      <c r="AA12" s="407">
        <f t="shared" si="13"/>
        <v>4.1129301035503017E-2</v>
      </c>
      <c r="AB12" s="407">
        <f t="shared" si="14"/>
        <v>4.1724355499999982E-3</v>
      </c>
      <c r="AC12" s="407">
        <f t="shared" si="15"/>
        <v>7.3131058040842203E-2</v>
      </c>
      <c r="AD12" s="407">
        <f t="shared" si="16"/>
        <v>0.35218521933648383</v>
      </c>
      <c r="AE12" s="407">
        <f t="shared" si="17"/>
        <v>7.4420657231452332E-4</v>
      </c>
      <c r="AF12" s="407">
        <f t="shared" si="18"/>
        <v>5.4684355499999976E-3</v>
      </c>
      <c r="AG12" s="407">
        <f t="shared" si="19"/>
        <v>6.213566957788021E-3</v>
      </c>
      <c r="AH12" s="407">
        <f t="shared" si="20"/>
        <v>0</v>
      </c>
      <c r="AI12">
        <f t="shared" si="21"/>
        <v>0</v>
      </c>
      <c r="AJ12" s="408">
        <f t="shared" si="22"/>
        <v>0.13679692199999999</v>
      </c>
      <c r="AK12">
        <f t="shared" si="23"/>
        <v>4.8000000000000001E-2</v>
      </c>
      <c r="AL12" s="408">
        <f t="shared" si="24"/>
        <v>0.1215</v>
      </c>
      <c r="AM12" s="408">
        <f t="shared" si="25"/>
        <v>0.31645971316818772</v>
      </c>
      <c r="AN12" s="408">
        <f t="shared" si="42"/>
        <v>0.16949999999999998</v>
      </c>
      <c r="AO12" s="408">
        <f t="shared" si="26"/>
        <v>0.58799023664546879</v>
      </c>
      <c r="AP12">
        <f t="shared" si="27"/>
        <v>0.45899999999999996</v>
      </c>
      <c r="AQ12" s="10">
        <f t="shared" si="43"/>
        <v>0.43839950358145158</v>
      </c>
      <c r="AR12" s="63">
        <f t="shared" si="28"/>
        <v>3.6565529020421104</v>
      </c>
      <c r="AS12" s="63">
        <f t="shared" si="44"/>
        <v>0.31067834788940107</v>
      </c>
      <c r="AT12" s="10"/>
      <c r="AU12">
        <f t="shared" si="45"/>
        <v>43.83995035814516</v>
      </c>
      <c r="BC12" t="s">
        <v>231</v>
      </c>
      <c r="BD12" s="28">
        <v>60</v>
      </c>
      <c r="BE12" s="28">
        <v>60</v>
      </c>
      <c r="BF12" s="28">
        <v>60</v>
      </c>
      <c r="BG12" s="29">
        <f>250000*(18-Vdd)*BF12/1000000000+((250000*BF9/1000000000*Vdd)*2.5/(2*4))</f>
        <v>0.198515625</v>
      </c>
      <c r="BH12">
        <f t="shared" si="29"/>
        <v>15.88125</v>
      </c>
      <c r="BI12">
        <f t="shared" si="29"/>
        <v>19.8515625</v>
      </c>
      <c r="BJ12">
        <f t="shared" si="29"/>
        <v>23.821874999999999</v>
      </c>
      <c r="BK12">
        <f t="shared" si="29"/>
        <v>27.792187500000001</v>
      </c>
      <c r="BL12">
        <f t="shared" si="29"/>
        <v>31.762499999999999</v>
      </c>
      <c r="BM12">
        <f t="shared" si="29"/>
        <v>35.732812500000001</v>
      </c>
      <c r="BN12">
        <f t="shared" si="29"/>
        <v>3.9703124999999999</v>
      </c>
      <c r="BO12">
        <f t="shared" si="29"/>
        <v>5.9554687499999996</v>
      </c>
      <c r="BP12">
        <f t="shared" si="29"/>
        <v>7.9406249999999998</v>
      </c>
      <c r="BQ12">
        <f t="shared" si="29"/>
        <v>9.92578125</v>
      </c>
    </row>
    <row r="13" spans="1:69" x14ac:dyDescent="0.25">
      <c r="A13" s="32" t="s">
        <v>7</v>
      </c>
      <c r="B13" s="5">
        <f>Fsw/1000</f>
        <v>300</v>
      </c>
      <c r="C13" s="417" t="s">
        <v>3</v>
      </c>
      <c r="D13" s="31" t="s">
        <v>173</v>
      </c>
      <c r="G13">
        <v>4</v>
      </c>
      <c r="H13">
        <f t="shared" si="0"/>
        <v>0.12</v>
      </c>
      <c r="I13" s="407">
        <f t="shared" si="1"/>
        <v>0.21255500000000002</v>
      </c>
      <c r="J13" s="408">
        <f t="shared" si="2"/>
        <v>1.3390964999999999</v>
      </c>
      <c r="K13" s="408">
        <f t="shared" si="31"/>
        <v>0.78954824999999995</v>
      </c>
      <c r="L13" s="408">
        <f t="shared" si="32"/>
        <v>-0.54954824999999996</v>
      </c>
      <c r="M13" s="63">
        <f t="shared" si="3"/>
        <v>16.25882396449704</v>
      </c>
      <c r="N13" s="407">
        <f t="shared" si="4"/>
        <v>0.40476118847128545</v>
      </c>
      <c r="O13" s="407">
        <f t="shared" si="5"/>
        <v>8.1921178358078763E-4</v>
      </c>
      <c r="P13">
        <f t="shared" si="6"/>
        <v>0.2</v>
      </c>
      <c r="Q13" s="407">
        <f t="shared" si="34"/>
        <v>0.20081921178358081</v>
      </c>
      <c r="R13" s="9">
        <f t="shared" si="39"/>
        <v>0.38656386237294282</v>
      </c>
      <c r="S13" s="9">
        <f t="shared" si="7"/>
        <v>1.4943161969268749E-3</v>
      </c>
      <c r="T13" s="9">
        <f t="shared" si="40"/>
        <v>1.4943161969268749E-3</v>
      </c>
      <c r="U13" s="407">
        <f t="shared" si="8"/>
        <v>0.18660983340590384</v>
      </c>
      <c r="V13" s="409">
        <f t="shared" si="9"/>
        <v>6.9646459847558364E-5</v>
      </c>
      <c r="W13" s="407">
        <f t="shared" si="41"/>
        <v>6.9646459847558364E-5</v>
      </c>
      <c r="X13" s="407">
        <f t="shared" si="10"/>
        <v>0.18660983340590384</v>
      </c>
      <c r="Y13" s="407">
        <f t="shared" si="11"/>
        <v>2.0893937954267509E-4</v>
      </c>
      <c r="Z13" s="407">
        <f t="shared" si="12"/>
        <v>2.871828349740933E-2</v>
      </c>
      <c r="AA13" s="407">
        <f t="shared" si="13"/>
        <v>4.6447056213017764E-2</v>
      </c>
      <c r="AB13" s="407">
        <f t="shared" si="14"/>
        <v>3.9567473999999993E-3</v>
      </c>
      <c r="AC13" s="407">
        <f t="shared" si="15"/>
        <v>7.933434170359617E-2</v>
      </c>
      <c r="AD13" s="407">
        <f t="shared" si="16"/>
        <v>0.35917737925558213</v>
      </c>
      <c r="AE13" s="407">
        <f t="shared" si="17"/>
        <v>7.7405033861344965E-4</v>
      </c>
      <c r="AF13" s="407">
        <f t="shared" si="18"/>
        <v>5.6847473999999997E-3</v>
      </c>
      <c r="AG13" s="407">
        <f t="shared" si="19"/>
        <v>6.4597977803452994E-3</v>
      </c>
      <c r="AH13" s="407">
        <f t="shared" si="20"/>
        <v>0</v>
      </c>
      <c r="AI13">
        <f t="shared" si="21"/>
        <v>0</v>
      </c>
      <c r="AJ13" s="408">
        <f t="shared" si="22"/>
        <v>0.136795896</v>
      </c>
      <c r="AK13">
        <f t="shared" si="23"/>
        <v>4.8000000000000001E-2</v>
      </c>
      <c r="AL13" s="408">
        <f t="shared" si="24"/>
        <v>0.1215</v>
      </c>
      <c r="AM13" s="408">
        <f t="shared" si="25"/>
        <v>0.31645971316818772</v>
      </c>
      <c r="AN13" s="408">
        <f t="shared" si="42"/>
        <v>0.16949999999999998</v>
      </c>
      <c r="AO13" s="408">
        <f t="shared" si="26"/>
        <v>0.59447320992429664</v>
      </c>
      <c r="AP13">
        <f t="shared" si="27"/>
        <v>0.61199999999999999</v>
      </c>
      <c r="AQ13" s="10">
        <f t="shared" si="43"/>
        <v>0.50726364660712331</v>
      </c>
      <c r="AR13" s="63">
        <f t="shared" si="28"/>
        <v>3.9667170851798086</v>
      </c>
      <c r="AS13" s="63">
        <f t="shared" si="44"/>
        <v>0.322989889017265</v>
      </c>
      <c r="AT13" s="10"/>
      <c r="AU13">
        <f t="shared" si="45"/>
        <v>50.726364660712328</v>
      </c>
      <c r="BC13" t="s">
        <v>227</v>
      </c>
      <c r="BD13" s="28">
        <v>30</v>
      </c>
      <c r="BE13" s="28">
        <v>30</v>
      </c>
      <c r="BF13" s="28">
        <v>30</v>
      </c>
      <c r="BG13" s="29">
        <f>500000*(5-Vdd)*BF13/1000000000+((500000*BF9/1000000000*Vdd)*2.5/(2*4))</f>
        <v>4.4531250000000001E-2</v>
      </c>
      <c r="BH13">
        <f t="shared" si="29"/>
        <v>3.5625</v>
      </c>
      <c r="BI13">
        <f t="shared" si="29"/>
        <v>4.453125</v>
      </c>
      <c r="BJ13">
        <f t="shared" si="29"/>
        <v>5.34375</v>
      </c>
      <c r="BK13">
        <f t="shared" si="29"/>
        <v>6.234375</v>
      </c>
      <c r="BL13">
        <f t="shared" si="29"/>
        <v>7.125</v>
      </c>
      <c r="BM13">
        <f t="shared" si="29"/>
        <v>8.015625</v>
      </c>
      <c r="BN13">
        <f t="shared" si="29"/>
        <v>0.890625</v>
      </c>
      <c r="BO13">
        <f t="shared" si="29"/>
        <v>1.3359375</v>
      </c>
      <c r="BP13">
        <f t="shared" si="29"/>
        <v>1.78125</v>
      </c>
      <c r="BQ13">
        <f t="shared" si="29"/>
        <v>2.2265625</v>
      </c>
    </row>
    <row r="14" spans="1:69" x14ac:dyDescent="0.25">
      <c r="A14" s="32" t="s">
        <v>6</v>
      </c>
      <c r="B14" s="5">
        <f>Iout</f>
        <v>6</v>
      </c>
      <c r="C14" s="417" t="s">
        <v>2</v>
      </c>
      <c r="D14" s="31" t="s">
        <v>174</v>
      </c>
      <c r="G14">
        <v>5</v>
      </c>
      <c r="H14">
        <f t="shared" si="0"/>
        <v>0.15000000000000002</v>
      </c>
      <c r="I14" s="407">
        <f t="shared" si="1"/>
        <v>0.21256874999999997</v>
      </c>
      <c r="J14" s="408">
        <f t="shared" si="2"/>
        <v>1.3391831249999995</v>
      </c>
      <c r="K14" s="408">
        <f t="shared" si="31"/>
        <v>0.81959156249999976</v>
      </c>
      <c r="L14" s="408">
        <f t="shared" si="32"/>
        <v>-0.51959156249999972</v>
      </c>
      <c r="M14" s="63">
        <f t="shared" si="3"/>
        <v>15.372531434911233</v>
      </c>
      <c r="N14" s="407">
        <f t="shared" si="4"/>
        <v>0.41466969207277538</v>
      </c>
      <c r="O14" s="407">
        <f t="shared" si="5"/>
        <v>8.5981390594704402E-4</v>
      </c>
      <c r="P14">
        <f t="shared" si="6"/>
        <v>0.2</v>
      </c>
      <c r="Q14" s="407">
        <f t="shared" si="34"/>
        <v>0.20085981390594707</v>
      </c>
      <c r="R14" s="9">
        <f t="shared" si="39"/>
        <v>0.38658886885647697</v>
      </c>
      <c r="S14" s="9">
        <f t="shared" si="7"/>
        <v>1.4945095352373037E-3</v>
      </c>
      <c r="T14" s="9">
        <f t="shared" si="40"/>
        <v>1.4945095352373037E-3</v>
      </c>
      <c r="U14" s="407">
        <f t="shared" si="8"/>
        <v>0.19118420241182965</v>
      </c>
      <c r="V14" s="409">
        <f t="shared" si="9"/>
        <v>7.3102798503694907E-5</v>
      </c>
      <c r="W14" s="407">
        <f t="shared" si="41"/>
        <v>7.3102798503694907E-5</v>
      </c>
      <c r="X14" s="407">
        <f t="shared" si="10"/>
        <v>0.19118420241182965</v>
      </c>
      <c r="Y14" s="407">
        <f t="shared" si="11"/>
        <v>2.1930839551108472E-4</v>
      </c>
      <c r="Z14" s="407">
        <f t="shared" si="12"/>
        <v>2.9811050615284971E-2</v>
      </c>
      <c r="AA14" s="407">
        <f t="shared" si="13"/>
        <v>5.1764811390532607E-2</v>
      </c>
      <c r="AB14" s="407">
        <f t="shared" si="14"/>
        <v>3.7410592499999974E-3</v>
      </c>
      <c r="AC14" s="407">
        <f t="shared" si="15"/>
        <v>8.5539981578551069E-2</v>
      </c>
      <c r="AD14" s="407">
        <f t="shared" si="16"/>
        <v>0.36796678419645829</v>
      </c>
      <c r="AE14" s="407">
        <f t="shared" si="17"/>
        <v>8.123973256312975E-4</v>
      </c>
      <c r="AF14" s="407">
        <f t="shared" si="18"/>
        <v>5.9010592499999983E-3</v>
      </c>
      <c r="AG14" s="407">
        <f t="shared" si="19"/>
        <v>6.7145475517260654E-3</v>
      </c>
      <c r="AH14" s="407">
        <f t="shared" si="20"/>
        <v>0</v>
      </c>
      <c r="AI14">
        <f t="shared" si="21"/>
        <v>0</v>
      </c>
      <c r="AJ14" s="408">
        <f t="shared" si="22"/>
        <v>0.13679486999999999</v>
      </c>
      <c r="AK14">
        <f t="shared" si="23"/>
        <v>4.8000000000000001E-2</v>
      </c>
      <c r="AL14" s="408">
        <f t="shared" si="24"/>
        <v>0.1215</v>
      </c>
      <c r="AM14" s="408">
        <f t="shared" si="25"/>
        <v>0.31645971316818772</v>
      </c>
      <c r="AN14" s="408">
        <f t="shared" si="42"/>
        <v>0.16949999999999998</v>
      </c>
      <c r="AO14" s="408">
        <f t="shared" si="26"/>
        <v>0.60097682536996522</v>
      </c>
      <c r="AP14">
        <f t="shared" si="27"/>
        <v>0.76500000000000001</v>
      </c>
      <c r="AQ14" s="10">
        <f t="shared" si="43"/>
        <v>0.56003878381524164</v>
      </c>
      <c r="AR14" s="63">
        <f t="shared" si="28"/>
        <v>4.2769990789275534</v>
      </c>
      <c r="AS14" s="63">
        <f t="shared" si="44"/>
        <v>0.33572737758630328</v>
      </c>
      <c r="AT14" s="10"/>
      <c r="AU14">
        <f t="shared" si="45"/>
        <v>56.00387838152416</v>
      </c>
      <c r="BC14" t="s">
        <v>230</v>
      </c>
      <c r="BD14" s="28">
        <v>45</v>
      </c>
      <c r="BE14" s="28">
        <v>45</v>
      </c>
      <c r="BF14" s="28">
        <v>45</v>
      </c>
      <c r="BG14" s="29">
        <f>500000*(12-Vdd)*BF14/1000000000+((500000*BF9/1000000000*Vdd)*2.5/(2*4))</f>
        <v>0.18328125000000001</v>
      </c>
      <c r="BH14">
        <f t="shared" si="29"/>
        <v>14.662500000000001</v>
      </c>
      <c r="BI14">
        <f t="shared" si="29"/>
        <v>18.328125</v>
      </c>
      <c r="BJ14">
        <f t="shared" si="29"/>
        <v>21.993750000000002</v>
      </c>
      <c r="BK14">
        <f t="shared" si="29"/>
        <v>25.659375000000001</v>
      </c>
      <c r="BL14">
        <f t="shared" si="29"/>
        <v>29.325000000000003</v>
      </c>
      <c r="BM14">
        <f t="shared" si="29"/>
        <v>32.990625000000001</v>
      </c>
      <c r="BN14">
        <f t="shared" si="29"/>
        <v>3.6656250000000004</v>
      </c>
      <c r="BO14">
        <f t="shared" si="29"/>
        <v>5.4984375000000005</v>
      </c>
      <c r="BP14">
        <f t="shared" si="29"/>
        <v>7.3312500000000007</v>
      </c>
      <c r="BQ14">
        <f t="shared" si="29"/>
        <v>9.1640625</v>
      </c>
    </row>
    <row r="15" spans="1:69" x14ac:dyDescent="0.25">
      <c r="A15" s="33" t="s">
        <v>156</v>
      </c>
      <c r="B15" s="5">
        <f>Ta</f>
        <v>25</v>
      </c>
      <c r="C15" s="417" t="s">
        <v>719</v>
      </c>
      <c r="D15" s="31" t="s">
        <v>175</v>
      </c>
      <c r="G15">
        <v>6</v>
      </c>
      <c r="H15">
        <f t="shared" si="0"/>
        <v>0.18</v>
      </c>
      <c r="I15" s="407">
        <f t="shared" si="1"/>
        <v>0.21258249999999998</v>
      </c>
      <c r="J15" s="408">
        <f t="shared" si="2"/>
        <v>1.3392697499999995</v>
      </c>
      <c r="K15" s="408">
        <f t="shared" si="31"/>
        <v>0.84963487499999979</v>
      </c>
      <c r="L15" s="408">
        <f t="shared" si="32"/>
        <v>-0.48963487499999975</v>
      </c>
      <c r="M15" s="63">
        <f t="shared" si="3"/>
        <v>14.486238905325434</v>
      </c>
      <c r="N15" s="407">
        <f t="shared" si="4"/>
        <v>0.42646252895819786</v>
      </c>
      <c r="O15" s="407">
        <f t="shared" si="5"/>
        <v>9.0941760144376386E-4</v>
      </c>
      <c r="P15">
        <f t="shared" si="6"/>
        <v>0.2</v>
      </c>
      <c r="Q15" s="407">
        <f t="shared" si="34"/>
        <v>0.20090941760144376</v>
      </c>
      <c r="R15" s="9">
        <f t="shared" si="39"/>
        <v>0.38661387534001129</v>
      </c>
      <c r="S15" s="9">
        <f t="shared" si="7"/>
        <v>1.4947028860542182E-3</v>
      </c>
      <c r="T15" s="9">
        <f t="shared" si="40"/>
        <v>1.4947028860542182E-3</v>
      </c>
      <c r="U15" s="407">
        <f t="shared" si="8"/>
        <v>0.19662767004534756</v>
      </c>
      <c r="V15" s="409">
        <f t="shared" si="9"/>
        <v>7.7324881254924158E-5</v>
      </c>
      <c r="W15" s="407">
        <f t="shared" si="41"/>
        <v>7.7324881254924158E-5</v>
      </c>
      <c r="X15" s="407">
        <f t="shared" si="10"/>
        <v>0.19662767004534756</v>
      </c>
      <c r="Y15" s="407">
        <f t="shared" si="11"/>
        <v>2.3197464376477245E-4</v>
      </c>
      <c r="Z15" s="407">
        <f t="shared" si="12"/>
        <v>3.0903817733160623E-2</v>
      </c>
      <c r="AA15" s="407">
        <f t="shared" si="13"/>
        <v>5.7082566568047402E-2</v>
      </c>
      <c r="AB15" s="407">
        <f t="shared" si="14"/>
        <v>3.5253710999999981E-3</v>
      </c>
      <c r="AC15" s="407">
        <f t="shared" si="15"/>
        <v>9.1747986686278329E-2</v>
      </c>
      <c r="AD15" s="407">
        <f t="shared" si="16"/>
        <v>0.37842812788951047</v>
      </c>
      <c r="AE15" s="407">
        <f t="shared" si="17"/>
        <v>8.5924708786775815E-4</v>
      </c>
      <c r="AF15" s="407">
        <f t="shared" si="18"/>
        <v>6.1173710999999987E-3</v>
      </c>
      <c r="AG15" s="407">
        <f t="shared" si="19"/>
        <v>6.9778173217104273E-3</v>
      </c>
      <c r="AH15" s="407">
        <f t="shared" si="20"/>
        <v>0</v>
      </c>
      <c r="AI15">
        <f t="shared" si="21"/>
        <v>0</v>
      </c>
      <c r="AJ15" s="408">
        <f t="shared" si="22"/>
        <v>0.136793844</v>
      </c>
      <c r="AK15">
        <f t="shared" si="23"/>
        <v>4.8000000000000001E-2</v>
      </c>
      <c r="AL15" s="408">
        <f t="shared" si="24"/>
        <v>0.1215</v>
      </c>
      <c r="AM15" s="408">
        <f t="shared" si="25"/>
        <v>0.31645971316818772</v>
      </c>
      <c r="AN15" s="408">
        <f t="shared" si="42"/>
        <v>0.16949999999999998</v>
      </c>
      <c r="AO15" s="408">
        <f t="shared" si="26"/>
        <v>0.60750109337674163</v>
      </c>
      <c r="AP15">
        <f t="shared" si="27"/>
        <v>0.91799999999999993</v>
      </c>
      <c r="AQ15" s="10">
        <f t="shared" si="43"/>
        <v>0.60176948019616283</v>
      </c>
      <c r="AR15" s="63">
        <f t="shared" si="28"/>
        <v>4.5873993343139166</v>
      </c>
      <c r="AS15" s="63">
        <f t="shared" si="44"/>
        <v>0.34889086608552139</v>
      </c>
      <c r="AT15" s="10"/>
      <c r="AU15">
        <f t="shared" si="45"/>
        <v>60.176948019616283</v>
      </c>
      <c r="BC15" t="s">
        <v>228</v>
      </c>
      <c r="BD15" s="28">
        <v>20</v>
      </c>
      <c r="BE15" s="28">
        <v>20</v>
      </c>
      <c r="BF15" s="28">
        <v>20</v>
      </c>
      <c r="BG15" s="29">
        <f>1000000*(5-Vdd)*BF15/1000000000+((1000000*BF9/1000000000*Vdd)*2.5/(2*4))</f>
        <v>0.1140625</v>
      </c>
      <c r="BH15">
        <f t="shared" si="29"/>
        <v>9.125</v>
      </c>
      <c r="BI15">
        <f t="shared" si="29"/>
        <v>11.40625</v>
      </c>
      <c r="BJ15">
        <f t="shared" si="29"/>
        <v>13.6875</v>
      </c>
      <c r="BK15">
        <f t="shared" si="29"/>
        <v>15.96875</v>
      </c>
      <c r="BL15">
        <f t="shared" si="29"/>
        <v>18.25</v>
      </c>
      <c r="BM15">
        <f t="shared" si="29"/>
        <v>20.53125</v>
      </c>
      <c r="BN15">
        <f t="shared" si="29"/>
        <v>2.28125</v>
      </c>
      <c r="BO15">
        <f t="shared" si="29"/>
        <v>3.421875</v>
      </c>
      <c r="BP15">
        <f t="shared" si="29"/>
        <v>4.5625</v>
      </c>
      <c r="BQ15">
        <f t="shared" si="29"/>
        <v>5.703125</v>
      </c>
    </row>
    <row r="16" spans="1:69" x14ac:dyDescent="0.25">
      <c r="A16" s="406" t="s">
        <v>618</v>
      </c>
      <c r="B16" s="5">
        <v>7.5</v>
      </c>
      <c r="C16" s="417" t="s">
        <v>0</v>
      </c>
      <c r="D16" s="417" t="s">
        <v>623</v>
      </c>
      <c r="G16">
        <v>7</v>
      </c>
      <c r="H16">
        <f t="shared" si="0"/>
        <v>0.21000000000000002</v>
      </c>
      <c r="I16" s="407">
        <f t="shared" si="1"/>
        <v>0.21259625000000001</v>
      </c>
      <c r="J16" s="408">
        <f t="shared" si="2"/>
        <v>1.3393563749999999</v>
      </c>
      <c r="K16" s="408">
        <f t="shared" si="31"/>
        <v>0.87967818749999993</v>
      </c>
      <c r="L16" s="408">
        <f t="shared" si="32"/>
        <v>-0.45967818749999995</v>
      </c>
      <c r="M16" s="63">
        <f t="shared" si="3"/>
        <v>13.599946375739643</v>
      </c>
      <c r="N16" s="407">
        <f t="shared" si="4"/>
        <v>0.43998820999858818</v>
      </c>
      <c r="O16" s="407">
        <f t="shared" si="5"/>
        <v>9.6802308437914303E-4</v>
      </c>
      <c r="P16">
        <f t="shared" si="6"/>
        <v>0.2</v>
      </c>
      <c r="Q16" s="407">
        <f t="shared" si="34"/>
        <v>0.20096802308437917</v>
      </c>
      <c r="R16" s="9">
        <f t="shared" si="39"/>
        <v>0.38663888182354567</v>
      </c>
      <c r="S16" s="9">
        <f t="shared" si="7"/>
        <v>1.4948962493776172E-3</v>
      </c>
      <c r="T16" s="9">
        <f t="shared" si="40"/>
        <v>1.4948962493776172E-3</v>
      </c>
      <c r="U16" s="407">
        <f t="shared" si="8"/>
        <v>0.20287047173177922</v>
      </c>
      <c r="V16" s="409">
        <f t="shared" si="9"/>
        <v>8.2312856601349268E-5</v>
      </c>
      <c r="W16" s="407">
        <f t="shared" si="41"/>
        <v>8.2312856601349268E-5</v>
      </c>
      <c r="X16" s="407">
        <f t="shared" si="10"/>
        <v>0.20287047173177922</v>
      </c>
      <c r="Y16" s="407">
        <f t="shared" si="11"/>
        <v>2.4693856980404779E-4</v>
      </c>
      <c r="Z16" s="407">
        <f t="shared" si="12"/>
        <v>3.1996584851036278E-2</v>
      </c>
      <c r="AA16" s="407">
        <f t="shared" si="13"/>
        <v>6.2400321745562141E-2</v>
      </c>
      <c r="AB16" s="407">
        <f t="shared" si="14"/>
        <v>3.3096829499999997E-3</v>
      </c>
      <c r="AC16" s="407">
        <f t="shared" si="15"/>
        <v>9.7958366056165314E-2</v>
      </c>
      <c r="AD16" s="407">
        <f t="shared" si="16"/>
        <v>0.39042694148468682</v>
      </c>
      <c r="AE16" s="407">
        <f t="shared" si="17"/>
        <v>9.1459917982252242E-4</v>
      </c>
      <c r="AF16" s="407">
        <f t="shared" si="18"/>
        <v>6.333682949999999E-3</v>
      </c>
      <c r="AG16" s="407">
        <f t="shared" si="19"/>
        <v>7.2496082269702059E-3</v>
      </c>
      <c r="AH16" s="407">
        <f t="shared" si="20"/>
        <v>0</v>
      </c>
      <c r="AI16">
        <f t="shared" si="21"/>
        <v>0</v>
      </c>
      <c r="AJ16" s="408">
        <f t="shared" si="22"/>
        <v>0.13679281800000001</v>
      </c>
      <c r="AK16">
        <f t="shared" si="23"/>
        <v>4.8000000000000001E-2</v>
      </c>
      <c r="AL16" s="408">
        <f t="shared" si="24"/>
        <v>0.1215</v>
      </c>
      <c r="AM16" s="408">
        <f t="shared" si="25"/>
        <v>0.31645971316818772</v>
      </c>
      <c r="AN16" s="408">
        <f t="shared" si="42"/>
        <v>0.16949999999999998</v>
      </c>
      <c r="AO16" s="408">
        <f t="shared" si="26"/>
        <v>0.61404602447349366</v>
      </c>
      <c r="AP16">
        <f t="shared" si="27"/>
        <v>1.071</v>
      </c>
      <c r="AQ16" s="10">
        <f t="shared" si="43"/>
        <v>0.63559094792953363</v>
      </c>
      <c r="AR16" s="63">
        <f t="shared" si="28"/>
        <v>4.8979183028082653</v>
      </c>
      <c r="AS16" s="63">
        <f t="shared" si="44"/>
        <v>0.36248041134851028</v>
      </c>
      <c r="AT16" s="10"/>
      <c r="AU16">
        <f t="shared" si="45"/>
        <v>63.55909479295336</v>
      </c>
      <c r="BC16" t="s">
        <v>229</v>
      </c>
      <c r="BD16" s="28">
        <v>25</v>
      </c>
      <c r="BE16" s="28">
        <v>25</v>
      </c>
      <c r="BF16" s="28">
        <v>25</v>
      </c>
      <c r="BG16" s="29">
        <f>1000000*(12-Vdd)*BF16/1000000000+((1000000*BF9/1000000000*Vdd)*2.5/(2*4))</f>
        <v>0.27656249999999999</v>
      </c>
      <c r="BH16">
        <f t="shared" si="29"/>
        <v>22.125</v>
      </c>
      <c r="BI16">
        <f t="shared" si="29"/>
        <v>27.65625</v>
      </c>
      <c r="BJ16">
        <f t="shared" si="29"/>
        <v>33.1875</v>
      </c>
      <c r="BK16">
        <f t="shared" si="29"/>
        <v>38.71875</v>
      </c>
      <c r="BL16">
        <f t="shared" si="29"/>
        <v>44.25</v>
      </c>
      <c r="BM16">
        <f t="shared" si="29"/>
        <v>49.78125</v>
      </c>
      <c r="BN16">
        <f t="shared" si="29"/>
        <v>5.53125</v>
      </c>
      <c r="BO16">
        <f t="shared" si="29"/>
        <v>8.296875</v>
      </c>
      <c r="BP16">
        <f t="shared" si="29"/>
        <v>11.0625</v>
      </c>
      <c r="BQ16">
        <f t="shared" si="29"/>
        <v>13.828125</v>
      </c>
    </row>
    <row r="17" spans="1:69" x14ac:dyDescent="0.25">
      <c r="A17" s="34" t="s">
        <v>128</v>
      </c>
      <c r="B17" s="26" t="s">
        <v>201</v>
      </c>
      <c r="C17" s="34" t="s">
        <v>148</v>
      </c>
      <c r="D17" s="27" t="s">
        <v>188</v>
      </c>
      <c r="G17">
        <v>8</v>
      </c>
      <c r="H17">
        <f t="shared" si="0"/>
        <v>0.24</v>
      </c>
      <c r="I17" s="407">
        <f t="shared" si="1"/>
        <v>0.21260999999999997</v>
      </c>
      <c r="J17" s="408">
        <f t="shared" si="2"/>
        <v>1.3394429999999993</v>
      </c>
      <c r="K17" s="408">
        <f t="shared" si="31"/>
        <v>0.90972149999999963</v>
      </c>
      <c r="L17" s="408">
        <f t="shared" si="32"/>
        <v>-0.42972149999999965</v>
      </c>
      <c r="M17" s="63">
        <f t="shared" si="3"/>
        <v>12.713653846153834</v>
      </c>
      <c r="N17" s="407">
        <f t="shared" si="4"/>
        <v>0.45509225715315116</v>
      </c>
      <c r="O17" s="407">
        <f t="shared" si="5"/>
        <v>1.0356306079560566E-3</v>
      </c>
      <c r="P17">
        <f t="shared" si="6"/>
        <v>0.2</v>
      </c>
      <c r="Q17" s="407">
        <f t="shared" si="34"/>
        <v>0.20103563060795607</v>
      </c>
      <c r="R17" s="9">
        <f t="shared" si="39"/>
        <v>0.38666388830707976</v>
      </c>
      <c r="S17" s="9">
        <f t="shared" si="7"/>
        <v>1.4950896252074986E-3</v>
      </c>
      <c r="T17" s="9">
        <f t="shared" si="40"/>
        <v>1.4950896252074986E-3</v>
      </c>
      <c r="U17" s="407">
        <f t="shared" si="8"/>
        <v>0.20984145567913082</v>
      </c>
      <c r="V17" s="409">
        <f t="shared" si="9"/>
        <v>8.806687304307324E-5</v>
      </c>
      <c r="W17" s="407">
        <f t="shared" si="41"/>
        <v>8.806687304307324E-5</v>
      </c>
      <c r="X17" s="407">
        <f t="shared" si="10"/>
        <v>0.20984145567913082</v>
      </c>
      <c r="Y17" s="407">
        <f t="shared" si="11"/>
        <v>2.6420061912921976E-4</v>
      </c>
      <c r="Z17" s="407">
        <f t="shared" si="12"/>
        <v>3.3089351968911905E-2</v>
      </c>
      <c r="AA17" s="407">
        <f t="shared" si="13"/>
        <v>6.7718076923076992E-2</v>
      </c>
      <c r="AB17" s="407">
        <f t="shared" si="14"/>
        <v>3.0939947999999973E-3</v>
      </c>
      <c r="AC17" s="407">
        <f t="shared" si="15"/>
        <v>0.10417112872645912</v>
      </c>
      <c r="AD17" s="407">
        <f t="shared" si="16"/>
        <v>0.40382610861509838</v>
      </c>
      <c r="AE17" s="407">
        <f t="shared" si="17"/>
        <v>9.7845315599527942E-4</v>
      </c>
      <c r="AF17" s="407">
        <f t="shared" si="18"/>
        <v>6.5499947999999968E-3</v>
      </c>
      <c r="AG17" s="407">
        <f t="shared" si="19"/>
        <v>7.529921491084746E-3</v>
      </c>
      <c r="AH17" s="407">
        <f t="shared" si="20"/>
        <v>0</v>
      </c>
      <c r="AI17">
        <f t="shared" si="21"/>
        <v>0</v>
      </c>
      <c r="AJ17" s="408">
        <f t="shared" si="22"/>
        <v>0.13679179200000002</v>
      </c>
      <c r="AK17">
        <f t="shared" si="23"/>
        <v>4.8000000000000001E-2</v>
      </c>
      <c r="AL17" s="408">
        <f t="shared" si="24"/>
        <v>0.1215</v>
      </c>
      <c r="AM17" s="408">
        <f t="shared" si="25"/>
        <v>0.31645971316818772</v>
      </c>
      <c r="AN17" s="408">
        <f t="shared" si="42"/>
        <v>0.16949999999999998</v>
      </c>
      <c r="AO17" s="408">
        <f t="shared" si="26"/>
        <v>0.62061162932375047</v>
      </c>
      <c r="AP17">
        <f t="shared" si="27"/>
        <v>1.224</v>
      </c>
      <c r="AQ17" s="10">
        <f t="shared" si="43"/>
        <v>0.66355431167303669</v>
      </c>
      <c r="AR17" s="63">
        <f t="shared" si="28"/>
        <v>5.2085564363229562</v>
      </c>
      <c r="AS17" s="63">
        <f t="shared" si="44"/>
        <v>0.37649607455423728</v>
      </c>
      <c r="AT17" s="10"/>
      <c r="AU17">
        <f t="shared" si="45"/>
        <v>66.355431167303664</v>
      </c>
      <c r="BC17" t="s">
        <v>232</v>
      </c>
      <c r="BD17" s="28">
        <v>50</v>
      </c>
      <c r="BE17" s="28">
        <v>50</v>
      </c>
      <c r="BF17" s="28">
        <v>50</v>
      </c>
      <c r="BG17" s="29">
        <f>500000*(18-Vdd)*BF17/1000000000+((500000*BF15/1000000000*Vdd)*2.5/(2*4))</f>
        <v>0.28593750000000001</v>
      </c>
      <c r="BH17">
        <f t="shared" si="29"/>
        <v>22.875</v>
      </c>
      <c r="BI17">
        <f t="shared" si="29"/>
        <v>28.59375</v>
      </c>
      <c r="BJ17">
        <f t="shared" si="29"/>
        <v>34.3125</v>
      </c>
      <c r="BK17">
        <f t="shared" si="29"/>
        <v>40.03125</v>
      </c>
      <c r="BL17">
        <f t="shared" si="29"/>
        <v>45.75</v>
      </c>
      <c r="BM17">
        <f t="shared" si="29"/>
        <v>51.46875</v>
      </c>
      <c r="BN17">
        <f t="shared" si="29"/>
        <v>5.71875</v>
      </c>
      <c r="BO17">
        <f t="shared" si="29"/>
        <v>8.578125</v>
      </c>
      <c r="BP17">
        <f t="shared" si="29"/>
        <v>11.4375</v>
      </c>
      <c r="BQ17">
        <f t="shared" si="29"/>
        <v>14.296875</v>
      </c>
    </row>
    <row r="18" spans="1:69" x14ac:dyDescent="0.25">
      <c r="A18" s="45" t="s">
        <v>126</v>
      </c>
      <c r="B18" s="48">
        <f>Lout2*1000000</f>
        <v>10</v>
      </c>
      <c r="C18" s="419" t="s">
        <v>11</v>
      </c>
      <c r="D18" s="31" t="s">
        <v>190</v>
      </c>
      <c r="G18">
        <v>9</v>
      </c>
      <c r="H18">
        <f t="shared" si="0"/>
        <v>0.27</v>
      </c>
      <c r="I18" s="407">
        <f t="shared" si="1"/>
        <v>0.21262375</v>
      </c>
      <c r="J18" s="408">
        <f t="shared" si="2"/>
        <v>1.3395296249999997</v>
      </c>
      <c r="K18" s="408">
        <f t="shared" si="31"/>
        <v>0.93976481249999988</v>
      </c>
      <c r="L18" s="408">
        <f t="shared" si="32"/>
        <v>-0.39976481249999984</v>
      </c>
      <c r="M18" s="63">
        <f t="shared" si="3"/>
        <v>11.827361316568041</v>
      </c>
      <c r="N18" s="407">
        <f t="shared" si="4"/>
        <v>0.47162305006687988</v>
      </c>
      <c r="O18" s="407">
        <f t="shared" si="5"/>
        <v>1.1122404642748E-3</v>
      </c>
      <c r="P18">
        <f t="shared" si="6"/>
        <v>0.2</v>
      </c>
      <c r="Q18" s="407">
        <f t="shared" si="34"/>
        <v>0.20111224046427481</v>
      </c>
      <c r="R18" s="9">
        <f t="shared" si="39"/>
        <v>0.38668889479061419</v>
      </c>
      <c r="S18" s="9">
        <f t="shared" si="7"/>
        <v>1.495283013543867E-3</v>
      </c>
      <c r="T18" s="9">
        <f t="shared" si="40"/>
        <v>1.495283013543867E-3</v>
      </c>
      <c r="U18" s="407">
        <f t="shared" si="8"/>
        <v>0.21747077858898603</v>
      </c>
      <c r="V18" s="409">
        <f t="shared" si="9"/>
        <v>9.4587079080199577E-5</v>
      </c>
      <c r="W18" s="407">
        <f t="shared" si="41"/>
        <v>9.4587079080199577E-5</v>
      </c>
      <c r="X18" s="407">
        <f t="shared" si="10"/>
        <v>0.21747077858898603</v>
      </c>
      <c r="Y18" s="407">
        <f t="shared" si="11"/>
        <v>2.8376123724059874E-4</v>
      </c>
      <c r="Z18" s="407">
        <f t="shared" si="12"/>
        <v>3.4182119086787567E-2</v>
      </c>
      <c r="AA18" s="407">
        <f t="shared" si="13"/>
        <v>7.3035832100591766E-2</v>
      </c>
      <c r="AB18" s="407">
        <f t="shared" si="14"/>
        <v>2.8783066499999989E-3</v>
      </c>
      <c r="AC18" s="407">
        <f t="shared" si="15"/>
        <v>0.11038628374430987</v>
      </c>
      <c r="AD18" s="407">
        <f t="shared" si="16"/>
        <v>0.41849105344593318</v>
      </c>
      <c r="AE18" s="407">
        <f t="shared" si="17"/>
        <v>1.0508085708857216E-3</v>
      </c>
      <c r="AF18" s="407">
        <f t="shared" si="18"/>
        <v>6.7663066499999988E-3</v>
      </c>
      <c r="AG18" s="407">
        <f t="shared" si="19"/>
        <v>7.8187584245589629E-3</v>
      </c>
      <c r="AH18" s="407">
        <f t="shared" si="20"/>
        <v>0</v>
      </c>
      <c r="AI18">
        <f t="shared" si="21"/>
        <v>0</v>
      </c>
      <c r="AJ18" s="408">
        <f t="shared" si="22"/>
        <v>0.13679076600000001</v>
      </c>
      <c r="AK18">
        <f t="shared" si="23"/>
        <v>4.8000000000000001E-2</v>
      </c>
      <c r="AL18" s="408">
        <f t="shared" si="24"/>
        <v>0.1215</v>
      </c>
      <c r="AM18" s="408">
        <f t="shared" si="25"/>
        <v>0.31645971316818772</v>
      </c>
      <c r="AN18" s="408">
        <f t="shared" si="42"/>
        <v>0.16949999999999998</v>
      </c>
      <c r="AO18" s="408">
        <f t="shared" si="26"/>
        <v>0.62719791872576769</v>
      </c>
      <c r="AP18">
        <f t="shared" si="27"/>
        <v>1.377</v>
      </c>
      <c r="AQ18" s="10">
        <f t="shared" si="43"/>
        <v>0.68705789340180101</v>
      </c>
      <c r="AR18" s="63">
        <f t="shared" si="28"/>
        <v>5.5193141872154934</v>
      </c>
      <c r="AS18" s="63">
        <f t="shared" si="44"/>
        <v>0.39093792122794813</v>
      </c>
      <c r="AT18" s="10"/>
      <c r="AU18">
        <f t="shared" si="45"/>
        <v>68.705789340180104</v>
      </c>
      <c r="BC18" t="s">
        <v>233</v>
      </c>
      <c r="BE18" s="28"/>
      <c r="BF18" s="29"/>
    </row>
    <row r="19" spans="1:69" x14ac:dyDescent="0.25">
      <c r="A19" s="45" t="s">
        <v>12</v>
      </c>
      <c r="B19" s="49">
        <f>Rdcr*1000</f>
        <v>5</v>
      </c>
      <c r="C19" s="417" t="s">
        <v>621</v>
      </c>
      <c r="D19" s="31" t="s">
        <v>191</v>
      </c>
      <c r="G19">
        <v>10</v>
      </c>
      <c r="H19">
        <f t="shared" si="0"/>
        <v>0.30000000000000004</v>
      </c>
      <c r="I19" s="407">
        <f t="shared" si="1"/>
        <v>0.21263750000000001</v>
      </c>
      <c r="J19" s="408">
        <f t="shared" si="2"/>
        <v>1.3396162499999997</v>
      </c>
      <c r="K19" s="408">
        <f t="shared" si="31"/>
        <v>0.96980812499999991</v>
      </c>
      <c r="L19" s="408">
        <f t="shared" si="32"/>
        <v>-0.36980812499999982</v>
      </c>
      <c r="M19" s="63">
        <f t="shared" si="3"/>
        <v>10.941068786982243</v>
      </c>
      <c r="N19" s="407">
        <f t="shared" si="4"/>
        <v>0.48943604427817922</v>
      </c>
      <c r="O19" s="407">
        <f t="shared" si="5"/>
        <v>1.1978529843362344E-3</v>
      </c>
      <c r="P19">
        <f t="shared" si="6"/>
        <v>0.2</v>
      </c>
      <c r="Q19" s="407">
        <f t="shared" si="34"/>
        <v>0.20119785298433623</v>
      </c>
      <c r="R19" s="9">
        <f t="shared" si="39"/>
        <v>0.38671390127414845</v>
      </c>
      <c r="S19" s="9">
        <f t="shared" si="7"/>
        <v>1.4954764143867184E-3</v>
      </c>
      <c r="T19" s="9">
        <f t="shared" si="40"/>
        <v>1.4954764143867184E-3</v>
      </c>
      <c r="U19" s="407">
        <f t="shared" si="8"/>
        <v>0.22569185099691921</v>
      </c>
      <c r="V19" s="409">
        <f t="shared" si="9"/>
        <v>1.0187362321283117E-4</v>
      </c>
      <c r="W19" s="407">
        <f t="shared" si="41"/>
        <v>1.0187362321283117E-4</v>
      </c>
      <c r="X19" s="407">
        <f t="shared" si="10"/>
        <v>0.22569185099691921</v>
      </c>
      <c r="Y19" s="407">
        <f t="shared" si="11"/>
        <v>3.0562086963849348E-4</v>
      </c>
      <c r="Z19" s="407">
        <f t="shared" si="12"/>
        <v>3.5274886204663215E-2</v>
      </c>
      <c r="AA19" s="407">
        <f t="shared" si="13"/>
        <v>7.8353587278106554E-2</v>
      </c>
      <c r="AB19" s="407">
        <f t="shared" si="14"/>
        <v>2.6626184999999987E-3</v>
      </c>
      <c r="AC19" s="407">
        <f t="shared" si="15"/>
        <v>0.1166038401658152</v>
      </c>
      <c r="AD19" s="407">
        <f t="shared" si="16"/>
        <v>0.43429348352497321</v>
      </c>
      <c r="AE19" s="407">
        <f t="shared" si="17"/>
        <v>1.1316649789935372E-3</v>
      </c>
      <c r="AF19" s="407">
        <f t="shared" si="18"/>
        <v>6.9826184999999992E-3</v>
      </c>
      <c r="AG19" s="407">
        <f t="shared" si="19"/>
        <v>8.1161204248435537E-3</v>
      </c>
      <c r="AH19" s="407">
        <f t="shared" si="20"/>
        <v>0</v>
      </c>
      <c r="AI19">
        <f t="shared" si="21"/>
        <v>0</v>
      </c>
      <c r="AJ19" s="408">
        <f t="shared" si="22"/>
        <v>0.13678974000000002</v>
      </c>
      <c r="AK19">
        <f t="shared" si="23"/>
        <v>4.8000000000000001E-2</v>
      </c>
      <c r="AL19" s="408">
        <f t="shared" si="24"/>
        <v>0.1215</v>
      </c>
      <c r="AM19" s="408">
        <f t="shared" si="25"/>
        <v>0.31645971316818772</v>
      </c>
      <c r="AN19" s="408">
        <f t="shared" si="42"/>
        <v>0.16949999999999998</v>
      </c>
      <c r="AO19" s="408">
        <f t="shared" si="26"/>
        <v>0.63380490361259456</v>
      </c>
      <c r="AP19">
        <f t="shared" si="27"/>
        <v>1.53</v>
      </c>
      <c r="AQ19" s="10">
        <f t="shared" si="43"/>
        <v>0.7070877773895321</v>
      </c>
      <c r="AR19" s="63">
        <f t="shared" si="28"/>
        <v>5.8301920082907595</v>
      </c>
      <c r="AS19" s="63">
        <f t="shared" si="44"/>
        <v>0.40580602124217768</v>
      </c>
      <c r="AT19" s="10"/>
      <c r="AU19">
        <f t="shared" si="45"/>
        <v>70.708777738953216</v>
      </c>
      <c r="BC19" t="s">
        <v>234</v>
      </c>
      <c r="BE19" s="28"/>
      <c r="BF19" s="29"/>
    </row>
    <row r="20" spans="1:69" x14ac:dyDescent="0.25">
      <c r="A20" s="45" t="s">
        <v>155</v>
      </c>
      <c r="B20" s="49">
        <f>Ltc*1000000</f>
        <v>4000</v>
      </c>
      <c r="C20" s="419" t="s">
        <v>154</v>
      </c>
      <c r="D20" s="31" t="s">
        <v>176</v>
      </c>
      <c r="G20">
        <v>11</v>
      </c>
      <c r="H20">
        <f t="shared" si="0"/>
        <v>0.33</v>
      </c>
      <c r="I20" s="407">
        <f t="shared" si="1"/>
        <v>0.21265124999999996</v>
      </c>
      <c r="J20" s="408">
        <f t="shared" si="2"/>
        <v>1.3397028749999993</v>
      </c>
      <c r="K20" s="408">
        <f t="shared" si="31"/>
        <v>0.99985143749999961</v>
      </c>
      <c r="L20" s="408">
        <f t="shared" si="32"/>
        <v>-0.33985143749999963</v>
      </c>
      <c r="M20" s="63">
        <f t="shared" si="3"/>
        <v>10.054776257396439</v>
      </c>
      <c r="N20" s="407">
        <f t="shared" si="4"/>
        <v>0.50839648186588127</v>
      </c>
      <c r="O20" s="407">
        <f t="shared" si="5"/>
        <v>1.2924685380453702E-3</v>
      </c>
      <c r="P20">
        <f t="shared" si="6"/>
        <v>0.2</v>
      </c>
      <c r="Q20" s="407">
        <f t="shared" si="34"/>
        <v>0.20129246853804539</v>
      </c>
      <c r="R20" s="9">
        <f t="shared" si="39"/>
        <v>0.3867389077576826</v>
      </c>
      <c r="S20" s="9">
        <f t="shared" si="7"/>
        <v>1.4956698277360533E-3</v>
      </c>
      <c r="T20" s="9">
        <f t="shared" si="40"/>
        <v>1.4956698277360533E-3</v>
      </c>
      <c r="U20" s="407">
        <f t="shared" si="8"/>
        <v>0.23444258779184218</v>
      </c>
      <c r="V20" s="409">
        <f t="shared" si="9"/>
        <v>1.0992665394107126E-4</v>
      </c>
      <c r="W20" s="407">
        <f t="shared" si="41"/>
        <v>1.0992665394107126E-4</v>
      </c>
      <c r="X20" s="407">
        <f t="shared" si="10"/>
        <v>0.23444258779184218</v>
      </c>
      <c r="Y20" s="407">
        <f t="shared" si="11"/>
        <v>3.2977996182321378E-4</v>
      </c>
      <c r="Z20" s="407">
        <f t="shared" si="12"/>
        <v>3.6367653322538857E-2</v>
      </c>
      <c r="AA20" s="407">
        <f t="shared" si="13"/>
        <v>8.367134245562137E-2</v>
      </c>
      <c r="AB20" s="407">
        <f t="shared" si="14"/>
        <v>2.4469303499999977E-3</v>
      </c>
      <c r="AC20" s="407">
        <f t="shared" si="15"/>
        <v>0.12282380705606384</v>
      </c>
      <c r="AD20" s="407">
        <f t="shared" si="16"/>
        <v>0.45111379473816771</v>
      </c>
      <c r="AE20" s="407">
        <f t="shared" si="17"/>
        <v>1.2210219348184183E-3</v>
      </c>
      <c r="AF20" s="407">
        <f t="shared" si="18"/>
        <v>7.198930349999997E-3</v>
      </c>
      <c r="AG20" s="407">
        <f t="shared" si="19"/>
        <v>8.4220089763574896E-3</v>
      </c>
      <c r="AH20" s="407">
        <f t="shared" si="20"/>
        <v>0</v>
      </c>
      <c r="AI20">
        <f t="shared" si="21"/>
        <v>0</v>
      </c>
      <c r="AJ20" s="408">
        <f t="shared" si="22"/>
        <v>0.13678871400000001</v>
      </c>
      <c r="AK20">
        <f t="shared" si="23"/>
        <v>4.8000000000000001E-2</v>
      </c>
      <c r="AL20" s="408">
        <f t="shared" si="24"/>
        <v>0.1215</v>
      </c>
      <c r="AM20" s="408">
        <f t="shared" si="25"/>
        <v>0.31645971316818772</v>
      </c>
      <c r="AN20" s="408">
        <f t="shared" si="42"/>
        <v>0.16949999999999998</v>
      </c>
      <c r="AO20" s="408">
        <f t="shared" si="26"/>
        <v>0.64043259505214378</v>
      </c>
      <c r="AP20">
        <f t="shared" si="27"/>
        <v>1.6830000000000001</v>
      </c>
      <c r="AQ20" s="10">
        <f t="shared" si="43"/>
        <v>0.72435929649262287</v>
      </c>
      <c r="AR20" s="63">
        <f t="shared" si="28"/>
        <v>6.1411903528031919</v>
      </c>
      <c r="AS20" s="63">
        <f t="shared" si="44"/>
        <v>0.42110044881787445</v>
      </c>
      <c r="AT20" s="10"/>
      <c r="AU20">
        <f t="shared" si="45"/>
        <v>72.435929649262292</v>
      </c>
      <c r="BE20" s="28"/>
      <c r="BF20" s="29"/>
    </row>
    <row r="21" spans="1:69" x14ac:dyDescent="0.25">
      <c r="A21" s="35" t="s">
        <v>250</v>
      </c>
      <c r="B21" s="49">
        <f>ThetaCa</f>
        <v>20</v>
      </c>
      <c r="C21" s="419" t="s">
        <v>720</v>
      </c>
      <c r="D21" s="36" t="s">
        <v>251</v>
      </c>
      <c r="G21">
        <v>12</v>
      </c>
      <c r="H21">
        <f t="shared" si="0"/>
        <v>0.36</v>
      </c>
      <c r="I21" s="407">
        <f t="shared" si="1"/>
        <v>0.21266499999999999</v>
      </c>
      <c r="J21" s="408">
        <f t="shared" si="2"/>
        <v>1.3397894999999997</v>
      </c>
      <c r="K21" s="408">
        <f t="shared" si="31"/>
        <v>1.02989475</v>
      </c>
      <c r="L21" s="408">
        <f t="shared" si="32"/>
        <v>-0.30989474999999989</v>
      </c>
      <c r="M21" s="63">
        <f t="shared" si="3"/>
        <v>9.1684837278106475</v>
      </c>
      <c r="N21" s="407">
        <f t="shared" si="4"/>
        <v>0.5283808525667707</v>
      </c>
      <c r="O21" s="407">
        <f t="shared" si="5"/>
        <v>1.3960875342153604E-3</v>
      </c>
      <c r="P21">
        <f t="shared" si="6"/>
        <v>0.2</v>
      </c>
      <c r="Q21" s="407">
        <f t="shared" si="34"/>
        <v>0.20139608753421537</v>
      </c>
      <c r="R21" s="9">
        <f t="shared" si="39"/>
        <v>0.38676391424121698</v>
      </c>
      <c r="S21" s="9">
        <f t="shared" si="7"/>
        <v>1.4958632535918745E-3</v>
      </c>
      <c r="T21" s="9">
        <f t="shared" si="40"/>
        <v>1.4958632535918745E-3</v>
      </c>
      <c r="U21" s="407">
        <f t="shared" si="8"/>
        <v>0.24366608274955218</v>
      </c>
      <c r="V21" s="409">
        <f t="shared" si="9"/>
        <v>1.1874631976502322E-4</v>
      </c>
      <c r="W21" s="407">
        <f t="shared" si="41"/>
        <v>1.1874631976502322E-4</v>
      </c>
      <c r="X21" s="407">
        <f t="shared" si="10"/>
        <v>0.24366608274955218</v>
      </c>
      <c r="Y21" s="407">
        <f t="shared" si="11"/>
        <v>3.5623895929506964E-4</v>
      </c>
      <c r="Z21" s="407">
        <f t="shared" si="12"/>
        <v>3.7460420440414512E-2</v>
      </c>
      <c r="AA21" s="407">
        <f t="shared" si="13"/>
        <v>8.8989097633136116E-2</v>
      </c>
      <c r="AB21" s="407">
        <f t="shared" si="14"/>
        <v>2.2312421999999988E-3</v>
      </c>
      <c r="AC21" s="407">
        <f t="shared" si="15"/>
        <v>0.12904619348917962</v>
      </c>
      <c r="AD21" s="407">
        <f t="shared" si="16"/>
        <v>0.46884236740793367</v>
      </c>
      <c r="AE21" s="407">
        <f t="shared" si="17"/>
        <v>1.3188789928600553E-3</v>
      </c>
      <c r="AF21" s="407">
        <f t="shared" si="18"/>
        <v>7.4152421999999999E-3</v>
      </c>
      <c r="AG21" s="407">
        <f t="shared" si="19"/>
        <v>8.7364256505126844E-3</v>
      </c>
      <c r="AH21" s="407">
        <f t="shared" si="20"/>
        <v>0</v>
      </c>
      <c r="AI21">
        <f t="shared" si="21"/>
        <v>0</v>
      </c>
      <c r="AJ21" s="408">
        <f t="shared" si="22"/>
        <v>0.13678768800000002</v>
      </c>
      <c r="AK21">
        <f t="shared" si="23"/>
        <v>4.8000000000000001E-2</v>
      </c>
      <c r="AL21" s="408">
        <f t="shared" si="24"/>
        <v>0.1215</v>
      </c>
      <c r="AM21" s="408">
        <f t="shared" si="25"/>
        <v>0.31645971316818772</v>
      </c>
      <c r="AN21" s="408">
        <f t="shared" si="42"/>
        <v>0.16949999999999998</v>
      </c>
      <c r="AO21" s="408">
        <f t="shared" si="26"/>
        <v>0.64708100424726456</v>
      </c>
      <c r="AP21">
        <f t="shared" si="27"/>
        <v>1.8359999999999999</v>
      </c>
      <c r="AQ21" s="10">
        <f t="shared" si="43"/>
        <v>0.7394039891810037</v>
      </c>
      <c r="AR21" s="63">
        <f t="shared" si="28"/>
        <v>6.4523096744589807</v>
      </c>
      <c r="AS21" s="63">
        <f t="shared" si="44"/>
        <v>0.43682128252563424</v>
      </c>
      <c r="AT21" s="10"/>
      <c r="AU21">
        <f t="shared" si="45"/>
        <v>73.940398918100371</v>
      </c>
      <c r="BE21" s="28"/>
      <c r="BF21" s="29"/>
    </row>
    <row r="22" spans="1:69" x14ac:dyDescent="0.25">
      <c r="A22" s="46" t="s">
        <v>127</v>
      </c>
      <c r="B22" s="49">
        <f>Cin*1000000</f>
        <v>110</v>
      </c>
      <c r="C22" s="420" t="s">
        <v>30</v>
      </c>
      <c r="D22" s="31" t="s">
        <v>177</v>
      </c>
      <c r="G22">
        <v>13</v>
      </c>
      <c r="H22">
        <f t="shared" si="0"/>
        <v>0.39</v>
      </c>
      <c r="I22" s="407">
        <f t="shared" si="1"/>
        <v>0.21267875</v>
      </c>
      <c r="J22" s="408">
        <f t="shared" si="2"/>
        <v>1.3398761249999998</v>
      </c>
      <c r="K22" s="408">
        <f t="shared" si="31"/>
        <v>1.0599380624999999</v>
      </c>
      <c r="L22" s="408">
        <f t="shared" si="32"/>
        <v>-0.27993806249999986</v>
      </c>
      <c r="M22" s="63">
        <f t="shared" si="3"/>
        <v>8.2821911982248473</v>
      </c>
      <c r="N22" s="407">
        <f t="shared" si="4"/>
        <v>0.54927740641265954</v>
      </c>
      <c r="O22" s="407">
        <f t="shared" si="5"/>
        <v>1.5087104205719142E-3</v>
      </c>
      <c r="P22">
        <f t="shared" si="6"/>
        <v>0.2</v>
      </c>
      <c r="Q22" s="407">
        <f t="shared" si="34"/>
        <v>0.20150871042057192</v>
      </c>
      <c r="R22" s="9">
        <f t="shared" si="39"/>
        <v>0.3867889207247513</v>
      </c>
      <c r="S22" s="9">
        <f t="shared" si="7"/>
        <v>1.4960566919541792E-3</v>
      </c>
      <c r="T22" s="9">
        <f t="shared" si="40"/>
        <v>1.4960566919541792E-3</v>
      </c>
      <c r="U22" s="407">
        <f t="shared" si="8"/>
        <v>0.25331084578516372</v>
      </c>
      <c r="V22" s="409">
        <f t="shared" si="9"/>
        <v>1.2833276918479002E-4</v>
      </c>
      <c r="W22" s="407">
        <f t="shared" si="41"/>
        <v>1.2833276918479002E-4</v>
      </c>
      <c r="X22" s="407">
        <f t="shared" si="10"/>
        <v>0.25331084578516372</v>
      </c>
      <c r="Y22" s="407">
        <f t="shared" si="11"/>
        <v>3.8499830755436999E-4</v>
      </c>
      <c r="Z22" s="407">
        <f t="shared" si="12"/>
        <v>3.855318755829016E-2</v>
      </c>
      <c r="AA22" s="407">
        <f t="shared" si="13"/>
        <v>9.4306852810650932E-2</v>
      </c>
      <c r="AB22" s="407">
        <f t="shared" si="14"/>
        <v>2.0155540499999991E-3</v>
      </c>
      <c r="AC22" s="407">
        <f t="shared" si="15"/>
        <v>0.13527100854836591</v>
      </c>
      <c r="AD22" s="407">
        <f t="shared" si="16"/>
        <v>0.48738002072615055</v>
      </c>
      <c r="AE22" s="407">
        <f t="shared" si="17"/>
        <v>1.4252357076181377E-3</v>
      </c>
      <c r="AF22" s="407">
        <f t="shared" si="18"/>
        <v>7.6315540499999994E-3</v>
      </c>
      <c r="AG22" s="407">
        <f t="shared" si="19"/>
        <v>9.0593721057408774E-3</v>
      </c>
      <c r="AH22" s="407">
        <f t="shared" si="20"/>
        <v>0</v>
      </c>
      <c r="AI22">
        <f t="shared" si="21"/>
        <v>0</v>
      </c>
      <c r="AJ22" s="408">
        <f t="shared" si="22"/>
        <v>0.136786662</v>
      </c>
      <c r="AK22">
        <f t="shared" si="23"/>
        <v>4.8000000000000001E-2</v>
      </c>
      <c r="AL22" s="408">
        <f t="shared" si="24"/>
        <v>0.1215</v>
      </c>
      <c r="AM22" s="408">
        <f t="shared" si="25"/>
        <v>0.31645971316818772</v>
      </c>
      <c r="AN22" s="408">
        <f t="shared" si="42"/>
        <v>0.16949999999999998</v>
      </c>
      <c r="AO22" s="408">
        <f t="shared" si="26"/>
        <v>0.65375014253581765</v>
      </c>
      <c r="AP22">
        <f t="shared" si="27"/>
        <v>1.9889999999999999</v>
      </c>
      <c r="AQ22" s="10">
        <f t="shared" si="43"/>
        <v>0.7526250658306578</v>
      </c>
      <c r="AR22" s="63">
        <f t="shared" si="28"/>
        <v>6.7635504274182949</v>
      </c>
      <c r="AS22" s="63">
        <f t="shared" si="44"/>
        <v>0.45296860528704386</v>
      </c>
      <c r="AT22" s="10"/>
      <c r="AU22">
        <f t="shared" si="45"/>
        <v>75.262506583065786</v>
      </c>
      <c r="BE22" s="28"/>
      <c r="BF22" s="29"/>
    </row>
    <row r="23" spans="1:69" x14ac:dyDescent="0.25">
      <c r="A23" s="46" t="s">
        <v>159</v>
      </c>
      <c r="B23" s="49">
        <f>RCinEsr*1000</f>
        <v>2</v>
      </c>
      <c r="C23" s="417" t="s">
        <v>621</v>
      </c>
      <c r="D23" s="31" t="s">
        <v>178</v>
      </c>
      <c r="G23">
        <v>14</v>
      </c>
      <c r="H23">
        <f t="shared" si="0"/>
        <v>0.42000000000000004</v>
      </c>
      <c r="I23" s="407">
        <f t="shared" si="1"/>
        <v>0.21269249999999998</v>
      </c>
      <c r="J23" s="408">
        <f t="shared" si="2"/>
        <v>1.3399627499999995</v>
      </c>
      <c r="K23" s="408">
        <f t="shared" si="31"/>
        <v>1.0899813749999998</v>
      </c>
      <c r="L23" s="408">
        <f t="shared" si="32"/>
        <v>-0.24998137499999973</v>
      </c>
      <c r="M23" s="63">
        <f t="shared" si="3"/>
        <v>7.3958986686390453</v>
      </c>
      <c r="N23" s="407">
        <f t="shared" si="4"/>
        <v>0.57098600182692461</v>
      </c>
      <c r="O23" s="407">
        <f t="shared" si="5"/>
        <v>1.6303376837581366E-3</v>
      </c>
      <c r="P23">
        <f t="shared" si="6"/>
        <v>0.2</v>
      </c>
      <c r="Q23" s="407">
        <f t="shared" si="34"/>
        <v>0.20163033768375815</v>
      </c>
      <c r="R23" s="9">
        <f t="shared" si="39"/>
        <v>0.3868139272082855</v>
      </c>
      <c r="S23" s="9">
        <f t="shared" si="7"/>
        <v>1.496250142822968E-3</v>
      </c>
      <c r="T23" s="9">
        <f t="shared" si="40"/>
        <v>1.496250142822968E-3</v>
      </c>
      <c r="U23" s="407">
        <f t="shared" si="8"/>
        <v>0.26333073377453947</v>
      </c>
      <c r="V23" s="409">
        <f t="shared" si="9"/>
        <v>1.3868615070047478E-4</v>
      </c>
      <c r="W23" s="407">
        <f t="shared" si="41"/>
        <v>1.3868615070047478E-4</v>
      </c>
      <c r="X23" s="407">
        <f t="shared" si="10"/>
        <v>0.26333073377453947</v>
      </c>
      <c r="Y23" s="407">
        <f t="shared" si="11"/>
        <v>4.160584521014243E-4</v>
      </c>
      <c r="Z23" s="407">
        <f t="shared" si="12"/>
        <v>3.9645954676165801E-2</v>
      </c>
      <c r="AA23" s="407">
        <f t="shared" si="13"/>
        <v>9.9624607988165734E-2</v>
      </c>
      <c r="AB23" s="407">
        <f t="shared" si="14"/>
        <v>1.7998658999999982E-3</v>
      </c>
      <c r="AC23" s="407">
        <f t="shared" si="15"/>
        <v>0.14149826132594945</v>
      </c>
      <c r="AD23" s="407">
        <f t="shared" si="16"/>
        <v>0.50663787751416622</v>
      </c>
      <c r="AE23" s="407">
        <f t="shared" si="17"/>
        <v>1.540091633592356E-3</v>
      </c>
      <c r="AF23" s="407">
        <f t="shared" si="18"/>
        <v>7.8478658999999989E-3</v>
      </c>
      <c r="AG23" s="407">
        <f t="shared" si="19"/>
        <v>9.3908500875227782E-3</v>
      </c>
      <c r="AH23" s="407">
        <f t="shared" si="20"/>
        <v>0</v>
      </c>
      <c r="AI23">
        <f t="shared" si="21"/>
        <v>0</v>
      </c>
      <c r="AJ23" s="408">
        <f t="shared" si="22"/>
        <v>0.13678563599999999</v>
      </c>
      <c r="AK23">
        <f t="shared" si="23"/>
        <v>4.8000000000000001E-2</v>
      </c>
      <c r="AL23" s="408">
        <f t="shared" si="24"/>
        <v>0.1215</v>
      </c>
      <c r="AM23" s="408">
        <f t="shared" si="25"/>
        <v>0.31645971316818772</v>
      </c>
      <c r="AN23" s="408">
        <f t="shared" si="42"/>
        <v>0.16949999999999998</v>
      </c>
      <c r="AO23" s="408">
        <f t="shared" si="26"/>
        <v>0.66044002139075375</v>
      </c>
      <c r="AP23">
        <f t="shared" si="27"/>
        <v>2.1419999999999999</v>
      </c>
      <c r="AQ23" s="10">
        <f t="shared" si="43"/>
        <v>0.76433393173460307</v>
      </c>
      <c r="AR23" s="63">
        <f t="shared" si="28"/>
        <v>7.0749130662974729</v>
      </c>
      <c r="AS23" s="63">
        <f t="shared" si="44"/>
        <v>0.46954250437613892</v>
      </c>
      <c r="AT23" s="10"/>
      <c r="AU23">
        <f t="shared" si="45"/>
        <v>76.433393173460303</v>
      </c>
      <c r="BE23" s="28"/>
      <c r="BF23" s="29"/>
    </row>
    <row r="24" spans="1:69" x14ac:dyDescent="0.25">
      <c r="A24" s="45" t="s">
        <v>36</v>
      </c>
      <c r="B24" s="49">
        <f>Cout*1000000</f>
        <v>132</v>
      </c>
      <c r="C24" s="419" t="s">
        <v>30</v>
      </c>
      <c r="D24" s="31" t="s">
        <v>199</v>
      </c>
      <c r="G24">
        <v>15</v>
      </c>
      <c r="H24">
        <f t="shared" si="0"/>
        <v>0.44999999999999996</v>
      </c>
      <c r="I24" s="407">
        <f t="shared" si="1"/>
        <v>0.21270624999999999</v>
      </c>
      <c r="J24" s="408">
        <f t="shared" si="2"/>
        <v>1.3400493749999995</v>
      </c>
      <c r="K24" s="408">
        <f t="shared" si="31"/>
        <v>1.1200246874999997</v>
      </c>
      <c r="L24" s="408">
        <f t="shared" si="32"/>
        <v>-0.22002468749999982</v>
      </c>
      <c r="M24" s="63">
        <f t="shared" si="3"/>
        <v>6.5096061390532487</v>
      </c>
      <c r="N24" s="407">
        <f t="shared" si="4"/>
        <v>0.59341752638410006</v>
      </c>
      <c r="O24" s="407">
        <f t="shared" si="5"/>
        <v>1.7609698493397869E-3</v>
      </c>
      <c r="P24">
        <f t="shared" si="6"/>
        <v>0.2</v>
      </c>
      <c r="Q24" s="407">
        <f t="shared" si="34"/>
        <v>0.20176096984933981</v>
      </c>
      <c r="R24" s="9">
        <f t="shared" si="39"/>
        <v>0.38683893369181976</v>
      </c>
      <c r="S24" s="9">
        <f t="shared" si="7"/>
        <v>1.4964436061982414E-3</v>
      </c>
      <c r="T24" s="9">
        <f t="shared" si="40"/>
        <v>1.4964436061982414E-3</v>
      </c>
      <c r="U24" s="407">
        <f t="shared" si="8"/>
        <v>0.27368468427387466</v>
      </c>
      <c r="V24" s="409">
        <f t="shared" si="9"/>
        <v>1.4980661281218091E-4</v>
      </c>
      <c r="W24" s="407">
        <f t="shared" si="41"/>
        <v>1.4980661281218091E-4</v>
      </c>
      <c r="X24" s="407">
        <f t="shared" si="10"/>
        <v>0.27368468427387466</v>
      </c>
      <c r="Y24" s="407">
        <f t="shared" si="11"/>
        <v>4.4941983843654274E-4</v>
      </c>
      <c r="Z24" s="407">
        <f t="shared" si="12"/>
        <v>4.0738721794041449E-2</v>
      </c>
      <c r="AA24" s="407">
        <f t="shared" si="13"/>
        <v>0.10494236316568052</v>
      </c>
      <c r="AB24" s="407">
        <f t="shared" si="14"/>
        <v>1.5841777499999985E-3</v>
      </c>
      <c r="AC24" s="407">
        <f t="shared" si="15"/>
        <v>0.14772796092342466</v>
      </c>
      <c r="AD24" s="407">
        <f t="shared" si="16"/>
        <v>0.52653684981559801</v>
      </c>
      <c r="AE24" s="407">
        <f t="shared" si="17"/>
        <v>1.6634463252824018E-3</v>
      </c>
      <c r="AF24" s="407">
        <f t="shared" si="18"/>
        <v>8.0641777499999984E-3</v>
      </c>
      <c r="AG24" s="407">
        <f t="shared" si="19"/>
        <v>9.7308614284193889E-3</v>
      </c>
      <c r="AH24" s="407">
        <f t="shared" si="20"/>
        <v>0</v>
      </c>
      <c r="AI24">
        <f t="shared" si="21"/>
        <v>0</v>
      </c>
      <c r="AJ24" s="408">
        <f t="shared" si="22"/>
        <v>0.13678461</v>
      </c>
      <c r="AK24">
        <f t="shared" si="23"/>
        <v>4.8000000000000001E-2</v>
      </c>
      <c r="AL24" s="408">
        <f t="shared" si="24"/>
        <v>0.1215</v>
      </c>
      <c r="AM24" s="408">
        <f t="shared" si="25"/>
        <v>0.31645971316818772</v>
      </c>
      <c r="AN24" s="408">
        <f t="shared" si="42"/>
        <v>0.16949999999999998</v>
      </c>
      <c r="AO24" s="408">
        <f t="shared" si="26"/>
        <v>0.66715065242019422</v>
      </c>
      <c r="AP24">
        <f t="shared" si="27"/>
        <v>2.2949999999999995</v>
      </c>
      <c r="AQ24" s="10">
        <f t="shared" si="43"/>
        <v>0.77477490826636186</v>
      </c>
      <c r="AR24" s="63">
        <f t="shared" si="28"/>
        <v>7.3863980461712329</v>
      </c>
      <c r="AS24" s="63">
        <f t="shared" si="44"/>
        <v>0.48654307142096942</v>
      </c>
      <c r="AT24" s="10"/>
      <c r="AU24">
        <f t="shared" si="45"/>
        <v>77.477490826636185</v>
      </c>
      <c r="BE24" s="28"/>
      <c r="BF24" s="29"/>
    </row>
    <row r="25" spans="1:69" x14ac:dyDescent="0.25">
      <c r="A25" s="45" t="s">
        <v>158</v>
      </c>
      <c r="B25" s="50">
        <f>CoutEsr*1000</f>
        <v>10</v>
      </c>
      <c r="C25" s="417" t="s">
        <v>621</v>
      </c>
      <c r="D25" s="31" t="s">
        <v>200</v>
      </c>
      <c r="G25">
        <v>16</v>
      </c>
      <c r="H25">
        <f t="shared" si="0"/>
        <v>0.48</v>
      </c>
      <c r="I25" s="407">
        <f t="shared" si="1"/>
        <v>0.21271999999999999</v>
      </c>
      <c r="J25" s="408">
        <f t="shared" si="2"/>
        <v>1.3401359999999998</v>
      </c>
      <c r="K25" s="408">
        <f t="shared" si="31"/>
        <v>1.1500679999999999</v>
      </c>
      <c r="L25" s="408">
        <f t="shared" si="32"/>
        <v>-0.1900679999999999</v>
      </c>
      <c r="M25" s="63">
        <f t="shared" si="3"/>
        <v>5.623313609467453</v>
      </c>
      <c r="N25" s="407">
        <f t="shared" si="4"/>
        <v>0.61649307231144124</v>
      </c>
      <c r="O25" s="407">
        <f t="shared" si="5"/>
        <v>1.9006074818109535E-3</v>
      </c>
      <c r="P25">
        <f t="shared" si="6"/>
        <v>0.2</v>
      </c>
      <c r="Q25" s="407">
        <f t="shared" si="34"/>
        <v>0.20190060748181096</v>
      </c>
      <c r="R25" s="9">
        <f t="shared" si="39"/>
        <v>0.38686394017535414</v>
      </c>
      <c r="S25" s="9">
        <f t="shared" si="7"/>
        <v>1.4966370820799998E-3</v>
      </c>
      <c r="T25" s="9">
        <f t="shared" si="40"/>
        <v>1.4966370820799998E-3</v>
      </c>
      <c r="U25" s="407">
        <f t="shared" si="8"/>
        <v>0.28433633607051656</v>
      </c>
      <c r="V25" s="409">
        <f t="shared" si="9"/>
        <v>1.6169430402001149E-4</v>
      </c>
      <c r="W25" s="407">
        <f t="shared" si="41"/>
        <v>1.6169430402001149E-4</v>
      </c>
      <c r="X25" s="407">
        <f t="shared" si="10"/>
        <v>0.28433633607051656</v>
      </c>
      <c r="Y25" s="407">
        <f t="shared" si="11"/>
        <v>4.8508291206003445E-4</v>
      </c>
      <c r="Z25" s="407">
        <f t="shared" si="12"/>
        <v>4.1831488911917097E-2</v>
      </c>
      <c r="AA25" s="407">
        <f t="shared" si="13"/>
        <v>0.11026011834319528</v>
      </c>
      <c r="AB25" s="407">
        <f t="shared" si="14"/>
        <v>1.3684895999999992E-3</v>
      </c>
      <c r="AC25" s="407">
        <f t="shared" si="15"/>
        <v>0.15396011645149826</v>
      </c>
      <c r="AD25" s="407">
        <f t="shared" si="16"/>
        <v>0.54700690690154374</v>
      </c>
      <c r="AE25" s="407">
        <f t="shared" si="17"/>
        <v>1.7952993371879648E-3</v>
      </c>
      <c r="AF25" s="407">
        <f t="shared" si="18"/>
        <v>8.2804895999999996E-3</v>
      </c>
      <c r="AG25" s="407">
        <f t="shared" si="19"/>
        <v>1.0079408048105566E-2</v>
      </c>
      <c r="AH25" s="407">
        <f t="shared" si="20"/>
        <v>0</v>
      </c>
      <c r="AI25">
        <f t="shared" si="21"/>
        <v>0</v>
      </c>
      <c r="AJ25" s="408">
        <f t="shared" si="22"/>
        <v>0.13678358399999999</v>
      </c>
      <c r="AK25">
        <f t="shared" si="23"/>
        <v>4.8000000000000001E-2</v>
      </c>
      <c r="AL25" s="408">
        <f t="shared" si="24"/>
        <v>0.1215</v>
      </c>
      <c r="AM25" s="408">
        <f t="shared" si="25"/>
        <v>0.31645971316818772</v>
      </c>
      <c r="AN25" s="408">
        <f t="shared" si="42"/>
        <v>0.16949999999999998</v>
      </c>
      <c r="AO25" s="408">
        <f t="shared" si="26"/>
        <v>0.67388204736751478</v>
      </c>
      <c r="AP25">
        <f t="shared" si="27"/>
        <v>2.448</v>
      </c>
      <c r="AQ25" s="10">
        <f t="shared" si="43"/>
        <v>0.78414237400937148</v>
      </c>
      <c r="AR25" s="63">
        <f t="shared" si="28"/>
        <v>7.6980058225749133</v>
      </c>
      <c r="AS25" s="63">
        <f t="shared" si="44"/>
        <v>0.50397040240527835</v>
      </c>
      <c r="AT25" s="10"/>
      <c r="AU25">
        <f t="shared" si="45"/>
        <v>78.414237400937154</v>
      </c>
      <c r="BC25" t="s">
        <v>240</v>
      </c>
      <c r="BD25" t="s">
        <v>4</v>
      </c>
      <c r="BE25" t="s">
        <v>6</v>
      </c>
      <c r="BF25" t="s">
        <v>5</v>
      </c>
      <c r="BG25" t="s">
        <v>241</v>
      </c>
      <c r="BH25" t="s">
        <v>242</v>
      </c>
    </row>
    <row r="26" spans="1:69" x14ac:dyDescent="0.25">
      <c r="A26" s="34" t="s">
        <v>202</v>
      </c>
      <c r="B26" s="47" t="s">
        <v>201</v>
      </c>
      <c r="C26" s="34" t="s">
        <v>148</v>
      </c>
      <c r="D26" s="27" t="s">
        <v>188</v>
      </c>
      <c r="G26">
        <v>17</v>
      </c>
      <c r="H26">
        <f t="shared" si="0"/>
        <v>0.51</v>
      </c>
      <c r="I26" s="407">
        <f t="shared" si="1"/>
        <v>0.21273374999999997</v>
      </c>
      <c r="J26" s="408">
        <f t="shared" si="2"/>
        <v>1.3402226249999996</v>
      </c>
      <c r="K26" s="408">
        <f t="shared" si="31"/>
        <v>1.1801113124999998</v>
      </c>
      <c r="L26" s="408">
        <f t="shared" si="32"/>
        <v>-0.16011131249999977</v>
      </c>
      <c r="M26" s="63">
        <f t="shared" si="3"/>
        <v>4.7370210798816501</v>
      </c>
      <c r="N26" s="407">
        <f t="shared" si="4"/>
        <v>0.6401429973426439</v>
      </c>
      <c r="O26" s="407">
        <f t="shared" si="5"/>
        <v>2.0492511846001539E-3</v>
      </c>
      <c r="P26">
        <f t="shared" si="6"/>
        <v>0.2</v>
      </c>
      <c r="Q26" s="407">
        <f t="shared" si="34"/>
        <v>0.20204925118460015</v>
      </c>
      <c r="R26" s="9">
        <f t="shared" si="39"/>
        <v>0.38688894665888834</v>
      </c>
      <c r="S26" s="9">
        <f t="shared" si="7"/>
        <v>1.4968305704682416E-3</v>
      </c>
      <c r="T26" s="9">
        <f t="shared" si="40"/>
        <v>1.4968305704682416E-3</v>
      </c>
      <c r="U26" s="407">
        <f t="shared" si="8"/>
        <v>0.29525359678086027</v>
      </c>
      <c r="V26" s="409">
        <f t="shared" si="9"/>
        <v>1.7434937282406965E-4</v>
      </c>
      <c r="W26" s="407">
        <f t="shared" si="41"/>
        <v>1.7434937282406965E-4</v>
      </c>
      <c r="X26" s="407">
        <f t="shared" si="10"/>
        <v>0.29525359678086027</v>
      </c>
      <c r="Y26" s="407">
        <f t="shared" si="11"/>
        <v>5.2304811847220896E-4</v>
      </c>
      <c r="Z26" s="407">
        <f t="shared" si="12"/>
        <v>4.2924256029792746E-2</v>
      </c>
      <c r="AA26" s="407">
        <f t="shared" si="13"/>
        <v>0.1155778735207101</v>
      </c>
      <c r="AB26" s="407">
        <f t="shared" si="14"/>
        <v>1.1528014499999982E-3</v>
      </c>
      <c r="AC26" s="407">
        <f t="shared" si="15"/>
        <v>0.16019473703013359</v>
      </c>
      <c r="AD26" s="407">
        <f t="shared" si="16"/>
        <v>0.56798624158934463</v>
      </c>
      <c r="AE26" s="407">
        <f t="shared" si="17"/>
        <v>1.9356502238087362E-3</v>
      </c>
      <c r="AF26" s="407">
        <f t="shared" si="18"/>
        <v>8.4968014499999991E-3</v>
      </c>
      <c r="AG26" s="407">
        <f t="shared" si="19"/>
        <v>1.0436491953405813E-2</v>
      </c>
      <c r="AH26" s="407">
        <f t="shared" si="20"/>
        <v>0</v>
      </c>
      <c r="AI26">
        <f t="shared" si="21"/>
        <v>0</v>
      </c>
      <c r="AJ26" s="408">
        <f t="shared" si="22"/>
        <v>0.136782558</v>
      </c>
      <c r="AK26">
        <f t="shared" si="23"/>
        <v>4.8000000000000001E-2</v>
      </c>
      <c r="AL26" s="408">
        <f t="shared" si="24"/>
        <v>0.1215</v>
      </c>
      <c r="AM26" s="408">
        <f t="shared" si="25"/>
        <v>0.31645971316818772</v>
      </c>
      <c r="AN26" s="408">
        <f t="shared" si="42"/>
        <v>0.16949999999999998</v>
      </c>
      <c r="AO26" s="408">
        <f t="shared" si="26"/>
        <v>0.68063421811143188</v>
      </c>
      <c r="AP26">
        <f t="shared" si="27"/>
        <v>2.601</v>
      </c>
      <c r="AQ26" s="10">
        <f t="shared" si="43"/>
        <v>0.79259290558496964</v>
      </c>
      <c r="AR26" s="63">
        <f t="shared" si="28"/>
        <v>8.0097368515066805</v>
      </c>
      <c r="AS26" s="63">
        <f t="shared" si="44"/>
        <v>0.52182459767029066</v>
      </c>
      <c r="AT26" s="10"/>
      <c r="AU26">
        <f t="shared" si="45"/>
        <v>79.259290558496957</v>
      </c>
      <c r="BC26" t="s">
        <v>243</v>
      </c>
      <c r="BD26">
        <v>9.9989640000000009</v>
      </c>
      <c r="BE26">
        <v>0.1027</v>
      </c>
      <c r="BF26">
        <v>5.1211359999999999</v>
      </c>
      <c r="BG26">
        <v>61.870683235325004</v>
      </c>
      <c r="BH26">
        <v>324.12365701136014</v>
      </c>
    </row>
    <row r="27" spans="1:69" x14ac:dyDescent="0.25">
      <c r="A27" s="32" t="s">
        <v>132</v>
      </c>
      <c r="B27" s="5">
        <v>1.5</v>
      </c>
      <c r="C27" s="416" t="s">
        <v>208</v>
      </c>
      <c r="D27" s="31" t="s">
        <v>204</v>
      </c>
      <c r="G27">
        <v>18</v>
      </c>
      <c r="H27">
        <f t="shared" si="0"/>
        <v>0.54</v>
      </c>
      <c r="I27" s="407">
        <f t="shared" si="1"/>
        <v>0.21274749999999998</v>
      </c>
      <c r="J27" s="408">
        <f t="shared" si="2"/>
        <v>1.3403092499999996</v>
      </c>
      <c r="K27" s="408">
        <f t="shared" si="31"/>
        <v>1.2101546249999999</v>
      </c>
      <c r="L27" s="408">
        <f t="shared" si="32"/>
        <v>-0.13015462499999975</v>
      </c>
      <c r="M27" s="63">
        <f t="shared" si="3"/>
        <v>3.8507285502958499</v>
      </c>
      <c r="N27" s="407">
        <f t="shared" si="4"/>
        <v>0.66430595897996936</v>
      </c>
      <c r="O27" s="407">
        <f t="shared" si="5"/>
        <v>2.2069016000768544E-3</v>
      </c>
      <c r="P27">
        <f t="shared" si="6"/>
        <v>0.2</v>
      </c>
      <c r="Q27" s="407">
        <f t="shared" si="34"/>
        <v>0.20220690160007687</v>
      </c>
      <c r="R27" s="9">
        <f t="shared" si="39"/>
        <v>0.38691395314242261</v>
      </c>
      <c r="S27" s="9">
        <f t="shared" si="7"/>
        <v>1.4970240713629678E-3</v>
      </c>
      <c r="T27" s="9">
        <f t="shared" si="40"/>
        <v>1.4970240713629678E-3</v>
      </c>
      <c r="U27" s="407">
        <f t="shared" si="8"/>
        <v>0.30640819809892372</v>
      </c>
      <c r="V27" s="409">
        <f t="shared" si="9"/>
        <v>1.8777196772445855E-4</v>
      </c>
      <c r="W27" s="407">
        <f t="shared" si="41"/>
        <v>1.8777196772445855E-4</v>
      </c>
      <c r="X27" s="407">
        <f t="shared" si="10"/>
        <v>0.30640819809892372</v>
      </c>
      <c r="Y27" s="407">
        <f t="shared" si="11"/>
        <v>5.6331590317337571E-4</v>
      </c>
      <c r="Z27" s="407">
        <f t="shared" si="12"/>
        <v>4.4017023147668401E-2</v>
      </c>
      <c r="AA27" s="407">
        <f t="shared" si="13"/>
        <v>0.12089562869822491</v>
      </c>
      <c r="AB27" s="407">
        <f t="shared" si="14"/>
        <v>9.371132999999982E-4</v>
      </c>
      <c r="AC27" s="407">
        <f t="shared" si="15"/>
        <v>0.16643183178859483</v>
      </c>
      <c r="AD27" s="407">
        <f t="shared" si="16"/>
        <v>0.58942041301100812</v>
      </c>
      <c r="AE27" s="407">
        <f t="shared" si="17"/>
        <v>2.0844985396444044E-3</v>
      </c>
      <c r="AF27" s="407">
        <f t="shared" si="18"/>
        <v>8.7131132999999986E-3</v>
      </c>
      <c r="AG27" s="407">
        <f t="shared" si="19"/>
        <v>1.0802115238332279E-2</v>
      </c>
      <c r="AH27" s="407">
        <f t="shared" si="20"/>
        <v>0</v>
      </c>
      <c r="AI27">
        <f t="shared" si="21"/>
        <v>0</v>
      </c>
      <c r="AJ27" s="408">
        <f t="shared" si="22"/>
        <v>0.13678153199999998</v>
      </c>
      <c r="AK27">
        <f t="shared" si="23"/>
        <v>4.8000000000000001E-2</v>
      </c>
      <c r="AL27" s="408">
        <f t="shared" si="24"/>
        <v>0.1215</v>
      </c>
      <c r="AM27" s="408">
        <f t="shared" si="25"/>
        <v>0.31645971316818772</v>
      </c>
      <c r="AN27" s="408">
        <f t="shared" si="42"/>
        <v>0.16949999999999998</v>
      </c>
      <c r="AO27" s="408">
        <f t="shared" si="26"/>
        <v>0.68740717666609141</v>
      </c>
      <c r="AP27">
        <f t="shared" si="27"/>
        <v>2.754</v>
      </c>
      <c r="AQ27" s="10">
        <f t="shared" si="43"/>
        <v>0.80025404104258702</v>
      </c>
      <c r="AR27" s="63">
        <f t="shared" si="28"/>
        <v>8.3215915894297421</v>
      </c>
      <c r="AS27" s="63">
        <f t="shared" si="44"/>
        <v>0.54010576191661397</v>
      </c>
      <c r="AT27" s="10"/>
      <c r="AU27">
        <f t="shared" si="45"/>
        <v>80.025404104258698</v>
      </c>
      <c r="BC27" t="s">
        <v>244</v>
      </c>
      <c r="BD27">
        <v>9.9986669999999993</v>
      </c>
      <c r="BE27">
        <v>0.1166</v>
      </c>
      <c r="BF27">
        <v>5.1212980000000003</v>
      </c>
      <c r="BG27">
        <v>64.729420570558148</v>
      </c>
      <c r="BH27">
        <v>325.37886459483997</v>
      </c>
    </row>
    <row r="28" spans="1:69" x14ac:dyDescent="0.25">
      <c r="A28" s="32" t="s">
        <v>239</v>
      </c>
      <c r="B28" s="5">
        <v>0.9</v>
      </c>
      <c r="C28" s="416" t="s">
        <v>208</v>
      </c>
      <c r="D28" s="31" t="s">
        <v>205</v>
      </c>
      <c r="G28">
        <v>19</v>
      </c>
      <c r="H28">
        <f t="shared" si="0"/>
        <v>0.57000000000000006</v>
      </c>
      <c r="I28" s="407">
        <f t="shared" si="1"/>
        <v>0.21276124999999999</v>
      </c>
      <c r="J28" s="408">
        <f t="shared" si="2"/>
        <v>1.3403958749999996</v>
      </c>
      <c r="K28" s="408">
        <f t="shared" si="31"/>
        <v>1.2401979374999998</v>
      </c>
      <c r="L28" s="408">
        <f t="shared" si="32"/>
        <v>-0.10019793749999972</v>
      </c>
      <c r="M28" s="63">
        <f t="shared" si="3"/>
        <v>2.9644360207100511</v>
      </c>
      <c r="N28" s="407">
        <f t="shared" si="4"/>
        <v>0.68892797771350378</v>
      </c>
      <c r="O28" s="407">
        <f t="shared" si="5"/>
        <v>2.3735594095584149E-3</v>
      </c>
      <c r="P28">
        <f t="shared" si="6"/>
        <v>0.2</v>
      </c>
      <c r="Q28" s="407">
        <f t="shared" si="34"/>
        <v>0.20237355940955842</v>
      </c>
      <c r="R28" s="9">
        <f t="shared" si="39"/>
        <v>0.38693895962595687</v>
      </c>
      <c r="S28" s="9">
        <f t="shared" si="7"/>
        <v>1.4972175847641788E-3</v>
      </c>
      <c r="T28" s="9">
        <f t="shared" si="40"/>
        <v>1.4972175847641788E-3</v>
      </c>
      <c r="U28" s="407">
        <f t="shared" si="8"/>
        <v>0.31777526431527164</v>
      </c>
      <c r="V28" s="409">
        <f t="shared" si="9"/>
        <v>2.0196223722128152E-4</v>
      </c>
      <c r="W28" s="407">
        <f t="shared" si="41"/>
        <v>2.0196223722128152E-4</v>
      </c>
      <c r="X28" s="407">
        <f t="shared" si="10"/>
        <v>0.31777526431527164</v>
      </c>
      <c r="Y28" s="407">
        <f t="shared" si="11"/>
        <v>6.0588671166384453E-4</v>
      </c>
      <c r="Z28" s="407">
        <f t="shared" si="12"/>
        <v>4.5109790265544049E-2</v>
      </c>
      <c r="AA28" s="407">
        <f t="shared" si="13"/>
        <v>0.12621338387573972</v>
      </c>
      <c r="AB28" s="407">
        <f t="shared" si="14"/>
        <v>7.2142514999999792E-4</v>
      </c>
      <c r="AC28" s="407">
        <f t="shared" si="15"/>
        <v>0.17267140986549195</v>
      </c>
      <c r="AD28" s="407">
        <f t="shared" si="16"/>
        <v>0.61126151511916504</v>
      </c>
      <c r="AE28" s="407">
        <f t="shared" si="17"/>
        <v>2.2418438391946633E-3</v>
      </c>
      <c r="AF28" s="407">
        <f t="shared" si="18"/>
        <v>8.929425149999998E-3</v>
      </c>
      <c r="AG28" s="407">
        <f t="shared" si="19"/>
        <v>1.1176280084125004E-2</v>
      </c>
      <c r="AH28" s="407">
        <f t="shared" si="20"/>
        <v>0</v>
      </c>
      <c r="AI28">
        <f t="shared" si="21"/>
        <v>0</v>
      </c>
      <c r="AJ28" s="408">
        <f t="shared" si="22"/>
        <v>0.13678050600000002</v>
      </c>
      <c r="AK28">
        <f t="shared" si="23"/>
        <v>4.8000000000000001E-2</v>
      </c>
      <c r="AL28" s="408">
        <f t="shared" si="24"/>
        <v>0.1215</v>
      </c>
      <c r="AM28" s="408">
        <f t="shared" si="25"/>
        <v>0.31645971316818772</v>
      </c>
      <c r="AN28" s="408">
        <f t="shared" si="42"/>
        <v>0.16949999999999998</v>
      </c>
      <c r="AO28" s="408">
        <f t="shared" si="26"/>
        <v>0.69420093518116077</v>
      </c>
      <c r="AP28">
        <f t="shared" si="27"/>
        <v>2.907</v>
      </c>
      <c r="AQ28" s="10">
        <f t="shared" si="43"/>
        <v>0.80723071339915708</v>
      </c>
      <c r="AR28" s="63">
        <f t="shared" si="28"/>
        <v>8.6335704932745969</v>
      </c>
      <c r="AS28" s="63">
        <f t="shared" si="44"/>
        <v>0.55881400420625016</v>
      </c>
      <c r="AT28" s="10"/>
      <c r="AU28">
        <f t="shared" si="45"/>
        <v>80.723071339915705</v>
      </c>
      <c r="BC28" t="s">
        <v>245</v>
      </c>
      <c r="BD28">
        <v>9.9987659999999998</v>
      </c>
      <c r="BE28">
        <v>0.14660000000000001</v>
      </c>
      <c r="BF28">
        <v>5.1213230000000003</v>
      </c>
      <c r="BG28">
        <v>69.885376918691776</v>
      </c>
      <c r="BH28">
        <v>323.52446193379996</v>
      </c>
    </row>
    <row r="29" spans="1:69" x14ac:dyDescent="0.25">
      <c r="A29" s="34" t="s">
        <v>203</v>
      </c>
      <c r="B29" s="25" t="s">
        <v>201</v>
      </c>
      <c r="C29" s="34" t="s">
        <v>148</v>
      </c>
      <c r="D29" s="27" t="s">
        <v>188</v>
      </c>
      <c r="G29">
        <v>20</v>
      </c>
      <c r="H29">
        <f t="shared" si="0"/>
        <v>0.60000000000000009</v>
      </c>
      <c r="I29" s="407">
        <f t="shared" si="1"/>
        <v>0.21277499999999996</v>
      </c>
      <c r="J29" s="408">
        <f t="shared" si="2"/>
        <v>1.3404824999999994</v>
      </c>
      <c r="K29" s="408">
        <f t="shared" si="31"/>
        <v>1.2702412499999998</v>
      </c>
      <c r="L29" s="408">
        <f t="shared" si="32"/>
        <v>-7.0241249999999589E-2</v>
      </c>
      <c r="M29" s="63">
        <f t="shared" si="3"/>
        <v>2.0781434911242478</v>
      </c>
      <c r="N29" s="407">
        <f t="shared" si="4"/>
        <v>0.7139615613372946</v>
      </c>
      <c r="O29" s="407">
        <f t="shared" si="5"/>
        <v>2.549225333317444E-3</v>
      </c>
      <c r="P29">
        <f t="shared" si="6"/>
        <v>0.2</v>
      </c>
      <c r="Q29" s="407">
        <f t="shared" si="34"/>
        <v>0.20254922533331746</v>
      </c>
      <c r="R29" s="9">
        <f t="shared" si="39"/>
        <v>0.38696396610949108</v>
      </c>
      <c r="S29" s="9">
        <f t="shared" si="7"/>
        <v>1.4974111106718735E-3</v>
      </c>
      <c r="T29" s="9">
        <f t="shared" si="40"/>
        <v>1.4974111106718735E-3</v>
      </c>
      <c r="U29" s="407">
        <f t="shared" si="8"/>
        <v>0.32933290893459283</v>
      </c>
      <c r="V29" s="409">
        <f t="shared" si="9"/>
        <v>2.1692032981464164E-4</v>
      </c>
      <c r="W29" s="407">
        <f t="shared" si="41"/>
        <v>2.1692032981464164E-4</v>
      </c>
      <c r="X29" s="407">
        <f t="shared" si="10"/>
        <v>0.32933290893459283</v>
      </c>
      <c r="Y29" s="407">
        <f t="shared" si="11"/>
        <v>6.5076098944392491E-4</v>
      </c>
      <c r="Z29" s="407">
        <f t="shared" si="12"/>
        <v>4.620255738341969E-2</v>
      </c>
      <c r="AA29" s="407">
        <f t="shared" si="13"/>
        <v>0.1315311390532545</v>
      </c>
      <c r="AB29" s="407">
        <f t="shared" si="14"/>
        <v>5.0573699999999699E-4</v>
      </c>
      <c r="AC29" s="407">
        <f t="shared" si="15"/>
        <v>0.17891348040882527</v>
      </c>
      <c r="AD29" s="407">
        <f t="shared" si="16"/>
        <v>0.6334673994452017</v>
      </c>
      <c r="AE29" s="407">
        <f t="shared" si="17"/>
        <v>2.4076856769592002E-3</v>
      </c>
      <c r="AF29" s="407">
        <f t="shared" si="18"/>
        <v>9.1457369999999975E-3</v>
      </c>
      <c r="AG29" s="407">
        <f t="shared" si="19"/>
        <v>1.1558988759294375E-2</v>
      </c>
      <c r="AH29" s="407">
        <f t="shared" si="20"/>
        <v>0</v>
      </c>
      <c r="AI29">
        <f t="shared" si="21"/>
        <v>0</v>
      </c>
      <c r="AJ29" s="408">
        <f t="shared" si="22"/>
        <v>0.13677948000000001</v>
      </c>
      <c r="AK29">
        <f t="shared" si="23"/>
        <v>4.8000000000000001E-2</v>
      </c>
      <c r="AL29" s="408">
        <f t="shared" si="24"/>
        <v>0.1215</v>
      </c>
      <c r="AM29" s="408">
        <f t="shared" si="25"/>
        <v>0.31645971316818772</v>
      </c>
      <c r="AN29" s="408">
        <f t="shared" si="42"/>
        <v>0.16949999999999998</v>
      </c>
      <c r="AO29" s="408">
        <f t="shared" si="26"/>
        <v>0.70101550594192363</v>
      </c>
      <c r="AP29">
        <f t="shared" si="27"/>
        <v>3.06</v>
      </c>
      <c r="AQ29" s="10">
        <f t="shared" si="43"/>
        <v>0.81361004632009393</v>
      </c>
      <c r="AR29" s="63">
        <f t="shared" si="28"/>
        <v>8.9456740204412633</v>
      </c>
      <c r="AS29" s="63">
        <f t="shared" si="44"/>
        <v>0.57794943796471876</v>
      </c>
      <c r="AT29" s="10"/>
      <c r="AU29">
        <f t="shared" si="45"/>
        <v>81.361004632009397</v>
      </c>
      <c r="BC29" t="s">
        <v>246</v>
      </c>
      <c r="BD29">
        <v>9.9987899999999996</v>
      </c>
      <c r="BE29">
        <v>0.1958</v>
      </c>
      <c r="BF29">
        <v>5.1217600000000001</v>
      </c>
      <c r="BG29">
        <v>75.662516566515876</v>
      </c>
      <c r="BH29">
        <v>322.57199766699983</v>
      </c>
    </row>
    <row r="30" spans="1:69" x14ac:dyDescent="0.25">
      <c r="A30" s="32" t="s">
        <v>131</v>
      </c>
      <c r="B30" s="37">
        <v>1.5</v>
      </c>
      <c r="C30" s="416" t="s">
        <v>208</v>
      </c>
      <c r="D30" s="31" t="s">
        <v>204</v>
      </c>
      <c r="G30">
        <v>21</v>
      </c>
      <c r="H30">
        <f t="shared" si="0"/>
        <v>0.63</v>
      </c>
      <c r="I30" s="407">
        <f t="shared" si="1"/>
        <v>0.21278874999999997</v>
      </c>
      <c r="J30" s="408">
        <f t="shared" si="2"/>
        <v>1.3405691249999996</v>
      </c>
      <c r="K30" s="408">
        <f t="shared" si="31"/>
        <v>1.3002845624999999</v>
      </c>
      <c r="L30" s="408">
        <f t="shared" si="32"/>
        <v>-4.0284562499999788E-2</v>
      </c>
      <c r="M30" s="63">
        <f t="shared" si="3"/>
        <v>1.1918509615384552</v>
      </c>
      <c r="N30" s="407">
        <f t="shared" si="4"/>
        <v>0.73936490646270558</v>
      </c>
      <c r="O30" s="407">
        <f t="shared" si="5"/>
        <v>2.7339001305895878E-3</v>
      </c>
      <c r="P30">
        <f t="shared" si="6"/>
        <v>0.2</v>
      </c>
      <c r="Q30" s="407">
        <f t="shared" si="34"/>
        <v>0.20273390013058959</v>
      </c>
      <c r="R30" s="9">
        <f t="shared" si="39"/>
        <v>0.38698897259302545</v>
      </c>
      <c r="S30" s="9">
        <f t="shared" si="7"/>
        <v>1.497604649086054E-3</v>
      </c>
      <c r="T30" s="9">
        <f t="shared" si="40"/>
        <v>1.497604649086054E-3</v>
      </c>
      <c r="U30" s="407">
        <f t="shared" si="8"/>
        <v>0.34106186682524475</v>
      </c>
      <c r="V30" s="409">
        <f t="shared" si="9"/>
        <v>2.3264639400464199E-4</v>
      </c>
      <c r="W30" s="407">
        <f t="shared" si="41"/>
        <v>2.3264639400464199E-4</v>
      </c>
      <c r="X30" s="407">
        <f t="shared" si="10"/>
        <v>0.34106186682524475</v>
      </c>
      <c r="Y30" s="407">
        <f t="shared" si="11"/>
        <v>6.9793918201392603E-4</v>
      </c>
      <c r="Z30" s="407">
        <f t="shared" si="12"/>
        <v>4.7295324501295338E-2</v>
      </c>
      <c r="AA30" s="407">
        <f t="shared" si="13"/>
        <v>0.13684889423076926</v>
      </c>
      <c r="AB30" s="407">
        <f t="shared" si="14"/>
        <v>2.9004884999999845E-4</v>
      </c>
      <c r="AC30" s="407">
        <f t="shared" si="15"/>
        <v>0.18515805257603016</v>
      </c>
      <c r="AD30" s="407">
        <f t="shared" si="16"/>
        <v>0.65600096639127325</v>
      </c>
      <c r="AE30" s="407">
        <f t="shared" si="17"/>
        <v>2.5820236074377066E-3</v>
      </c>
      <c r="AF30" s="407">
        <f t="shared" si="18"/>
        <v>9.3620488499999988E-3</v>
      </c>
      <c r="AG30" s="407">
        <f t="shared" si="19"/>
        <v>1.1950243619665827E-2</v>
      </c>
      <c r="AH30" s="407">
        <f t="shared" si="20"/>
        <v>0</v>
      </c>
      <c r="AI30">
        <f t="shared" si="21"/>
        <v>0</v>
      </c>
      <c r="AJ30" s="408">
        <f t="shared" si="22"/>
        <v>0.13677845400000002</v>
      </c>
      <c r="AK30">
        <f t="shared" si="23"/>
        <v>4.8000000000000001E-2</v>
      </c>
      <c r="AL30" s="408">
        <f t="shared" si="24"/>
        <v>0.1215</v>
      </c>
      <c r="AM30" s="408">
        <f t="shared" si="25"/>
        <v>0.31645971316818772</v>
      </c>
      <c r="AN30" s="408">
        <f t="shared" si="42"/>
        <v>0.16949999999999998</v>
      </c>
      <c r="AO30" s="408">
        <f t="shared" si="26"/>
        <v>0.70785090136937623</v>
      </c>
      <c r="AP30">
        <f t="shared" si="27"/>
        <v>3.2129999999999996</v>
      </c>
      <c r="AQ30" s="10">
        <f t="shared" si="43"/>
        <v>0.81946497860396683</v>
      </c>
      <c r="AR30" s="63">
        <f t="shared" si="28"/>
        <v>9.2579026288015083</v>
      </c>
      <c r="AS30" s="63">
        <f t="shared" si="44"/>
        <v>0.59751218098329129</v>
      </c>
      <c r="AT30" s="10"/>
      <c r="AU30">
        <f t="shared" si="45"/>
        <v>81.94649786039669</v>
      </c>
      <c r="BD30">
        <v>9.9987659999999998</v>
      </c>
      <c r="BE30">
        <v>0.2681</v>
      </c>
      <c r="BF30">
        <v>5.1224080000000001</v>
      </c>
      <c r="BG30">
        <v>80.957553445887683</v>
      </c>
      <c r="BH30">
        <v>323.02506068319997</v>
      </c>
    </row>
    <row r="31" spans="1:69" x14ac:dyDescent="0.25">
      <c r="A31" s="32" t="s">
        <v>238</v>
      </c>
      <c r="B31" s="37">
        <v>0.9</v>
      </c>
      <c r="C31" s="416" t="s">
        <v>208</v>
      </c>
      <c r="D31" s="31" t="s">
        <v>205</v>
      </c>
      <c r="G31">
        <v>22</v>
      </c>
      <c r="H31">
        <f t="shared" si="0"/>
        <v>0.66</v>
      </c>
      <c r="I31" s="407">
        <f t="shared" si="1"/>
        <v>0.21280250000000001</v>
      </c>
      <c r="J31" s="408">
        <f t="shared" si="2"/>
        <v>1.3406557499999996</v>
      </c>
      <c r="K31" s="408">
        <f t="shared" si="31"/>
        <v>1.3303278749999998</v>
      </c>
      <c r="L31" s="408">
        <f t="shared" si="32"/>
        <v>-1.0327874999999764E-2</v>
      </c>
      <c r="M31" s="63">
        <f t="shared" si="3"/>
        <v>0.30555843195265575</v>
      </c>
      <c r="N31" s="407">
        <f t="shared" si="4"/>
        <v>0.76510118285143947</v>
      </c>
      <c r="O31" s="407">
        <f t="shared" si="5"/>
        <v>2.927584599581735E-3</v>
      </c>
      <c r="P31">
        <f t="shared" si="6"/>
        <v>0.2</v>
      </c>
      <c r="Q31" s="407">
        <f t="shared" si="34"/>
        <v>0.20292758459958174</v>
      </c>
      <c r="R31" s="9">
        <f t="shared" si="39"/>
        <v>0.38701397907655971</v>
      </c>
      <c r="S31" s="9">
        <f t="shared" si="7"/>
        <v>1.4977982000067181E-3</v>
      </c>
      <c r="T31" s="9">
        <f t="shared" si="40"/>
        <v>1.4977982000067181E-3</v>
      </c>
      <c r="U31" s="407">
        <f t="shared" si="8"/>
        <v>0.35294516450249458</v>
      </c>
      <c r="V31" s="409">
        <f t="shared" si="9"/>
        <v>2.4914057829138593E-4</v>
      </c>
      <c r="W31" s="407">
        <f t="shared" si="41"/>
        <v>2.4914057829138593E-4</v>
      </c>
      <c r="X31" s="407">
        <f t="shared" si="10"/>
        <v>0.35294516450249458</v>
      </c>
      <c r="Y31" s="407">
        <f t="shared" si="11"/>
        <v>7.4742173487415779E-4</v>
      </c>
      <c r="Z31" s="407">
        <f t="shared" si="12"/>
        <v>4.8388091619170986E-2</v>
      </c>
      <c r="AA31" s="407">
        <f t="shared" si="13"/>
        <v>0.14216664940828408</v>
      </c>
      <c r="AB31" s="407">
        <f t="shared" si="14"/>
        <v>7.4360699999998287E-5</v>
      </c>
      <c r="AC31" s="407">
        <f t="shared" si="15"/>
        <v>0.19140513553402216</v>
      </c>
      <c r="AD31" s="407">
        <f t="shared" si="16"/>
        <v>0.67882953004047986</v>
      </c>
      <c r="AE31" s="407">
        <f t="shared" si="17"/>
        <v>2.7648571851298723E-3</v>
      </c>
      <c r="AF31" s="407">
        <f t="shared" si="18"/>
        <v>9.5783606999999982E-3</v>
      </c>
      <c r="AG31" s="407">
        <f t="shared" si="19"/>
        <v>1.2350047108426755E-2</v>
      </c>
      <c r="AH31" s="407">
        <f t="shared" si="20"/>
        <v>0</v>
      </c>
      <c r="AI31">
        <f t="shared" si="21"/>
        <v>0</v>
      </c>
      <c r="AJ31" s="408">
        <f t="shared" si="22"/>
        <v>0.13677742800000001</v>
      </c>
      <c r="AK31">
        <f t="shared" si="23"/>
        <v>4.8000000000000001E-2</v>
      </c>
      <c r="AL31" s="408">
        <f t="shared" si="24"/>
        <v>0.1215</v>
      </c>
      <c r="AM31" s="408">
        <f t="shared" si="25"/>
        <v>0.31645971316818772</v>
      </c>
      <c r="AN31" s="408">
        <f t="shared" si="42"/>
        <v>0.16949999999999998</v>
      </c>
      <c r="AO31" s="408">
        <f t="shared" si="26"/>
        <v>0.71470713402032882</v>
      </c>
      <c r="AP31">
        <f t="shared" si="27"/>
        <v>3.3660000000000001</v>
      </c>
      <c r="AQ31" s="10">
        <f t="shared" si="43"/>
        <v>0.82485703811922495</v>
      </c>
      <c r="AR31" s="63">
        <f t="shared" si="28"/>
        <v>9.5702567767011075</v>
      </c>
      <c r="AS31" s="63">
        <f t="shared" si="44"/>
        <v>0.61750235542133769</v>
      </c>
      <c r="AT31" s="10"/>
      <c r="AU31">
        <f t="shared" si="45"/>
        <v>82.485703811922491</v>
      </c>
      <c r="BD31">
        <v>9.998704</v>
      </c>
      <c r="BE31">
        <v>0.36549999999999999</v>
      </c>
      <c r="BF31">
        <v>5.123094</v>
      </c>
      <c r="BG31">
        <v>85.419022273213088</v>
      </c>
      <c r="BH31">
        <v>319.63300692320018</v>
      </c>
    </row>
    <row r="32" spans="1:69" x14ac:dyDescent="0.25">
      <c r="A32" s="34" t="s">
        <v>133</v>
      </c>
      <c r="B32" s="25" t="s">
        <v>201</v>
      </c>
      <c r="C32" s="34" t="s">
        <v>148</v>
      </c>
      <c r="D32" s="27" t="s">
        <v>188</v>
      </c>
      <c r="G32">
        <v>23</v>
      </c>
      <c r="H32">
        <f t="shared" si="0"/>
        <v>0.69000000000000006</v>
      </c>
      <c r="I32" s="407">
        <f t="shared" si="1"/>
        <v>0.21281624999999996</v>
      </c>
      <c r="J32" s="408">
        <f t="shared" si="2"/>
        <v>1.3407423749999994</v>
      </c>
      <c r="K32" s="408">
        <f t="shared" si="31"/>
        <v>1.3603711874999997</v>
      </c>
      <c r="L32" s="408">
        <f t="shared" si="32"/>
        <v>1.962881250000037E-2</v>
      </c>
      <c r="M32" s="63">
        <f t="shared" si="3"/>
        <v>0</v>
      </c>
      <c r="N32" s="407">
        <f t="shared" si="4"/>
        <v>0.79113789970104875</v>
      </c>
      <c r="O32" s="407">
        <f t="shared" si="5"/>
        <v>3.1302795774806411E-3</v>
      </c>
      <c r="P32">
        <f t="shared" si="6"/>
        <v>0.2</v>
      </c>
      <c r="Q32" s="407">
        <f t="shared" si="34"/>
        <v>0.20313027957748064</v>
      </c>
      <c r="R32" s="9">
        <f t="shared" si="39"/>
        <v>0.38703898556009392</v>
      </c>
      <c r="S32" s="9">
        <f t="shared" si="7"/>
        <v>1.4979917634338658E-3</v>
      </c>
      <c r="T32" s="9">
        <f t="shared" si="40"/>
        <v>1.4979917634338658E-3</v>
      </c>
      <c r="U32" s="407">
        <f t="shared" si="8"/>
        <v>0.3649678281540556</v>
      </c>
      <c r="V32" s="409">
        <f t="shared" si="9"/>
        <v>2.6640303117497652E-4</v>
      </c>
      <c r="W32" s="407">
        <f t="shared" si="41"/>
        <v>2.6640303117497652E-4</v>
      </c>
      <c r="X32" s="407">
        <f t="shared" si="10"/>
        <v>0.3649678281540556</v>
      </c>
      <c r="Y32" s="407">
        <f t="shared" si="11"/>
        <v>7.992090935249295E-4</v>
      </c>
      <c r="Z32" s="407">
        <f t="shared" si="12"/>
        <v>5.0237970076332364E-2</v>
      </c>
      <c r="AA32" s="407">
        <f t="shared" si="13"/>
        <v>0.14400000000000002</v>
      </c>
      <c r="AB32" s="407">
        <f t="shared" si="14"/>
        <v>0</v>
      </c>
      <c r="AC32" s="407">
        <f t="shared" si="15"/>
        <v>0.1950683592511718</v>
      </c>
      <c r="AD32" s="407">
        <f t="shared" si="16"/>
        <v>0.70192425571132566</v>
      </c>
      <c r="AE32" s="407">
        <f t="shared" si="17"/>
        <v>2.9561859645353909E-3</v>
      </c>
      <c r="AF32" s="407">
        <f t="shared" si="18"/>
        <v>9.9360000000000004E-3</v>
      </c>
      <c r="AG32" s="407">
        <f t="shared" si="19"/>
        <v>1.2899812813652363E-2</v>
      </c>
      <c r="AH32" s="407">
        <f t="shared" si="20"/>
        <v>0</v>
      </c>
      <c r="AI32">
        <f t="shared" si="21"/>
        <v>0</v>
      </c>
      <c r="AJ32" s="408">
        <f t="shared" si="22"/>
        <v>0.13677640200000002</v>
      </c>
      <c r="AK32">
        <f t="shared" si="23"/>
        <v>4.8000000000000001E-2</v>
      </c>
      <c r="AL32" s="408">
        <f t="shared" si="24"/>
        <v>0.1215</v>
      </c>
      <c r="AM32" s="408">
        <f t="shared" si="25"/>
        <v>0.31645971316818772</v>
      </c>
      <c r="AN32" s="408">
        <f t="shared" si="42"/>
        <v>0.16949999999999998</v>
      </c>
      <c r="AO32" s="408">
        <f t="shared" si="26"/>
        <v>0.71913924843691368</v>
      </c>
      <c r="AP32">
        <f t="shared" si="27"/>
        <v>3.5190000000000001</v>
      </c>
      <c r="AQ32" s="10">
        <f t="shared" si="43"/>
        <v>0.83031722029847355</v>
      </c>
      <c r="AR32" s="63">
        <f t="shared" si="28"/>
        <v>9.7534179625585899</v>
      </c>
      <c r="AS32" s="63">
        <f t="shared" si="44"/>
        <v>0.64499064068261813</v>
      </c>
      <c r="AT32" s="10"/>
      <c r="AU32">
        <f t="shared" si="45"/>
        <v>83.031722029847359</v>
      </c>
      <c r="BD32">
        <v>9.9987290000000009</v>
      </c>
      <c r="BE32">
        <v>0.49059999999999998</v>
      </c>
      <c r="BF32">
        <v>5.1238169999999998</v>
      </c>
      <c r="BG32">
        <v>88.551850267052174</v>
      </c>
      <c r="BH32">
        <v>324.98153184230057</v>
      </c>
    </row>
    <row r="33" spans="1:60" x14ac:dyDescent="0.25">
      <c r="A33" s="32" t="s">
        <v>133</v>
      </c>
      <c r="B33" s="5">
        <v>20</v>
      </c>
      <c r="C33" s="417" t="s">
        <v>147</v>
      </c>
      <c r="D33" s="31" t="s">
        <v>179</v>
      </c>
      <c r="G33">
        <v>24</v>
      </c>
      <c r="H33">
        <f t="shared" si="0"/>
        <v>0.72</v>
      </c>
      <c r="I33" s="407">
        <f t="shared" si="1"/>
        <v>0.21282999999999996</v>
      </c>
      <c r="J33" s="408">
        <f t="shared" si="2"/>
        <v>1.3408289999999994</v>
      </c>
      <c r="K33" s="408">
        <f t="shared" si="31"/>
        <v>1.3904144999999997</v>
      </c>
      <c r="L33" s="408">
        <f t="shared" si="32"/>
        <v>4.9585500000000282E-2</v>
      </c>
      <c r="M33" s="63">
        <f t="shared" si="3"/>
        <v>0</v>
      </c>
      <c r="N33" s="407">
        <f t="shared" si="4"/>
        <v>0.81744634927116155</v>
      </c>
      <c r="O33" s="407">
        <f t="shared" si="5"/>
        <v>3.3419859404619783E-3</v>
      </c>
      <c r="P33">
        <f t="shared" si="6"/>
        <v>0.2</v>
      </c>
      <c r="Q33" s="407">
        <f t="shared" si="34"/>
        <v>0.20334198594046199</v>
      </c>
      <c r="R33" s="9">
        <f t="shared" si="39"/>
        <v>0.38706399204362818</v>
      </c>
      <c r="S33" s="9">
        <f t="shared" si="7"/>
        <v>1.4981853393674985E-3</v>
      </c>
      <c r="T33" s="9">
        <f t="shared" si="40"/>
        <v>1.4981853393674985E-3</v>
      </c>
      <c r="U33" s="407">
        <f t="shared" si="8"/>
        <v>0.37711662728890438</v>
      </c>
      <c r="V33" s="409">
        <f t="shared" si="9"/>
        <v>2.8443390115551686E-4</v>
      </c>
      <c r="W33" s="407">
        <f t="shared" si="41"/>
        <v>2.8443390115551686E-4</v>
      </c>
      <c r="X33" s="407">
        <f t="shared" si="10"/>
        <v>0.37711662728890438</v>
      </c>
      <c r="Y33" s="407">
        <f t="shared" si="11"/>
        <v>8.5330170346655063E-4</v>
      </c>
      <c r="Z33" s="407">
        <f t="shared" si="12"/>
        <v>5.2486209426350856E-2</v>
      </c>
      <c r="AA33" s="407">
        <f t="shared" si="13"/>
        <v>0.14400000000000002</v>
      </c>
      <c r="AB33" s="407">
        <f t="shared" si="14"/>
        <v>0</v>
      </c>
      <c r="AC33" s="407">
        <f t="shared" si="15"/>
        <v>0.1973731949065039</v>
      </c>
      <c r="AD33" s="407">
        <f t="shared" si="16"/>
        <v>0.72525966616032866</v>
      </c>
      <c r="AE33" s="407">
        <f t="shared" si="17"/>
        <v>3.1560095001539482E-3</v>
      </c>
      <c r="AF33" s="407">
        <f t="shared" si="18"/>
        <v>1.0367999999999999E-2</v>
      </c>
      <c r="AG33" s="407">
        <f t="shared" si="19"/>
        <v>1.3532551272229241E-2</v>
      </c>
      <c r="AH33" s="407">
        <f t="shared" si="20"/>
        <v>0</v>
      </c>
      <c r="AI33">
        <f t="shared" si="21"/>
        <v>0</v>
      </c>
      <c r="AJ33" s="408">
        <f t="shared" si="22"/>
        <v>0.136775376</v>
      </c>
      <c r="AK33">
        <f t="shared" si="23"/>
        <v>4.8000000000000001E-2</v>
      </c>
      <c r="AL33" s="408">
        <f t="shared" si="24"/>
        <v>0.1215</v>
      </c>
      <c r="AM33" s="408">
        <f t="shared" si="25"/>
        <v>0.31645971316818772</v>
      </c>
      <c r="AN33" s="408">
        <f t="shared" si="42"/>
        <v>0.16949999999999998</v>
      </c>
      <c r="AO33" s="408">
        <f t="shared" si="26"/>
        <v>0.7223057273597181</v>
      </c>
      <c r="AP33">
        <f t="shared" si="27"/>
        <v>3.6719999999999997</v>
      </c>
      <c r="AQ33" s="10">
        <f t="shared" si="43"/>
        <v>0.83562688347728842</v>
      </c>
      <c r="AR33" s="63">
        <f t="shared" si="28"/>
        <v>9.8686597453251945</v>
      </c>
      <c r="AS33" s="63">
        <f t="shared" si="44"/>
        <v>0.67662756361146204</v>
      </c>
      <c r="AT33" s="10"/>
      <c r="AU33">
        <f t="shared" si="45"/>
        <v>83.562688347728837</v>
      </c>
      <c r="BD33">
        <v>9.9986420000000003</v>
      </c>
      <c r="BE33">
        <v>0.64549999999999996</v>
      </c>
      <c r="BF33">
        <v>5.1237300000000001</v>
      </c>
      <c r="BG33">
        <v>90.41893857119905</v>
      </c>
      <c r="BH33">
        <v>350.45848473660021</v>
      </c>
    </row>
    <row r="34" spans="1:60" x14ac:dyDescent="0.25">
      <c r="A34" s="34" t="s">
        <v>119</v>
      </c>
      <c r="B34" s="25" t="s">
        <v>201</v>
      </c>
      <c r="C34" s="34" t="s">
        <v>148</v>
      </c>
      <c r="D34" s="27" t="s">
        <v>188</v>
      </c>
      <c r="G34">
        <v>25</v>
      </c>
      <c r="H34">
        <f t="shared" si="0"/>
        <v>0.75</v>
      </c>
      <c r="I34" s="407">
        <f t="shared" si="1"/>
        <v>0.21284375</v>
      </c>
      <c r="J34" s="408">
        <f t="shared" si="2"/>
        <v>1.3409156249999996</v>
      </c>
      <c r="K34" s="408">
        <f t="shared" si="31"/>
        <v>1.4204578124999998</v>
      </c>
      <c r="L34" s="408">
        <f t="shared" si="32"/>
        <v>7.9542187500000194E-2</v>
      </c>
      <c r="M34" s="63">
        <f t="shared" si="3"/>
        <v>0</v>
      </c>
      <c r="N34" s="407">
        <f t="shared" si="4"/>
        <v>0.84400112131487226</v>
      </c>
      <c r="O34" s="407">
        <f t="shared" si="5"/>
        <v>3.5627046036998088E-3</v>
      </c>
      <c r="P34">
        <f t="shared" si="6"/>
        <v>0.2</v>
      </c>
      <c r="Q34" s="407">
        <f t="shared" si="34"/>
        <v>0.20356270460369982</v>
      </c>
      <c r="R34" s="9">
        <f t="shared" si="39"/>
        <v>0.38708899852716255</v>
      </c>
      <c r="S34" s="9">
        <f t="shared" si="7"/>
        <v>1.4983789278076166E-3</v>
      </c>
      <c r="T34" s="9">
        <f t="shared" si="40"/>
        <v>1.4983789278076166E-3</v>
      </c>
      <c r="U34" s="407">
        <f t="shared" si="8"/>
        <v>0.38937985100227679</v>
      </c>
      <c r="V34" s="409">
        <f t="shared" si="9"/>
        <v>3.0323333673311055E-4</v>
      </c>
      <c r="W34" s="407">
        <f t="shared" si="41"/>
        <v>3.0323333673311055E-4</v>
      </c>
      <c r="X34" s="407">
        <f t="shared" si="10"/>
        <v>0.38937985100227679</v>
      </c>
      <c r="Y34" s="407">
        <f t="shared" si="11"/>
        <v>9.0970001019933166E-4</v>
      </c>
      <c r="Z34" s="407">
        <f t="shared" si="12"/>
        <v>5.473444877636937E-2</v>
      </c>
      <c r="AA34" s="407">
        <f t="shared" si="13"/>
        <v>0.14400000000000002</v>
      </c>
      <c r="AB34" s="407">
        <f t="shared" si="14"/>
        <v>0</v>
      </c>
      <c r="AC34" s="407">
        <f t="shared" si="15"/>
        <v>0.19968047865326222</v>
      </c>
      <c r="AD34" s="407">
        <f t="shared" si="16"/>
        <v>0.74881321063013206</v>
      </c>
      <c r="AE34" s="407">
        <f t="shared" si="17"/>
        <v>3.3643273464852397E-3</v>
      </c>
      <c r="AF34" s="407">
        <f t="shared" si="18"/>
        <v>1.0800000000000001E-2</v>
      </c>
      <c r="AG34" s="407">
        <f t="shared" si="19"/>
        <v>1.4173864450440438E-2</v>
      </c>
      <c r="AH34" s="407">
        <f t="shared" si="20"/>
        <v>0</v>
      </c>
      <c r="AI34">
        <f t="shared" si="21"/>
        <v>0</v>
      </c>
      <c r="AJ34" s="408">
        <f t="shared" si="22"/>
        <v>0.13677435000000002</v>
      </c>
      <c r="AK34">
        <f t="shared" si="23"/>
        <v>4.8000000000000001E-2</v>
      </c>
      <c r="AL34" s="408">
        <f t="shared" si="24"/>
        <v>0.1215</v>
      </c>
      <c r="AM34" s="408">
        <f t="shared" si="25"/>
        <v>0.31645971316818772</v>
      </c>
      <c r="AN34" s="408">
        <f t="shared" si="42"/>
        <v>0.16949999999999998</v>
      </c>
      <c r="AO34" s="408">
        <f t="shared" si="26"/>
        <v>0.72549300997194321</v>
      </c>
      <c r="AP34">
        <f t="shared" si="27"/>
        <v>3.8249999999999997</v>
      </c>
      <c r="AQ34" s="10">
        <f t="shared" si="43"/>
        <v>0.84056826186039646</v>
      </c>
      <c r="AR34" s="63">
        <f t="shared" si="28"/>
        <v>9.9840239326631099</v>
      </c>
      <c r="AS34" s="63">
        <f t="shared" si="44"/>
        <v>0.70869322252202194</v>
      </c>
      <c r="AT34" s="10"/>
      <c r="AU34">
        <f t="shared" si="45"/>
        <v>84.056826186039643</v>
      </c>
      <c r="BD34">
        <v>9.9986049999999995</v>
      </c>
      <c r="BE34">
        <v>0.83240000000000003</v>
      </c>
      <c r="BF34">
        <v>5.1231559999999998</v>
      </c>
      <c r="BG34">
        <v>91.678946361105133</v>
      </c>
      <c r="BH34">
        <v>387.05996035199956</v>
      </c>
    </row>
    <row r="35" spans="1:60" x14ac:dyDescent="0.25">
      <c r="A35" s="32" t="s">
        <v>249</v>
      </c>
      <c r="B35" s="5">
        <v>2</v>
      </c>
      <c r="C35" s="417" t="s">
        <v>135</v>
      </c>
      <c r="D35" s="31" t="s">
        <v>259</v>
      </c>
      <c r="G35">
        <v>26</v>
      </c>
      <c r="H35">
        <f t="shared" si="0"/>
        <v>0.78</v>
      </c>
      <c r="I35" s="407">
        <f t="shared" si="1"/>
        <v>0.21285749999999995</v>
      </c>
      <c r="J35" s="408">
        <f t="shared" si="2"/>
        <v>1.3410022499999994</v>
      </c>
      <c r="K35" s="408">
        <f t="shared" si="31"/>
        <v>1.4505011249999997</v>
      </c>
      <c r="L35" s="408">
        <f t="shared" si="32"/>
        <v>0.10949887500000033</v>
      </c>
      <c r="M35" s="63">
        <f t="shared" si="3"/>
        <v>0</v>
      </c>
      <c r="N35" s="407">
        <f t="shared" si="4"/>
        <v>0.87077968101892556</v>
      </c>
      <c r="O35" s="407">
        <f t="shared" si="5"/>
        <v>3.7924365213764704E-3</v>
      </c>
      <c r="P35">
        <f t="shared" si="6"/>
        <v>0.2</v>
      </c>
      <c r="Q35" s="407">
        <f t="shared" si="34"/>
        <v>0.20379243652137649</v>
      </c>
      <c r="R35" s="9">
        <f t="shared" si="39"/>
        <v>0.38711400501069676</v>
      </c>
      <c r="S35" s="9">
        <f t="shared" si="7"/>
        <v>1.4985725287542176E-3</v>
      </c>
      <c r="T35" s="9">
        <f t="shared" si="40"/>
        <v>1.4985725287542176E-3</v>
      </c>
      <c r="U35" s="407">
        <f t="shared" si="8"/>
        <v>0.40174711349794417</v>
      </c>
      <c r="V35" s="409">
        <f t="shared" si="9"/>
        <v>3.2280148640786006E-4</v>
      </c>
      <c r="W35" s="407">
        <f t="shared" si="41"/>
        <v>3.2280148640786006E-4</v>
      </c>
      <c r="X35" s="407">
        <f t="shared" si="10"/>
        <v>0.40174711349794417</v>
      </c>
      <c r="Y35" s="407">
        <f t="shared" si="11"/>
        <v>9.6840445922358014E-4</v>
      </c>
      <c r="Z35" s="407">
        <f t="shared" si="12"/>
        <v>5.6982688126387876E-2</v>
      </c>
      <c r="AA35" s="407">
        <f t="shared" si="13"/>
        <v>0.14400000000000002</v>
      </c>
      <c r="AB35" s="407">
        <f t="shared" si="14"/>
        <v>0</v>
      </c>
      <c r="AC35" s="407">
        <f t="shared" si="15"/>
        <v>0.20199021423044752</v>
      </c>
      <c r="AD35" s="407">
        <f t="shared" si="16"/>
        <v>0.7725648902658544</v>
      </c>
      <c r="AE35" s="407">
        <f t="shared" si="17"/>
        <v>3.5811390580289498E-3</v>
      </c>
      <c r="AF35" s="407">
        <f t="shared" si="18"/>
        <v>1.1232000000000001E-2</v>
      </c>
      <c r="AG35" s="407">
        <f t="shared" si="19"/>
        <v>1.4823756244523744E-2</v>
      </c>
      <c r="AH35" s="407">
        <f t="shared" si="20"/>
        <v>0</v>
      </c>
      <c r="AI35">
        <f t="shared" si="21"/>
        <v>0</v>
      </c>
      <c r="AJ35" s="408">
        <f t="shared" si="22"/>
        <v>0.136773324</v>
      </c>
      <c r="AK35">
        <f t="shared" si="23"/>
        <v>4.8000000000000001E-2</v>
      </c>
      <c r="AL35" s="408">
        <f t="shared" si="24"/>
        <v>0.1215</v>
      </c>
      <c r="AM35" s="408">
        <f t="shared" si="25"/>
        <v>0.31645971316818772</v>
      </c>
      <c r="AN35" s="408">
        <f t="shared" si="42"/>
        <v>0.16949999999999998</v>
      </c>
      <c r="AO35" s="408">
        <f t="shared" si="26"/>
        <v>0.72870110501150975</v>
      </c>
      <c r="AP35">
        <f t="shared" si="27"/>
        <v>3.9779999999999998</v>
      </c>
      <c r="AQ35" s="10">
        <f t="shared" si="43"/>
        <v>0.84517795187044753</v>
      </c>
      <c r="AR35" s="63">
        <f t="shared" si="28"/>
        <v>10.099510711522376</v>
      </c>
      <c r="AS35" s="63">
        <f t="shared" si="44"/>
        <v>0.74118781222618724</v>
      </c>
      <c r="AT35" s="10"/>
      <c r="AU35">
        <f t="shared" si="45"/>
        <v>84.517795187044754</v>
      </c>
      <c r="BD35">
        <v>9.9986049999999995</v>
      </c>
      <c r="BE35">
        <v>1.0528999999999999</v>
      </c>
      <c r="BF35">
        <v>5.1218219999999999</v>
      </c>
      <c r="BG35">
        <v>92.889938966292178</v>
      </c>
      <c r="BH35">
        <v>412.77762981700039</v>
      </c>
    </row>
    <row r="36" spans="1:60" x14ac:dyDescent="0.25">
      <c r="A36" s="34" t="s">
        <v>129</v>
      </c>
      <c r="B36" s="25" t="s">
        <v>201</v>
      </c>
      <c r="C36" s="34" t="s">
        <v>148</v>
      </c>
      <c r="D36" s="27" t="s">
        <v>188</v>
      </c>
      <c r="G36">
        <v>27</v>
      </c>
      <c r="H36">
        <f t="shared" si="0"/>
        <v>0.81</v>
      </c>
      <c r="I36" s="407">
        <f t="shared" si="1"/>
        <v>0.21287124999999998</v>
      </c>
      <c r="J36" s="408">
        <f t="shared" si="2"/>
        <v>1.3410888749999996</v>
      </c>
      <c r="K36" s="408">
        <f t="shared" si="31"/>
        <v>1.4805444374999999</v>
      </c>
      <c r="L36" s="408">
        <f t="shared" si="32"/>
        <v>0.13945556250000024</v>
      </c>
      <c r="M36" s="63">
        <f t="shared" si="3"/>
        <v>0</v>
      </c>
      <c r="N36" s="407">
        <f t="shared" si="4"/>
        <v>0.89776200310590692</v>
      </c>
      <c r="O36" s="407">
        <f t="shared" si="5"/>
        <v>4.0311826866929025E-3</v>
      </c>
      <c r="P36">
        <f t="shared" si="6"/>
        <v>0.2</v>
      </c>
      <c r="Q36" s="407">
        <f t="shared" si="34"/>
        <v>0.2040311826866929</v>
      </c>
      <c r="R36" s="9">
        <f t="shared" si="39"/>
        <v>0.38713901149423108</v>
      </c>
      <c r="S36" s="9">
        <f t="shared" si="7"/>
        <v>1.4987661422073038E-3</v>
      </c>
      <c r="T36" s="9">
        <f t="shared" si="40"/>
        <v>1.4987661422073038E-3</v>
      </c>
      <c r="U36" s="407">
        <f t="shared" si="8"/>
        <v>0.4142091854847435</v>
      </c>
      <c r="V36" s="409">
        <f t="shared" si="9"/>
        <v>3.4313849867986931E-4</v>
      </c>
      <c r="W36" s="407">
        <f t="shared" si="41"/>
        <v>3.4313849867986931E-4</v>
      </c>
      <c r="X36" s="407">
        <f t="shared" si="10"/>
        <v>0.4142091854847435</v>
      </c>
      <c r="Y36" s="407">
        <f t="shared" si="11"/>
        <v>1.0294154960396079E-3</v>
      </c>
      <c r="Z36" s="407">
        <f t="shared" si="12"/>
        <v>5.9230927476406382E-2</v>
      </c>
      <c r="AA36" s="407">
        <f t="shared" si="13"/>
        <v>0.14400000000000002</v>
      </c>
      <c r="AB36" s="407">
        <f t="shared" si="14"/>
        <v>0</v>
      </c>
      <c r="AC36" s="407">
        <f t="shared" si="15"/>
        <v>0.20430240538484226</v>
      </c>
      <c r="AD36" s="407">
        <f t="shared" si="16"/>
        <v>0.7964969333781492</v>
      </c>
      <c r="AE36" s="407">
        <f t="shared" si="17"/>
        <v>3.8064441892847753E-3</v>
      </c>
      <c r="AF36" s="407">
        <f t="shared" si="18"/>
        <v>1.1664000000000001E-2</v>
      </c>
      <c r="AG36" s="407">
        <f t="shared" si="19"/>
        <v>1.5482230638655111E-2</v>
      </c>
      <c r="AH36" s="407">
        <f t="shared" si="20"/>
        <v>0</v>
      </c>
      <c r="AI36">
        <f t="shared" si="21"/>
        <v>0</v>
      </c>
      <c r="AJ36" s="408">
        <f t="shared" si="22"/>
        <v>0.13677229800000001</v>
      </c>
      <c r="AK36">
        <f t="shared" si="23"/>
        <v>4.8000000000000001E-2</v>
      </c>
      <c r="AL36" s="408">
        <f t="shared" si="24"/>
        <v>0.1215</v>
      </c>
      <c r="AM36" s="408">
        <f t="shared" si="25"/>
        <v>0.31645971316818772</v>
      </c>
      <c r="AN36" s="408">
        <f t="shared" si="42"/>
        <v>0.16949999999999998</v>
      </c>
      <c r="AO36" s="408">
        <f t="shared" si="26"/>
        <v>0.73193002135107743</v>
      </c>
      <c r="AP36">
        <f t="shared" si="27"/>
        <v>4.1310000000000002</v>
      </c>
      <c r="AQ36" s="10">
        <f t="shared" si="43"/>
        <v>0.84948785646976599</v>
      </c>
      <c r="AR36" s="63">
        <f t="shared" si="28"/>
        <v>10.215120269242114</v>
      </c>
      <c r="AS36" s="63">
        <f t="shared" si="44"/>
        <v>0.7741115319327555</v>
      </c>
      <c r="AT36" s="10"/>
      <c r="AU36">
        <f t="shared" si="45"/>
        <v>84.948785646976603</v>
      </c>
      <c r="BD36">
        <v>9.9986669999999993</v>
      </c>
      <c r="BE36">
        <v>1.3092999999999999</v>
      </c>
      <c r="BF36">
        <v>5.1195649999999997</v>
      </c>
      <c r="BG36">
        <v>93.690364214923264</v>
      </c>
      <c r="BH36">
        <v>451.42072788069993</v>
      </c>
    </row>
    <row r="37" spans="1:60" x14ac:dyDescent="0.25">
      <c r="A37" s="33" t="s">
        <v>142</v>
      </c>
      <c r="B37" s="5">
        <f>RdsonTop*1000</f>
        <v>6</v>
      </c>
      <c r="C37" s="417" t="s">
        <v>621</v>
      </c>
      <c r="D37" s="31" t="s">
        <v>194</v>
      </c>
      <c r="G37">
        <v>28</v>
      </c>
      <c r="H37">
        <f t="shared" si="0"/>
        <v>0.84000000000000008</v>
      </c>
      <c r="I37" s="407">
        <f t="shared" si="1"/>
        <v>0.21288499999999999</v>
      </c>
      <c r="J37" s="408">
        <f t="shared" si="2"/>
        <v>1.3411754999999994</v>
      </c>
      <c r="K37" s="408">
        <f t="shared" si="31"/>
        <v>1.5105877499999998</v>
      </c>
      <c r="L37" s="408">
        <f t="shared" si="32"/>
        <v>0.16941225000000038</v>
      </c>
      <c r="M37" s="63">
        <f t="shared" si="3"/>
        <v>0</v>
      </c>
      <c r="N37" s="407">
        <f t="shared" si="4"/>
        <v>0.92493025510937166</v>
      </c>
      <c r="O37" s="407">
        <f t="shared" si="5"/>
        <v>4.2789441318793753E-3</v>
      </c>
      <c r="P37">
        <f t="shared" si="6"/>
        <v>0.2</v>
      </c>
      <c r="Q37" s="407">
        <f t="shared" si="34"/>
        <v>0.20427894413187939</v>
      </c>
      <c r="R37" s="9">
        <f t="shared" si="39"/>
        <v>0.38716401797776534</v>
      </c>
      <c r="S37" s="9">
        <f t="shared" si="7"/>
        <v>1.4989597681668741E-3</v>
      </c>
      <c r="T37" s="9">
        <f t="shared" si="40"/>
        <v>1.4989597681668741E-3</v>
      </c>
      <c r="U37" s="407">
        <f t="shared" si="8"/>
        <v>0.42675784822850121</v>
      </c>
      <c r="V37" s="409">
        <f t="shared" si="9"/>
        <v>3.6424452204924097E-4</v>
      </c>
      <c r="W37" s="407">
        <f t="shared" si="41"/>
        <v>3.6424452204924097E-4</v>
      </c>
      <c r="X37" s="407">
        <f t="shared" si="10"/>
        <v>0.42675784822850121</v>
      </c>
      <c r="Y37" s="407">
        <f t="shared" si="11"/>
        <v>1.0927335661477229E-3</v>
      </c>
      <c r="Z37" s="407">
        <f t="shared" si="12"/>
        <v>6.1479166826424889E-2</v>
      </c>
      <c r="AA37" s="407">
        <f t="shared" si="13"/>
        <v>0.14400000000000002</v>
      </c>
      <c r="AB37" s="407">
        <f t="shared" si="14"/>
        <v>0</v>
      </c>
      <c r="AC37" s="407">
        <f t="shared" si="15"/>
        <v>0.20661705587103041</v>
      </c>
      <c r="AD37" s="407">
        <f t="shared" si="16"/>
        <v>0.82059351434925865</v>
      </c>
      <c r="AE37" s="407">
        <f t="shared" si="17"/>
        <v>4.0402422947524016E-3</v>
      </c>
      <c r="AF37" s="407">
        <f t="shared" si="18"/>
        <v>1.2096000000000001E-2</v>
      </c>
      <c r="AG37" s="407">
        <f t="shared" si="19"/>
        <v>1.6149291705027789E-2</v>
      </c>
      <c r="AH37" s="407">
        <f t="shared" si="20"/>
        <v>0</v>
      </c>
      <c r="AI37">
        <f t="shared" si="21"/>
        <v>0</v>
      </c>
      <c r="AJ37" s="408">
        <f t="shared" si="22"/>
        <v>0.136771272</v>
      </c>
      <c r="AK37">
        <f t="shared" si="23"/>
        <v>4.8000000000000001E-2</v>
      </c>
      <c r="AL37" s="408">
        <f t="shared" si="24"/>
        <v>0.1215</v>
      </c>
      <c r="AM37" s="408">
        <f t="shared" si="25"/>
        <v>0.31645971316818772</v>
      </c>
      <c r="AN37" s="408">
        <f t="shared" si="42"/>
        <v>0.16949999999999998</v>
      </c>
      <c r="AO37" s="408">
        <f t="shared" si="26"/>
        <v>0.73517976799815365</v>
      </c>
      <c r="AP37">
        <f t="shared" si="27"/>
        <v>4.2839999999999998</v>
      </c>
      <c r="AQ37" s="10">
        <f t="shared" si="43"/>
        <v>0.8535259141970577</v>
      </c>
      <c r="AR37" s="63">
        <f t="shared" si="28"/>
        <v>10.33085279355152</v>
      </c>
      <c r="AS37" s="63">
        <f t="shared" si="44"/>
        <v>0.80746458525138942</v>
      </c>
      <c r="AT37" s="10"/>
      <c r="AU37">
        <f t="shared" si="45"/>
        <v>85.352591419705774</v>
      </c>
      <c r="BD37">
        <v>9.9985429999999997</v>
      </c>
      <c r="BE37">
        <v>1.6020000000000001</v>
      </c>
      <c r="BF37">
        <v>5.1182809999999996</v>
      </c>
      <c r="BG37">
        <v>93.864473327748414</v>
      </c>
      <c r="BH37">
        <v>535.96589716749952</v>
      </c>
    </row>
    <row r="38" spans="1:60" x14ac:dyDescent="0.25">
      <c r="A38" s="32" t="s">
        <v>152</v>
      </c>
      <c r="B38" s="5">
        <v>4500</v>
      </c>
      <c r="C38" s="417" t="s">
        <v>622</v>
      </c>
      <c r="D38" s="31" t="s">
        <v>193</v>
      </c>
      <c r="G38">
        <v>29</v>
      </c>
      <c r="H38">
        <f t="shared" si="0"/>
        <v>0.86999999999999988</v>
      </c>
      <c r="I38" s="407">
        <f t="shared" si="1"/>
        <v>0.21289874999999994</v>
      </c>
      <c r="J38" s="408">
        <f t="shared" si="2"/>
        <v>1.3412621249999992</v>
      </c>
      <c r="K38" s="408">
        <f t="shared" si="31"/>
        <v>1.5406310624999995</v>
      </c>
      <c r="L38" s="408">
        <f t="shared" si="32"/>
        <v>0.19936893750000029</v>
      </c>
      <c r="M38" s="63">
        <f t="shared" si="3"/>
        <v>0</v>
      </c>
      <c r="N38" s="407">
        <f t="shared" si="4"/>
        <v>0.9522685234025603</v>
      </c>
      <c r="O38" s="407">
        <f t="shared" si="5"/>
        <v>4.5357219282066551E-3</v>
      </c>
      <c r="P38">
        <f t="shared" si="6"/>
        <v>0.2</v>
      </c>
      <c r="Q38" s="407">
        <f t="shared" si="34"/>
        <v>0.20453572192820665</v>
      </c>
      <c r="R38" s="9">
        <f t="shared" si="39"/>
        <v>0.38718902446129955</v>
      </c>
      <c r="S38" s="9">
        <f t="shared" si="7"/>
        <v>1.4991534066329283E-3</v>
      </c>
      <c r="T38" s="9">
        <f t="shared" si="40"/>
        <v>1.4991534066329283E-3</v>
      </c>
      <c r="U38" s="407">
        <f t="shared" si="8"/>
        <v>0.43938576730253692</v>
      </c>
      <c r="V38" s="409">
        <f t="shared" si="9"/>
        <v>3.8611970501607821E-4</v>
      </c>
      <c r="W38" s="407">
        <f t="shared" si="41"/>
        <v>3.8611970501607821E-4</v>
      </c>
      <c r="X38" s="407">
        <f t="shared" si="10"/>
        <v>0.43938576730253692</v>
      </c>
      <c r="Y38" s="407">
        <f t="shared" si="11"/>
        <v>1.1583591150482347E-3</v>
      </c>
      <c r="Z38" s="407">
        <f t="shared" si="12"/>
        <v>6.3727406176443388E-2</v>
      </c>
      <c r="AA38" s="407">
        <f t="shared" si="13"/>
        <v>0.14400000000000002</v>
      </c>
      <c r="AB38" s="407">
        <f t="shared" si="14"/>
        <v>0</v>
      </c>
      <c r="AC38" s="407">
        <f t="shared" si="15"/>
        <v>0.20893416945141749</v>
      </c>
      <c r="AD38" s="407">
        <f t="shared" si="16"/>
        <v>0.84484051048422948</v>
      </c>
      <c r="AE38" s="407">
        <f t="shared" si="17"/>
        <v>4.2825329289315206E-3</v>
      </c>
      <c r="AF38" s="407">
        <f t="shared" si="18"/>
        <v>1.2527999999999997E-2</v>
      </c>
      <c r="AG38" s="407">
        <f t="shared" si="19"/>
        <v>1.682494360393377E-2</v>
      </c>
      <c r="AH38" s="407">
        <f t="shared" si="20"/>
        <v>0</v>
      </c>
      <c r="AI38">
        <f t="shared" si="21"/>
        <v>0</v>
      </c>
      <c r="AJ38" s="408">
        <f t="shared" si="22"/>
        <v>0.13677024599999998</v>
      </c>
      <c r="AK38">
        <f t="shared" si="23"/>
        <v>4.8000000000000001E-2</v>
      </c>
      <c r="AL38" s="408">
        <f t="shared" si="24"/>
        <v>0.1215</v>
      </c>
      <c r="AM38" s="408">
        <f t="shared" si="25"/>
        <v>0.31645971316818772</v>
      </c>
      <c r="AN38" s="408">
        <f t="shared" si="42"/>
        <v>0.16949999999999998</v>
      </c>
      <c r="AO38" s="408">
        <f t="shared" si="26"/>
        <v>0.73845035409520687</v>
      </c>
      <c r="AP38">
        <f t="shared" si="27"/>
        <v>4.4369999999999994</v>
      </c>
      <c r="AQ38" s="10">
        <f t="shared" si="43"/>
        <v>0.85731669640867303</v>
      </c>
      <c r="AR38" s="63">
        <f t="shared" si="28"/>
        <v>10.446708472570874</v>
      </c>
      <c r="AS38" s="63">
        <f t="shared" si="44"/>
        <v>0.84124718019668843</v>
      </c>
      <c r="AT38" s="10"/>
      <c r="AU38">
        <f t="shared" si="45"/>
        <v>85.73166964086731</v>
      </c>
      <c r="BD38">
        <v>9.9985429999999997</v>
      </c>
      <c r="BE38">
        <v>1.9350000000000001</v>
      </c>
      <c r="BF38">
        <v>5.117146</v>
      </c>
      <c r="BG38">
        <v>94.224527198076927</v>
      </c>
      <c r="BH38">
        <v>606.92116405899924</v>
      </c>
    </row>
    <row r="39" spans="1:60" x14ac:dyDescent="0.25">
      <c r="A39" s="33" t="s">
        <v>141</v>
      </c>
      <c r="B39" s="5">
        <f>QgTop*1000000000</f>
        <v>27</v>
      </c>
      <c r="C39" s="417" t="s">
        <v>136</v>
      </c>
      <c r="D39" s="31" t="s">
        <v>180</v>
      </c>
      <c r="G39">
        <v>30</v>
      </c>
      <c r="H39">
        <f t="shared" si="0"/>
        <v>0.89999999999999991</v>
      </c>
      <c r="I39" s="407">
        <f t="shared" si="1"/>
        <v>0.21291249999999998</v>
      </c>
      <c r="J39" s="408">
        <f t="shared" si="2"/>
        <v>1.3413487499999996</v>
      </c>
      <c r="K39" s="408">
        <f t="shared" si="31"/>
        <v>1.5706743749999998</v>
      </c>
      <c r="L39" s="408">
        <f t="shared" si="32"/>
        <v>0.22932562500000009</v>
      </c>
      <c r="M39" s="63">
        <f t="shared" si="3"/>
        <v>0</v>
      </c>
      <c r="N39" s="407">
        <f t="shared" si="4"/>
        <v>0.97976257621964036</v>
      </c>
      <c r="O39" s="407">
        <f t="shared" si="5"/>
        <v>4.8015171859975914E-3</v>
      </c>
      <c r="P39">
        <f t="shared" si="6"/>
        <v>0.2</v>
      </c>
      <c r="Q39" s="407">
        <f t="shared" si="34"/>
        <v>0.20480151718599759</v>
      </c>
      <c r="R39" s="9">
        <f t="shared" si="39"/>
        <v>0.38721403094483392</v>
      </c>
      <c r="S39" s="9">
        <f t="shared" si="7"/>
        <v>1.499347057605468E-3</v>
      </c>
      <c r="T39" s="9">
        <f t="shared" si="40"/>
        <v>1.499347057605468E-3</v>
      </c>
      <c r="U39" s="407">
        <f t="shared" si="8"/>
        <v>0.45208638338291318</v>
      </c>
      <c r="V39" s="409">
        <f t="shared" si="9"/>
        <v>4.0876419608048469E-4</v>
      </c>
      <c r="W39" s="407">
        <f t="shared" si="41"/>
        <v>4.0876419608048469E-4</v>
      </c>
      <c r="X39" s="407">
        <f t="shared" si="10"/>
        <v>0.45208638338291318</v>
      </c>
      <c r="Y39" s="407">
        <f t="shared" si="11"/>
        <v>1.2262925882414542E-3</v>
      </c>
      <c r="Z39" s="407">
        <f t="shared" si="12"/>
        <v>6.5975645526461901E-2</v>
      </c>
      <c r="AA39" s="407">
        <f t="shared" si="13"/>
        <v>0.14400000000000002</v>
      </c>
      <c r="AB39" s="407">
        <f t="shared" si="14"/>
        <v>0</v>
      </c>
      <c r="AC39" s="407">
        <f t="shared" si="15"/>
        <v>0.21125374989625056</v>
      </c>
      <c r="AD39" s="407">
        <f t="shared" si="16"/>
        <v>0.86922529169387619</v>
      </c>
      <c r="AE39" s="407">
        <f t="shared" si="17"/>
        <v>4.5333156463218255E-3</v>
      </c>
      <c r="AF39" s="407">
        <f t="shared" si="18"/>
        <v>1.2959999999999998E-2</v>
      </c>
      <c r="AG39" s="407">
        <f t="shared" si="19"/>
        <v>1.7509190583847461E-2</v>
      </c>
      <c r="AH39" s="407">
        <f t="shared" si="20"/>
        <v>0</v>
      </c>
      <c r="AI39">
        <f t="shared" si="21"/>
        <v>0</v>
      </c>
      <c r="AJ39" s="408">
        <f t="shared" si="22"/>
        <v>0.13676922</v>
      </c>
      <c r="AK39">
        <f t="shared" si="23"/>
        <v>4.8000000000000001E-2</v>
      </c>
      <c r="AL39" s="408">
        <f t="shared" si="24"/>
        <v>0.1215</v>
      </c>
      <c r="AM39" s="408">
        <f t="shared" si="25"/>
        <v>0.31645971316818772</v>
      </c>
      <c r="AN39" s="408">
        <f t="shared" si="42"/>
        <v>0.16949999999999998</v>
      </c>
      <c r="AO39" s="408">
        <f t="shared" si="26"/>
        <v>0.7417417889197816</v>
      </c>
      <c r="AP39">
        <f t="shared" si="27"/>
        <v>4.589999999999999</v>
      </c>
      <c r="AQ39" s="10">
        <f t="shared" si="43"/>
        <v>0.86088189970841411</v>
      </c>
      <c r="AR39" s="63">
        <f t="shared" si="28"/>
        <v>10.562687494812529</v>
      </c>
      <c r="AS39" s="63">
        <f t="shared" si="44"/>
        <v>0.87545952919237302</v>
      </c>
      <c r="AT39" s="10"/>
      <c r="AU39">
        <f t="shared" si="45"/>
        <v>86.088189970841412</v>
      </c>
      <c r="BD39">
        <v>9.9985060000000008</v>
      </c>
      <c r="BE39">
        <v>2.31</v>
      </c>
      <c r="BF39">
        <v>5.1166349999999996</v>
      </c>
      <c r="BG39">
        <v>94.492663502717292</v>
      </c>
      <c r="BH39">
        <v>688.87413060200208</v>
      </c>
    </row>
    <row r="40" spans="1:60" x14ac:dyDescent="0.25">
      <c r="A40" s="33" t="s">
        <v>218</v>
      </c>
      <c r="B40" s="5">
        <f>QgdTop*1000000000</f>
        <v>9</v>
      </c>
      <c r="C40" s="417" t="s">
        <v>136</v>
      </c>
      <c r="D40" s="31" t="s">
        <v>219</v>
      </c>
      <c r="G40">
        <v>31</v>
      </c>
      <c r="H40">
        <f t="shared" si="0"/>
        <v>0.92999999999999994</v>
      </c>
      <c r="I40" s="407">
        <f t="shared" si="1"/>
        <v>0.21292624999999998</v>
      </c>
      <c r="J40" s="408">
        <f t="shared" si="2"/>
        <v>1.3414353749999994</v>
      </c>
      <c r="K40" s="408">
        <f t="shared" si="31"/>
        <v>1.6007176874999995</v>
      </c>
      <c r="L40" s="408">
        <f t="shared" si="32"/>
        <v>0.25928231250000022</v>
      </c>
      <c r="M40" s="63">
        <f t="shared" si="3"/>
        <v>0</v>
      </c>
      <c r="N40" s="407">
        <f t="shared" si="4"/>
        <v>1.0073996585806693</v>
      </c>
      <c r="O40" s="407">
        <f t="shared" si="5"/>
        <v>5.0763310546391134E-3</v>
      </c>
      <c r="P40">
        <f t="shared" si="6"/>
        <v>0.2</v>
      </c>
      <c r="Q40" s="407">
        <f t="shared" si="34"/>
        <v>0.20507633105463913</v>
      </c>
      <c r="R40" s="9">
        <f t="shared" si="39"/>
        <v>0.38723903742836813</v>
      </c>
      <c r="S40" s="9">
        <f t="shared" si="7"/>
        <v>1.4995407210844911E-3</v>
      </c>
      <c r="T40" s="9">
        <f t="shared" si="40"/>
        <v>1.4995407210844911E-3</v>
      </c>
      <c r="U40" s="407">
        <f t="shared" si="8"/>
        <v>0.46485381774411794</v>
      </c>
      <c r="V40" s="409">
        <f t="shared" si="9"/>
        <v>4.3217814374256323E-4</v>
      </c>
      <c r="W40" s="407">
        <f t="shared" si="41"/>
        <v>4.3217814374256323E-4</v>
      </c>
      <c r="X40" s="407">
        <f t="shared" si="10"/>
        <v>0.46485381774411794</v>
      </c>
      <c r="Y40" s="407">
        <f t="shared" si="11"/>
        <v>1.2965344312276899E-3</v>
      </c>
      <c r="Z40" s="407">
        <f t="shared" si="12"/>
        <v>6.8223884876480401E-2</v>
      </c>
      <c r="AA40" s="407">
        <f t="shared" si="13"/>
        <v>0.14400000000000002</v>
      </c>
      <c r="AB40" s="407">
        <f t="shared" si="14"/>
        <v>0</v>
      </c>
      <c r="AC40" s="407">
        <f t="shared" si="15"/>
        <v>0.21357580098363857</v>
      </c>
      <c r="AD40" s="407">
        <f t="shared" si="16"/>
        <v>0.89373653849284207</v>
      </c>
      <c r="AE40" s="407">
        <f t="shared" si="17"/>
        <v>4.7925900014230043E-3</v>
      </c>
      <c r="AF40" s="407">
        <f t="shared" si="18"/>
        <v>1.3391999999999999E-2</v>
      </c>
      <c r="AG40" s="407">
        <f t="shared" si="19"/>
        <v>1.820203698151163E-2</v>
      </c>
      <c r="AH40" s="407">
        <f t="shared" si="20"/>
        <v>0</v>
      </c>
      <c r="AI40">
        <f t="shared" si="21"/>
        <v>0</v>
      </c>
      <c r="AJ40" s="408">
        <f t="shared" si="22"/>
        <v>0.13676819400000001</v>
      </c>
      <c r="AK40">
        <f t="shared" si="23"/>
        <v>4.8000000000000001E-2</v>
      </c>
      <c r="AL40" s="408">
        <f t="shared" si="24"/>
        <v>0.1215</v>
      </c>
      <c r="AM40" s="408">
        <f t="shared" si="25"/>
        <v>0.31645971316818772</v>
      </c>
      <c r="AN40" s="408">
        <f t="shared" si="42"/>
        <v>0.16949999999999998</v>
      </c>
      <c r="AO40" s="408">
        <f t="shared" si="26"/>
        <v>0.74505408188461641</v>
      </c>
      <c r="AP40">
        <f t="shared" si="27"/>
        <v>4.7429999999999994</v>
      </c>
      <c r="AQ40" s="10">
        <f t="shared" si="43"/>
        <v>0.86424075441531323</v>
      </c>
      <c r="AR40" s="63">
        <f t="shared" si="28"/>
        <v>10.678790049181929</v>
      </c>
      <c r="AS40" s="63">
        <f t="shared" si="44"/>
        <v>0.91010184907558156</v>
      </c>
      <c r="AT40" s="10"/>
      <c r="AU40">
        <f t="shared" si="45"/>
        <v>86.424075441531329</v>
      </c>
      <c r="BD40">
        <v>9.9984319999999993</v>
      </c>
      <c r="BE40">
        <v>2.7269999999999999</v>
      </c>
      <c r="BF40">
        <v>5.115812</v>
      </c>
      <c r="BG40">
        <v>94.558770424517263</v>
      </c>
      <c r="BH40">
        <v>802.77694931200062</v>
      </c>
    </row>
    <row r="41" spans="1:60" x14ac:dyDescent="0.25">
      <c r="A41" s="33" t="s">
        <v>236</v>
      </c>
      <c r="B41" s="5">
        <f>QgsTop*1000000000</f>
        <v>8</v>
      </c>
      <c r="C41" s="417" t="s">
        <v>136</v>
      </c>
      <c r="D41" s="417" t="s">
        <v>721</v>
      </c>
      <c r="G41">
        <v>32</v>
      </c>
      <c r="H41">
        <f t="shared" si="0"/>
        <v>0.96</v>
      </c>
      <c r="I41" s="407">
        <f t="shared" si="1"/>
        <v>0.21294000000000002</v>
      </c>
      <c r="J41" s="408">
        <f t="shared" si="2"/>
        <v>1.3415219999999999</v>
      </c>
      <c r="K41" s="408">
        <f t="shared" si="31"/>
        <v>1.6307609999999999</v>
      </c>
      <c r="L41" s="408">
        <f t="shared" si="32"/>
        <v>0.28923900000000002</v>
      </c>
      <c r="M41" s="63">
        <f t="shared" si="3"/>
        <v>0</v>
      </c>
      <c r="N41" s="407">
        <f t="shared" ref="N41:N72" si="46">SQRT(H41^2+(J41^2)/12)</f>
        <v>1.0351683146749615</v>
      </c>
      <c r="O41" s="407">
        <f t="shared" si="5"/>
        <v>5.3601647225946757E-3</v>
      </c>
      <c r="P41">
        <f t="shared" si="6"/>
        <v>0.2</v>
      </c>
      <c r="Q41" s="407">
        <f t="shared" si="34"/>
        <v>0.20536016472259469</v>
      </c>
      <c r="R41" s="9">
        <f t="shared" si="39"/>
        <v>0.38726404391190256</v>
      </c>
      <c r="S41" s="9">
        <f t="shared" si="7"/>
        <v>1.4997343970700001E-3</v>
      </c>
      <c r="T41" s="9">
        <f t="shared" si="40"/>
        <v>1.4997343970700001E-3</v>
      </c>
      <c r="U41" s="407">
        <f t="shared" ref="U41:U72" si="47">SQRT(I41)*SQRT(H41^2+(J41^2)/12)</f>
        <v>0.47768279040719969</v>
      </c>
      <c r="V41" s="409">
        <f t="shared" si="9"/>
        <v>4.5636169650241734E-4</v>
      </c>
      <c r="W41" s="407">
        <f t="shared" si="41"/>
        <v>4.5636169650241734E-4</v>
      </c>
      <c r="X41" s="407">
        <f t="shared" ref="X41:X72" si="48">SQRT(I41)*SQRT(H41^2+(J41^2)/12)</f>
        <v>0.47768279040719969</v>
      </c>
      <c r="Y41" s="407">
        <f t="shared" si="11"/>
        <v>1.369085089507252E-3</v>
      </c>
      <c r="Z41" s="407">
        <f t="shared" si="12"/>
        <v>7.04721242264989E-2</v>
      </c>
      <c r="AA41" s="407">
        <f t="shared" si="13"/>
        <v>0.14400000000000002</v>
      </c>
      <c r="AB41" s="407">
        <f t="shared" si="14"/>
        <v>0</v>
      </c>
      <c r="AC41" s="407">
        <f t="shared" ref="AC41:AC72" si="49">(AB41+AA41+Z41+Y41*(1+RdsonTopTc*Ta-RdsonTopTc*25))/(1-Y41*RdsonTopTc*ThetaJaTop)</f>
        <v>0.21590032649957222</v>
      </c>
      <c r="AD41" s="407">
        <f t="shared" ref="AD41:AD72" si="50">SQRT(1-I41)*SQRT(H41^2+(J41^2)/12)</f>
        <v>0.91836408436730121</v>
      </c>
      <c r="AE41" s="407">
        <f t="shared" si="17"/>
        <v>5.0603555487347494E-3</v>
      </c>
      <c r="AF41" s="407">
        <f t="shared" si="18"/>
        <v>1.3823999999999999E-2</v>
      </c>
      <c r="AG41" s="407">
        <f t="shared" ref="AG41:AG72" si="51">(AF41+AE41*(1+RdsonBotTc*Ta-RdsonBotTc*25))/(1-AE41*RdsonBotTc*ThetaJaBot)</f>
        <v>1.8903487222025634E-2</v>
      </c>
      <c r="AH41" s="407">
        <f t="shared" ref="AH41:AH72" si="52">IF(RDSON_sense=1, 0, AD41^2*Rshunt)</f>
        <v>0</v>
      </c>
      <c r="AI41">
        <f t="shared" si="21"/>
        <v>0</v>
      </c>
      <c r="AJ41" s="408">
        <f t="shared" si="22"/>
        <v>0.13676716800000002</v>
      </c>
      <c r="AK41">
        <f t="shared" si="23"/>
        <v>4.8000000000000001E-2</v>
      </c>
      <c r="AL41" s="408">
        <f t="shared" si="24"/>
        <v>0.1215</v>
      </c>
      <c r="AM41" s="408">
        <f t="shared" si="25"/>
        <v>0.31645971316818772</v>
      </c>
      <c r="AN41" s="408">
        <f t="shared" si="42"/>
        <v>0.16949999999999998</v>
      </c>
      <c r="AO41" s="408">
        <f t="shared" ref="AO41:AO72" si="53">SUM(Q41,T41,W41,AC41,AJ41,AI41,AG41,AN41, AH41)</f>
        <v>0.7483872425377649</v>
      </c>
      <c r="AP41">
        <f t="shared" si="27"/>
        <v>4.8959999999999999</v>
      </c>
      <c r="AQ41" s="10">
        <f t="shared" si="43"/>
        <v>0.86741036530986071</v>
      </c>
      <c r="AR41" s="63">
        <f t="shared" ref="AR41:AR72" si="54">ThetaJaTop*AC41</f>
        <v>10.795016324978612</v>
      </c>
      <c r="AS41" s="63">
        <f t="shared" si="44"/>
        <v>0.94517436110128172</v>
      </c>
      <c r="AT41" s="10"/>
      <c r="AU41">
        <f t="shared" si="45"/>
        <v>86.741036530986065</v>
      </c>
      <c r="BD41">
        <v>9.9985180000000007</v>
      </c>
      <c r="BE41">
        <v>3.1859999999999999</v>
      </c>
      <c r="BF41">
        <v>5.1148889999999998</v>
      </c>
      <c r="BG41">
        <v>94.58411932633652</v>
      </c>
      <c r="BH41">
        <v>933.10990806000302</v>
      </c>
    </row>
    <row r="42" spans="1:60" x14ac:dyDescent="0.25">
      <c r="A42" s="33" t="s">
        <v>168</v>
      </c>
      <c r="B42" s="5">
        <f>RGateTop</f>
        <v>2</v>
      </c>
      <c r="C42" s="416" t="s">
        <v>208</v>
      </c>
      <c r="D42" s="31" t="s">
        <v>181</v>
      </c>
      <c r="G42">
        <v>33</v>
      </c>
      <c r="H42">
        <f t="shared" si="0"/>
        <v>0.99</v>
      </c>
      <c r="I42" s="407">
        <f t="shared" si="1"/>
        <v>0.21295374999999997</v>
      </c>
      <c r="J42" s="408">
        <f t="shared" si="2"/>
        <v>1.3416086249999997</v>
      </c>
      <c r="K42" s="408">
        <f t="shared" si="31"/>
        <v>1.6608043124999998</v>
      </c>
      <c r="L42" s="408">
        <f t="shared" si="32"/>
        <v>0.31919568750000016</v>
      </c>
      <c r="M42" s="63">
        <f t="shared" si="3"/>
        <v>0</v>
      </c>
      <c r="N42" s="407">
        <f t="shared" si="46"/>
        <v>1.0630582338499615</v>
      </c>
      <c r="O42" s="407">
        <f t="shared" si="5"/>
        <v>5.6530194174170979E-3</v>
      </c>
      <c r="P42">
        <f t="shared" si="6"/>
        <v>0.2</v>
      </c>
      <c r="Q42" s="407">
        <f t="shared" si="34"/>
        <v>0.20565301941741712</v>
      </c>
      <c r="R42" s="9">
        <f t="shared" si="39"/>
        <v>0.38728905039543676</v>
      </c>
      <c r="S42" s="9">
        <f t="shared" si="7"/>
        <v>1.4999280855619915E-3</v>
      </c>
      <c r="T42" s="9">
        <f t="shared" si="40"/>
        <v>1.4999280855619915E-3</v>
      </c>
      <c r="U42" s="407">
        <f t="shared" si="47"/>
        <v>0.49056854916522596</v>
      </c>
      <c r="V42" s="409">
        <f t="shared" si="9"/>
        <v>4.8131500286014946E-4</v>
      </c>
      <c r="W42" s="407">
        <f t="shared" si="41"/>
        <v>4.8131500286014946E-4</v>
      </c>
      <c r="X42" s="407">
        <f t="shared" si="48"/>
        <v>0.49056854916522596</v>
      </c>
      <c r="Y42" s="407">
        <f t="shared" si="11"/>
        <v>1.4439450085804483E-3</v>
      </c>
      <c r="Z42" s="407">
        <f t="shared" si="12"/>
        <v>7.2720363576517399E-2</v>
      </c>
      <c r="AA42" s="407">
        <f t="shared" si="13"/>
        <v>0.14400000000000002</v>
      </c>
      <c r="AB42" s="407">
        <f t="shared" si="14"/>
        <v>0</v>
      </c>
      <c r="AC42" s="407">
        <f t="shared" si="49"/>
        <v>0.21822733023794447</v>
      </c>
      <c r="AD42" s="407">
        <f t="shared" si="50"/>
        <v>0.94309877909269113</v>
      </c>
      <c r="AE42" s="407">
        <f t="shared" si="17"/>
        <v>5.3366118427567479E-3</v>
      </c>
      <c r="AF42" s="407">
        <f t="shared" si="18"/>
        <v>1.4256E-2</v>
      </c>
      <c r="AG42" s="407">
        <f t="shared" si="51"/>
        <v>1.9613545818935905E-2</v>
      </c>
      <c r="AH42" s="407">
        <f t="shared" si="52"/>
        <v>0</v>
      </c>
      <c r="AI42">
        <f t="shared" si="21"/>
        <v>0</v>
      </c>
      <c r="AJ42" s="408">
        <f t="shared" si="22"/>
        <v>0.13676614200000001</v>
      </c>
      <c r="AK42">
        <f t="shared" si="23"/>
        <v>4.8000000000000001E-2</v>
      </c>
      <c r="AL42" s="408">
        <f t="shared" si="24"/>
        <v>0.1215</v>
      </c>
      <c r="AM42" s="408">
        <f t="shared" si="25"/>
        <v>0.31645971316818772</v>
      </c>
      <c r="AN42" s="408">
        <f t="shared" si="42"/>
        <v>0.16949999999999998</v>
      </c>
      <c r="AO42" s="408">
        <f t="shared" si="53"/>
        <v>0.7517412805627196</v>
      </c>
      <c r="AP42">
        <f t="shared" si="27"/>
        <v>5.0489999999999995</v>
      </c>
      <c r="AQ42" s="10">
        <f t="shared" si="43"/>
        <v>0.87040599740559454</v>
      </c>
      <c r="AR42" s="63">
        <f t="shared" si="54"/>
        <v>10.911366511897223</v>
      </c>
      <c r="AS42" s="63">
        <f t="shared" si="44"/>
        <v>0.98067729094679523</v>
      </c>
      <c r="AT42" s="10"/>
      <c r="AU42">
        <f t="shared" si="45"/>
        <v>87.040599740559458</v>
      </c>
      <c r="BD42">
        <v>9.9984190000000002</v>
      </c>
      <c r="BE42">
        <v>3.6920000000000002</v>
      </c>
      <c r="BF42">
        <v>5.1137540000000001</v>
      </c>
      <c r="BG42">
        <v>94.441363374789603</v>
      </c>
      <c r="BH42">
        <v>1111.2391205219994</v>
      </c>
    </row>
    <row r="43" spans="1:60" x14ac:dyDescent="0.25">
      <c r="A43" s="33" t="s">
        <v>140</v>
      </c>
      <c r="B43" s="5">
        <f>GmTop</f>
        <v>100</v>
      </c>
      <c r="C43" s="417" t="s">
        <v>137</v>
      </c>
      <c r="D43" s="31" t="s">
        <v>182</v>
      </c>
      <c r="G43">
        <v>34</v>
      </c>
      <c r="H43">
        <f t="shared" si="0"/>
        <v>1.02</v>
      </c>
      <c r="I43" s="407">
        <f t="shared" si="1"/>
        <v>0.21296749999999998</v>
      </c>
      <c r="J43" s="408">
        <f t="shared" si="2"/>
        <v>1.3416952499999997</v>
      </c>
      <c r="K43" s="408">
        <f t="shared" si="31"/>
        <v>1.690847625</v>
      </c>
      <c r="L43" s="408">
        <f t="shared" si="32"/>
        <v>0.34915237500000018</v>
      </c>
      <c r="M43" s="63">
        <f t="shared" si="3"/>
        <v>0</v>
      </c>
      <c r="N43" s="407">
        <f t="shared" si="46"/>
        <v>1.0910601168845129</v>
      </c>
      <c r="O43" s="407">
        <f t="shared" si="5"/>
        <v>5.9548964057618567E-3</v>
      </c>
      <c r="P43">
        <f t="shared" si="6"/>
        <v>0.2</v>
      </c>
      <c r="Q43" s="407">
        <f t="shared" si="34"/>
        <v>0.20595489640576187</v>
      </c>
      <c r="R43" s="9">
        <f t="shared" si="39"/>
        <v>0.38731405687897102</v>
      </c>
      <c r="S43" s="9">
        <f t="shared" si="7"/>
        <v>1.5001217865604679E-3</v>
      </c>
      <c r="T43" s="9">
        <f t="shared" si="40"/>
        <v>1.5001217865604679E-3</v>
      </c>
      <c r="U43" s="407">
        <f t="shared" si="47"/>
        <v>0.50350680795589209</v>
      </c>
      <c r="V43" s="409">
        <f t="shared" si="9"/>
        <v>5.0703821131586327E-4</v>
      </c>
      <c r="W43" s="407">
        <f t="shared" si="41"/>
        <v>5.0703821131586327E-4</v>
      </c>
      <c r="X43" s="407">
        <f t="shared" si="48"/>
        <v>0.50350680795589209</v>
      </c>
      <c r="Y43" s="407">
        <f t="shared" si="11"/>
        <v>1.5211146339475898E-3</v>
      </c>
      <c r="Z43" s="407">
        <f t="shared" si="12"/>
        <v>7.4968602926535927E-2</v>
      </c>
      <c r="AA43" s="407">
        <f t="shared" si="13"/>
        <v>0.14400000000000002</v>
      </c>
      <c r="AB43" s="407">
        <f t="shared" si="14"/>
        <v>0</v>
      </c>
      <c r="AC43" s="407">
        <f t="shared" si="49"/>
        <v>0.22055681600057059</v>
      </c>
      <c r="AD43" s="407">
        <f t="shared" si="50"/>
        <v>0.96793237005387689</v>
      </c>
      <c r="AE43" s="407">
        <f t="shared" si="17"/>
        <v>5.6213584379886921E-3</v>
      </c>
      <c r="AF43" s="407">
        <f t="shared" si="18"/>
        <v>1.4688E-2</v>
      </c>
      <c r="AG43" s="407">
        <f t="shared" si="51"/>
        <v>2.0332217374328734E-2</v>
      </c>
      <c r="AH43" s="407">
        <f t="shared" si="52"/>
        <v>0</v>
      </c>
      <c r="AI43">
        <f t="shared" si="21"/>
        <v>0</v>
      </c>
      <c r="AJ43" s="408">
        <f t="shared" si="22"/>
        <v>0.13676511600000002</v>
      </c>
      <c r="AK43">
        <f t="shared" si="23"/>
        <v>4.8000000000000001E-2</v>
      </c>
      <c r="AL43" s="408">
        <f t="shared" si="24"/>
        <v>0.1215</v>
      </c>
      <c r="AM43" s="408">
        <f t="shared" si="25"/>
        <v>0.31645971316818772</v>
      </c>
      <c r="AN43" s="408">
        <f t="shared" si="42"/>
        <v>0.16949999999999998</v>
      </c>
      <c r="AO43" s="408">
        <f t="shared" si="53"/>
        <v>0.75511620577853766</v>
      </c>
      <c r="AP43">
        <f t="shared" si="27"/>
        <v>5.202</v>
      </c>
      <c r="AQ43" s="10">
        <f t="shared" si="43"/>
        <v>0.87324131682271744</v>
      </c>
      <c r="AR43" s="63">
        <f t="shared" si="54"/>
        <v>11.02784080002853</v>
      </c>
      <c r="AS43" s="63">
        <f t="shared" si="44"/>
        <v>1.0166108687164368</v>
      </c>
      <c r="AT43" s="10"/>
      <c r="AU43">
        <f t="shared" si="45"/>
        <v>87.324131682271741</v>
      </c>
      <c r="BD43">
        <v>9.998246</v>
      </c>
      <c r="BE43">
        <v>4.2430000000000003</v>
      </c>
      <c r="BF43">
        <v>5.1120590000000004</v>
      </c>
      <c r="BG43">
        <v>94.267178615859891</v>
      </c>
      <c r="BH43">
        <v>1319.0970775599953</v>
      </c>
    </row>
    <row r="44" spans="1:60" x14ac:dyDescent="0.25">
      <c r="A44" s="33" t="s">
        <v>170</v>
      </c>
      <c r="B44" s="5">
        <f>VthTop</f>
        <v>3.8</v>
      </c>
      <c r="C44" s="417" t="s">
        <v>0</v>
      </c>
      <c r="D44" s="31" t="s">
        <v>183</v>
      </c>
      <c r="G44">
        <v>35</v>
      </c>
      <c r="H44">
        <f t="shared" si="0"/>
        <v>1.0499999999999998</v>
      </c>
      <c r="I44" s="407">
        <f t="shared" si="1"/>
        <v>0.21298125000000001</v>
      </c>
      <c r="J44" s="408">
        <f t="shared" si="2"/>
        <v>1.3417818749999997</v>
      </c>
      <c r="K44" s="408">
        <f t="shared" si="31"/>
        <v>1.7208909374999997</v>
      </c>
      <c r="L44" s="408">
        <f t="shared" si="32"/>
        <v>0.37910906249999998</v>
      </c>
      <c r="M44" s="63">
        <f t="shared" si="3"/>
        <v>0</v>
      </c>
      <c r="N44" s="407">
        <f t="shared" si="46"/>
        <v>1.1191655596946068</v>
      </c>
      <c r="O44" s="407">
        <f t="shared" si="5"/>
        <v>6.2657969934007815E-3</v>
      </c>
      <c r="P44">
        <f t="shared" si="6"/>
        <v>0.2</v>
      </c>
      <c r="Q44" s="407">
        <f t="shared" si="34"/>
        <v>0.20626579699340078</v>
      </c>
      <c r="R44" s="9">
        <f t="shared" si="39"/>
        <v>0.38733906336250534</v>
      </c>
      <c r="S44" s="9">
        <f t="shared" si="7"/>
        <v>1.5003155000654293E-3</v>
      </c>
      <c r="T44" s="9">
        <f t="shared" si="40"/>
        <v>1.5003155000654293E-3</v>
      </c>
      <c r="U44" s="407">
        <f t="shared" si="47"/>
        <v>0.51649369326723726</v>
      </c>
      <c r="V44" s="409">
        <f t="shared" si="9"/>
        <v>5.3353147036966201E-4</v>
      </c>
      <c r="W44" s="407">
        <f t="shared" si="41"/>
        <v>5.3353147036966201E-4</v>
      </c>
      <c r="X44" s="407">
        <f t="shared" si="48"/>
        <v>0.51649369326723726</v>
      </c>
      <c r="Y44" s="407">
        <f t="shared" si="11"/>
        <v>1.6005944111089859E-3</v>
      </c>
      <c r="Z44" s="407">
        <f t="shared" si="12"/>
        <v>7.7216842276554398E-2</v>
      </c>
      <c r="AA44" s="407">
        <f t="shared" si="13"/>
        <v>0.14400000000000002</v>
      </c>
      <c r="AB44" s="407">
        <f t="shared" si="14"/>
        <v>0</v>
      </c>
      <c r="AC44" s="407">
        <f t="shared" si="49"/>
        <v>0.22288878759720882</v>
      </c>
      <c r="AD44" s="407">
        <f t="shared" si="50"/>
        <v>0.99285739903659453</v>
      </c>
      <c r="AE44" s="407">
        <f t="shared" si="17"/>
        <v>5.9145948889302693E-3</v>
      </c>
      <c r="AF44" s="407">
        <f t="shared" si="18"/>
        <v>1.5119999999999996E-2</v>
      </c>
      <c r="AG44" s="407">
        <f t="shared" si="51"/>
        <v>2.1059506578925288E-2</v>
      </c>
      <c r="AH44" s="407">
        <f t="shared" si="52"/>
        <v>0</v>
      </c>
      <c r="AI44">
        <f t="shared" si="21"/>
        <v>0</v>
      </c>
      <c r="AJ44" s="408">
        <f t="shared" si="22"/>
        <v>0.13676409</v>
      </c>
      <c r="AK44">
        <f t="shared" si="23"/>
        <v>4.8000000000000001E-2</v>
      </c>
      <c r="AL44" s="408">
        <f t="shared" si="24"/>
        <v>0.1215</v>
      </c>
      <c r="AM44" s="408">
        <f t="shared" si="25"/>
        <v>0.31645971316818772</v>
      </c>
      <c r="AN44" s="408">
        <f t="shared" si="42"/>
        <v>0.16949999999999998</v>
      </c>
      <c r="AO44" s="408">
        <f t="shared" si="53"/>
        <v>0.75851202813996998</v>
      </c>
      <c r="AP44">
        <f t="shared" si="27"/>
        <v>5.3549999999999986</v>
      </c>
      <c r="AQ44" s="10">
        <f t="shared" si="43"/>
        <v>0.87592859478339058</v>
      </c>
      <c r="AR44" s="63">
        <f t="shared" si="54"/>
        <v>11.14443937986044</v>
      </c>
      <c r="AS44" s="63">
        <f t="shared" si="44"/>
        <v>1.0529753289462644</v>
      </c>
      <c r="AT44" s="10"/>
      <c r="AU44">
        <f t="shared" si="45"/>
        <v>87.592859478339051</v>
      </c>
      <c r="BD44">
        <v>9.9981469999999995</v>
      </c>
      <c r="BE44">
        <v>4.8490000000000002</v>
      </c>
      <c r="BF44">
        <v>5.1107740000000002</v>
      </c>
      <c r="BG44">
        <v>93.953815994681278</v>
      </c>
      <c r="BH44">
        <v>1594.7983209009985</v>
      </c>
    </row>
    <row r="45" spans="1:60" x14ac:dyDescent="0.25">
      <c r="A45" s="38" t="s">
        <v>235</v>
      </c>
      <c r="B45" s="5">
        <f>VspTop</f>
        <v>3.86</v>
      </c>
      <c r="C45" s="418" t="s">
        <v>0</v>
      </c>
      <c r="G45">
        <v>36</v>
      </c>
      <c r="H45">
        <f t="shared" si="0"/>
        <v>1.08</v>
      </c>
      <c r="I45" s="407">
        <f t="shared" si="1"/>
        <v>0.21299499999999996</v>
      </c>
      <c r="J45" s="408">
        <f t="shared" si="2"/>
        <v>1.3418684999999995</v>
      </c>
      <c r="K45" s="408">
        <f t="shared" si="31"/>
        <v>1.7509342499999998</v>
      </c>
      <c r="L45" s="408">
        <f t="shared" si="32"/>
        <v>0.40906575000000034</v>
      </c>
      <c r="M45" s="63">
        <f t="shared" si="3"/>
        <v>0</v>
      </c>
      <c r="N45" s="407">
        <f t="shared" si="46"/>
        <v>1.1473669520287255</v>
      </c>
      <c r="O45" s="407">
        <f t="shared" si="5"/>
        <v>6.5857225252361927E-3</v>
      </c>
      <c r="P45">
        <f t="shared" si="6"/>
        <v>0.2</v>
      </c>
      <c r="Q45" s="407">
        <f t="shared" si="34"/>
        <v>0.20658572252523622</v>
      </c>
      <c r="R45" s="9">
        <f t="shared" si="39"/>
        <v>0.38736406984603955</v>
      </c>
      <c r="S45" s="9">
        <f t="shared" si="7"/>
        <v>1.5005092260768741E-3</v>
      </c>
      <c r="T45" s="9">
        <f t="shared" si="40"/>
        <v>1.5005092260768741E-3</v>
      </c>
      <c r="U45" s="407">
        <f t="shared" si="47"/>
        <v>0.52952569745086442</v>
      </c>
      <c r="V45" s="409">
        <f t="shared" si="9"/>
        <v>5.6079492852164877E-4</v>
      </c>
      <c r="W45" s="407">
        <f t="shared" si="41"/>
        <v>5.6079492852164877E-4</v>
      </c>
      <c r="X45" s="407">
        <f t="shared" si="48"/>
        <v>0.52952569745086442</v>
      </c>
      <c r="Y45" s="407">
        <f t="shared" si="11"/>
        <v>1.6823847855649465E-3</v>
      </c>
      <c r="Z45" s="407">
        <f t="shared" si="12"/>
        <v>7.9465081626572925E-2</v>
      </c>
      <c r="AA45" s="407">
        <f t="shared" si="13"/>
        <v>0.14400000000000002</v>
      </c>
      <c r="AB45" s="407">
        <f t="shared" si="14"/>
        <v>0</v>
      </c>
      <c r="AC45" s="407">
        <f t="shared" si="49"/>
        <v>0.22522324884558056</v>
      </c>
      <c r="AD45" s="407">
        <f t="shared" si="50"/>
        <v>1.0178671123220671</v>
      </c>
      <c r="AE45" s="407">
        <f t="shared" si="17"/>
        <v>6.2163207500811812E-3</v>
      </c>
      <c r="AF45" s="407">
        <f t="shared" si="18"/>
        <v>1.5552E-2</v>
      </c>
      <c r="AG45" s="407">
        <f t="shared" si="51"/>
        <v>2.1795418212178994E-2</v>
      </c>
      <c r="AH45" s="407">
        <f t="shared" si="52"/>
        <v>0</v>
      </c>
      <c r="AI45">
        <f t="shared" si="21"/>
        <v>0</v>
      </c>
      <c r="AJ45" s="408">
        <f t="shared" si="22"/>
        <v>0.13676306400000002</v>
      </c>
      <c r="AK45">
        <f t="shared" si="23"/>
        <v>4.8000000000000001E-2</v>
      </c>
      <c r="AL45" s="408">
        <f t="shared" si="24"/>
        <v>0.1215</v>
      </c>
      <c r="AM45" s="408">
        <f t="shared" si="25"/>
        <v>0.31645971316818772</v>
      </c>
      <c r="AN45" s="408">
        <f t="shared" si="42"/>
        <v>0.16949999999999998</v>
      </c>
      <c r="AO45" s="408">
        <f t="shared" si="53"/>
        <v>0.76192875773759428</v>
      </c>
      <c r="AP45">
        <f t="shared" si="27"/>
        <v>5.508</v>
      </c>
      <c r="AQ45" s="10">
        <f t="shared" si="43"/>
        <v>0.87847888115198858</v>
      </c>
      <c r="AR45" s="63">
        <f t="shared" si="54"/>
        <v>11.261162442279028</v>
      </c>
      <c r="AS45" s="63">
        <f t="shared" si="44"/>
        <v>1.0897709106089497</v>
      </c>
      <c r="AT45" s="10"/>
      <c r="AU45">
        <f t="shared" si="45"/>
        <v>87.847888115198856</v>
      </c>
      <c r="BD45">
        <v>9.9979859999999992</v>
      </c>
      <c r="BE45">
        <v>5.4960000000000004</v>
      </c>
      <c r="BF45">
        <v>5.1097890000000001</v>
      </c>
      <c r="BG45">
        <v>93.599771362833366</v>
      </c>
      <c r="BH45">
        <v>1920.3056923499939</v>
      </c>
    </row>
    <row r="46" spans="1:60" x14ac:dyDescent="0.25">
      <c r="A46" s="118" t="s">
        <v>378</v>
      </c>
      <c r="B46" s="5">
        <f>VsdTop</f>
        <v>0.8</v>
      </c>
      <c r="C46" s="418" t="s">
        <v>0</v>
      </c>
      <c r="G46">
        <v>37</v>
      </c>
      <c r="H46">
        <f t="shared" si="0"/>
        <v>1.1099999999999999</v>
      </c>
      <c r="I46" s="407">
        <f t="shared" si="1"/>
        <v>0.21300875</v>
      </c>
      <c r="J46" s="408">
        <f t="shared" si="2"/>
        <v>1.3419551249999997</v>
      </c>
      <c r="K46" s="408">
        <f t="shared" si="31"/>
        <v>1.7809775624999997</v>
      </c>
      <c r="L46" s="408">
        <f t="shared" si="32"/>
        <v>0.43902243750000003</v>
      </c>
      <c r="M46" s="63">
        <f t="shared" si="3"/>
        <v>0</v>
      </c>
      <c r="N46" s="407">
        <f t="shared" si="46"/>
        <v>1.1756573890634465</v>
      </c>
      <c r="O46" s="407">
        <f t="shared" si="5"/>
        <v>6.9146743853154289E-3</v>
      </c>
      <c r="P46">
        <f t="shared" si="6"/>
        <v>0.2</v>
      </c>
      <c r="Q46" s="407">
        <f t="shared" si="34"/>
        <v>0.20691467438531544</v>
      </c>
      <c r="R46" s="9">
        <f t="shared" si="39"/>
        <v>0.38738907632957387</v>
      </c>
      <c r="S46" s="9">
        <f t="shared" si="7"/>
        <v>1.5007029645948042E-3</v>
      </c>
      <c r="T46" s="9">
        <f t="shared" si="40"/>
        <v>1.5007029645948042E-3</v>
      </c>
      <c r="U46" s="407">
        <f t="shared" si="47"/>
        <v>0.54259963797994126</v>
      </c>
      <c r="V46" s="409">
        <f t="shared" si="9"/>
        <v>5.8882873427192658E-4</v>
      </c>
      <c r="W46" s="407">
        <f t="shared" si="41"/>
        <v>5.8882873427192658E-4</v>
      </c>
      <c r="X46" s="407">
        <f t="shared" si="48"/>
        <v>0.54259963797994126</v>
      </c>
      <c r="Y46" s="407">
        <f t="shared" si="11"/>
        <v>1.7664862028157799E-3</v>
      </c>
      <c r="Z46" s="407">
        <f t="shared" si="12"/>
        <v>8.1713320976591425E-2</v>
      </c>
      <c r="AA46" s="407">
        <f t="shared" si="13"/>
        <v>0.14400000000000002</v>
      </c>
      <c r="AB46" s="407">
        <f t="shared" si="14"/>
        <v>0</v>
      </c>
      <c r="AC46" s="407">
        <f t="shared" si="49"/>
        <v>0.22756020357139098</v>
      </c>
      <c r="AD46" s="407">
        <f t="shared" si="50"/>
        <v>1.0429553822304753</v>
      </c>
      <c r="AE46" s="407">
        <f t="shared" si="17"/>
        <v>6.5265355759411012E-3</v>
      </c>
      <c r="AF46" s="407">
        <f t="shared" si="18"/>
        <v>1.5983999999999998E-2</v>
      </c>
      <c r="AG46" s="407">
        <f t="shared" si="51"/>
        <v>2.2539957142375076E-2</v>
      </c>
      <c r="AH46" s="407">
        <f t="shared" si="52"/>
        <v>0</v>
      </c>
      <c r="AI46">
        <f t="shared" si="21"/>
        <v>0</v>
      </c>
      <c r="AJ46" s="408">
        <f t="shared" si="22"/>
        <v>0.136762038</v>
      </c>
      <c r="AK46">
        <f t="shared" si="23"/>
        <v>4.8000000000000001E-2</v>
      </c>
      <c r="AL46" s="408">
        <f t="shared" si="24"/>
        <v>0.1215</v>
      </c>
      <c r="AM46" s="408">
        <f t="shared" si="25"/>
        <v>0.31645971316818772</v>
      </c>
      <c r="AN46" s="408">
        <f t="shared" si="42"/>
        <v>0.16949999999999998</v>
      </c>
      <c r="AO46" s="408">
        <f t="shared" si="53"/>
        <v>0.76536640479794826</v>
      </c>
      <c r="AP46">
        <f t="shared" si="27"/>
        <v>5.6609999999999987</v>
      </c>
      <c r="AQ46" s="10">
        <f t="shared" si="43"/>
        <v>0.88090215269603622</v>
      </c>
      <c r="AR46" s="63">
        <f t="shared" si="54"/>
        <v>11.378010178569548</v>
      </c>
      <c r="AS46" s="63">
        <f t="shared" si="44"/>
        <v>1.1269978571187538</v>
      </c>
      <c r="AT46" s="10"/>
      <c r="AU46">
        <f t="shared" si="45"/>
        <v>88.090215269603618</v>
      </c>
      <c r="BD46">
        <v>9.9978999999999996</v>
      </c>
      <c r="BE46">
        <v>6.1950000000000003</v>
      </c>
      <c r="BF46">
        <v>5.109191</v>
      </c>
      <c r="BG46">
        <v>93.156651672159526</v>
      </c>
      <c r="BH46">
        <v>2325.1351758999972</v>
      </c>
    </row>
    <row r="47" spans="1:60" x14ac:dyDescent="0.25">
      <c r="A47" s="33" t="s">
        <v>161</v>
      </c>
      <c r="B47" s="5">
        <f>ThetaJaTop</f>
        <v>50</v>
      </c>
      <c r="C47" s="417" t="s">
        <v>381</v>
      </c>
      <c r="D47" s="31" t="s">
        <v>184</v>
      </c>
      <c r="G47">
        <v>38</v>
      </c>
      <c r="H47">
        <f t="shared" si="0"/>
        <v>1.1400000000000001</v>
      </c>
      <c r="I47" s="407">
        <f t="shared" si="1"/>
        <v>0.2130225</v>
      </c>
      <c r="J47" s="408">
        <f t="shared" si="2"/>
        <v>1.3420417499999997</v>
      </c>
      <c r="K47" s="408">
        <f t="shared" si="31"/>
        <v>1.8110208750000001</v>
      </c>
      <c r="L47" s="408">
        <f t="shared" si="32"/>
        <v>0.46897912500000027</v>
      </c>
      <c r="M47" s="63">
        <f t="shared" si="3"/>
        <v>0</v>
      </c>
      <c r="N47" s="407">
        <f t="shared" si="46"/>
        <v>1.204030594113755</v>
      </c>
      <c r="O47" s="407">
        <f t="shared" si="5"/>
        <v>7.2526539968458649E-3</v>
      </c>
      <c r="P47">
        <f t="shared" si="6"/>
        <v>0.2</v>
      </c>
      <c r="Q47" s="407">
        <f t="shared" si="34"/>
        <v>0.20725265399684586</v>
      </c>
      <c r="R47" s="9">
        <f t="shared" si="39"/>
        <v>0.38741408281310818</v>
      </c>
      <c r="S47" s="9">
        <f t="shared" si="7"/>
        <v>1.5008967156192184E-3</v>
      </c>
      <c r="T47" s="9">
        <f t="shared" si="40"/>
        <v>1.5008967156192184E-3</v>
      </c>
      <c r="U47" s="407">
        <f t="shared" si="47"/>
        <v>0.55571262182921444</v>
      </c>
      <c r="V47" s="409">
        <f t="shared" si="9"/>
        <v>6.1763303612059894E-4</v>
      </c>
      <c r="W47" s="407">
        <f t="shared" si="41"/>
        <v>6.1763303612059894E-4</v>
      </c>
      <c r="X47" s="407">
        <f t="shared" si="48"/>
        <v>0.55571262182921444</v>
      </c>
      <c r="Y47" s="407">
        <f t="shared" si="11"/>
        <v>1.8528991083617968E-3</v>
      </c>
      <c r="Z47" s="407">
        <f t="shared" si="12"/>
        <v>8.3961560326609952E-2</v>
      </c>
      <c r="AA47" s="407">
        <f t="shared" si="13"/>
        <v>0.14400000000000002</v>
      </c>
      <c r="AB47" s="407">
        <f t="shared" si="14"/>
        <v>0</v>
      </c>
      <c r="AC47" s="407">
        <f t="shared" si="49"/>
        <v>0.22989965560834963</v>
      </c>
      <c r="AD47" s="407">
        <f t="shared" si="50"/>
        <v>1.0681166385285936</v>
      </c>
      <c r="AE47" s="407">
        <f t="shared" si="17"/>
        <v>6.8452389210097338E-3</v>
      </c>
      <c r="AF47" s="407">
        <f t="shared" si="18"/>
        <v>1.6416E-2</v>
      </c>
      <c r="AG47" s="407">
        <f t="shared" si="51"/>
        <v>2.3293128326732578E-2</v>
      </c>
      <c r="AH47" s="407">
        <f t="shared" si="52"/>
        <v>0</v>
      </c>
      <c r="AI47">
        <f t="shared" si="21"/>
        <v>0</v>
      </c>
      <c r="AJ47" s="408">
        <f t="shared" si="22"/>
        <v>0.13676101200000002</v>
      </c>
      <c r="AK47">
        <f t="shared" si="23"/>
        <v>4.8000000000000001E-2</v>
      </c>
      <c r="AL47" s="408">
        <f t="shared" si="24"/>
        <v>0.1215</v>
      </c>
      <c r="AM47" s="408">
        <f t="shared" si="25"/>
        <v>0.31645971316818772</v>
      </c>
      <c r="AN47" s="408">
        <f t="shared" si="42"/>
        <v>0.16949999999999998</v>
      </c>
      <c r="AO47" s="408">
        <f t="shared" si="53"/>
        <v>0.76882497968366792</v>
      </c>
      <c r="AP47">
        <f t="shared" si="27"/>
        <v>5.8140000000000001</v>
      </c>
      <c r="AQ47" s="10">
        <f t="shared" si="43"/>
        <v>0.88320744026212694</v>
      </c>
      <c r="AR47" s="63">
        <f t="shared" si="54"/>
        <v>11.494982780417482</v>
      </c>
      <c r="AS47" s="63">
        <f t="shared" si="44"/>
        <v>1.1646564163366289</v>
      </c>
      <c r="AT47" s="10"/>
      <c r="AU47">
        <f t="shared" si="45"/>
        <v>88.320744026212694</v>
      </c>
      <c r="BD47">
        <v>9.9976269999999996</v>
      </c>
      <c r="BE47">
        <v>6.9470000000000001</v>
      </c>
      <c r="BF47">
        <v>5.1086669999999996</v>
      </c>
      <c r="BG47">
        <v>92.656807634751772</v>
      </c>
      <c r="BH47">
        <v>2812.6290012010018</v>
      </c>
    </row>
    <row r="48" spans="1:60" x14ac:dyDescent="0.25">
      <c r="A48" s="34" t="s">
        <v>130</v>
      </c>
      <c r="B48" s="25" t="s">
        <v>201</v>
      </c>
      <c r="C48" s="34" t="s">
        <v>148</v>
      </c>
      <c r="D48" s="27" t="s">
        <v>188</v>
      </c>
      <c r="G48">
        <v>39</v>
      </c>
      <c r="H48">
        <f t="shared" si="0"/>
        <v>1.17</v>
      </c>
      <c r="I48" s="407">
        <f t="shared" si="1"/>
        <v>0.21303624999999995</v>
      </c>
      <c r="J48" s="408">
        <f t="shared" si="2"/>
        <v>1.3421283749999995</v>
      </c>
      <c r="K48" s="408">
        <f t="shared" si="31"/>
        <v>1.8410641874999998</v>
      </c>
      <c r="L48" s="408">
        <f t="shared" si="32"/>
        <v>0.49893581250000019</v>
      </c>
      <c r="M48" s="63">
        <f t="shared" si="3"/>
        <v>0</v>
      </c>
      <c r="N48" s="407">
        <f t="shared" si="46"/>
        <v>1.2324808509323832</v>
      </c>
      <c r="O48" s="407">
        <f t="shared" si="5"/>
        <v>7.5996628222102739E-3</v>
      </c>
      <c r="P48">
        <f t="shared" si="6"/>
        <v>0.2</v>
      </c>
      <c r="Q48" s="407">
        <f t="shared" si="34"/>
        <v>0.20759966282221029</v>
      </c>
      <c r="R48" s="9">
        <f t="shared" si="39"/>
        <v>0.38743908929664239</v>
      </c>
      <c r="S48" s="9">
        <f t="shared" si="7"/>
        <v>1.5010904791501166E-3</v>
      </c>
      <c r="T48" s="9">
        <f t="shared" si="40"/>
        <v>1.5010904791501166E-3</v>
      </c>
      <c r="U48" s="407">
        <f t="shared" si="47"/>
        <v>0.56886201427401029</v>
      </c>
      <c r="V48" s="409">
        <f t="shared" si="9"/>
        <v>6.4720798256776859E-4</v>
      </c>
      <c r="W48" s="407">
        <f t="shared" si="41"/>
        <v>6.4720798256776859E-4</v>
      </c>
      <c r="X48" s="407">
        <f t="shared" si="48"/>
        <v>0.56886201427401029</v>
      </c>
      <c r="Y48" s="407">
        <f t="shared" si="11"/>
        <v>1.9416239477033058E-3</v>
      </c>
      <c r="Z48" s="407">
        <f t="shared" si="12"/>
        <v>8.6209799676628437E-2</v>
      </c>
      <c r="AA48" s="407">
        <f t="shared" si="13"/>
        <v>0.14400000000000002</v>
      </c>
      <c r="AB48" s="407">
        <f t="shared" si="14"/>
        <v>0</v>
      </c>
      <c r="AC48" s="407">
        <f t="shared" si="49"/>
        <v>0.23224160879819092</v>
      </c>
      <c r="AD48" s="407">
        <f t="shared" si="50"/>
        <v>1.093345808347536</v>
      </c>
      <c r="AE48" s="407">
        <f t="shared" si="17"/>
        <v>7.1724303397867617E-3</v>
      </c>
      <c r="AF48" s="407">
        <f t="shared" si="18"/>
        <v>1.6847999999999998E-2</v>
      </c>
      <c r="AG48" s="407">
        <f t="shared" si="51"/>
        <v>2.4054936811508464E-2</v>
      </c>
      <c r="AH48" s="407">
        <f t="shared" si="52"/>
        <v>0</v>
      </c>
      <c r="AI48">
        <f t="shared" si="21"/>
        <v>0</v>
      </c>
      <c r="AJ48" s="408">
        <f t="shared" si="22"/>
        <v>0.136759986</v>
      </c>
      <c r="AK48">
        <f t="shared" si="23"/>
        <v>4.8000000000000001E-2</v>
      </c>
      <c r="AL48" s="408">
        <f t="shared" si="24"/>
        <v>0.1215</v>
      </c>
      <c r="AM48" s="408">
        <f t="shared" si="25"/>
        <v>0.31645971316818772</v>
      </c>
      <c r="AN48" s="408">
        <f t="shared" si="42"/>
        <v>0.16949999999999998</v>
      </c>
      <c r="AO48" s="408">
        <f t="shared" si="53"/>
        <v>0.77230449289362757</v>
      </c>
      <c r="AP48">
        <f t="shared" si="27"/>
        <v>5.9669999999999996</v>
      </c>
      <c r="AQ48" s="10">
        <f t="shared" si="43"/>
        <v>0.88540293828421068</v>
      </c>
      <c r="AR48" s="63">
        <f t="shared" si="54"/>
        <v>11.612080439909546</v>
      </c>
      <c r="AS48" s="63">
        <f t="shared" si="44"/>
        <v>1.2027468405754231</v>
      </c>
      <c r="AT48" s="10"/>
      <c r="AU48">
        <f t="shared" si="45"/>
        <v>88.540293828421071</v>
      </c>
      <c r="BD48">
        <v>9.9975280000000009</v>
      </c>
      <c r="BE48">
        <v>7.7530000000000001</v>
      </c>
      <c r="BF48">
        <v>5.10853</v>
      </c>
      <c r="BG48">
        <v>92.034336419785248</v>
      </c>
      <c r="BH48">
        <v>3427.976173640001</v>
      </c>
    </row>
    <row r="49" spans="1:60" x14ac:dyDescent="0.25">
      <c r="A49" s="33" t="s">
        <v>139</v>
      </c>
      <c r="B49" s="5">
        <f>RdsonBot*1000</f>
        <v>6</v>
      </c>
      <c r="C49" s="417" t="s">
        <v>621</v>
      </c>
      <c r="D49" s="31" t="s">
        <v>192</v>
      </c>
      <c r="G49">
        <v>40</v>
      </c>
      <c r="H49">
        <f t="shared" si="0"/>
        <v>1.2000000000000002</v>
      </c>
      <c r="I49" s="407">
        <f t="shared" si="1"/>
        <v>0.21304999999999999</v>
      </c>
      <c r="J49" s="408">
        <f t="shared" si="2"/>
        <v>1.3422149999999995</v>
      </c>
      <c r="K49" s="408">
        <f t="shared" si="31"/>
        <v>1.8711074999999999</v>
      </c>
      <c r="L49" s="408">
        <f t="shared" si="32"/>
        <v>0.52889250000000043</v>
      </c>
      <c r="M49" s="63">
        <f t="shared" si="3"/>
        <v>0</v>
      </c>
      <c r="N49" s="407">
        <f t="shared" si="46"/>
        <v>1.2610029442942432</v>
      </c>
      <c r="O49" s="407">
        <f t="shared" si="5"/>
        <v>7.9557023629826893E-3</v>
      </c>
      <c r="P49">
        <f t="shared" si="6"/>
        <v>0.2</v>
      </c>
      <c r="Q49" s="407">
        <f t="shared" si="34"/>
        <v>0.20795570236298269</v>
      </c>
      <c r="R49" s="9">
        <f t="shared" si="39"/>
        <v>0.38746409578017665</v>
      </c>
      <c r="S49" s="9">
        <f t="shared" si="7"/>
        <v>1.5012842551874993E-3</v>
      </c>
      <c r="T49" s="9">
        <f t="shared" si="40"/>
        <v>1.5012842551874993E-3</v>
      </c>
      <c r="U49" s="407">
        <f t="shared" si="47"/>
        <v>0.582045411507358</v>
      </c>
      <c r="V49" s="409">
        <f t="shared" si="9"/>
        <v>6.7755372211353955E-4</v>
      </c>
      <c r="W49" s="407">
        <f t="shared" si="41"/>
        <v>6.7755372211353955E-4</v>
      </c>
      <c r="X49" s="407">
        <f t="shared" si="48"/>
        <v>0.582045411507358</v>
      </c>
      <c r="Y49" s="407">
        <f t="shared" si="11"/>
        <v>2.0326611663406186E-3</v>
      </c>
      <c r="Z49" s="407">
        <f t="shared" si="12"/>
        <v>8.8458039026646951E-2</v>
      </c>
      <c r="AA49" s="407">
        <f t="shared" si="13"/>
        <v>0.14400000000000002</v>
      </c>
      <c r="AB49" s="407">
        <f t="shared" si="14"/>
        <v>0</v>
      </c>
      <c r="AC49" s="407">
        <f t="shared" si="49"/>
        <v>0.23458606699069492</v>
      </c>
      <c r="AD49" s="407">
        <f t="shared" si="50"/>
        <v>1.1186382634533742</v>
      </c>
      <c r="AE49" s="407">
        <f t="shared" si="17"/>
        <v>7.5081093867718851E-3</v>
      </c>
      <c r="AF49" s="407">
        <f t="shared" si="18"/>
        <v>1.7280000000000004E-2</v>
      </c>
      <c r="AG49" s="407">
        <f t="shared" si="51"/>
        <v>2.4825387732104222E-2</v>
      </c>
      <c r="AH49" s="407">
        <f t="shared" si="52"/>
        <v>0</v>
      </c>
      <c r="AI49">
        <f t="shared" si="21"/>
        <v>0</v>
      </c>
      <c r="AJ49" s="408">
        <f t="shared" si="22"/>
        <v>0.13675896000000001</v>
      </c>
      <c r="AK49">
        <f t="shared" si="23"/>
        <v>4.8000000000000001E-2</v>
      </c>
      <c r="AL49" s="408">
        <f t="shared" si="24"/>
        <v>0.1215</v>
      </c>
      <c r="AM49" s="408">
        <f t="shared" si="25"/>
        <v>0.31645971316818772</v>
      </c>
      <c r="AN49" s="408">
        <f t="shared" si="42"/>
        <v>0.16949999999999998</v>
      </c>
      <c r="AO49" s="408">
        <f t="shared" si="53"/>
        <v>0.77580495506308278</v>
      </c>
      <c r="AP49">
        <f t="shared" si="27"/>
        <v>6.12</v>
      </c>
      <c r="AQ49" s="10">
        <f t="shared" si="43"/>
        <v>0.88749609942295915</v>
      </c>
      <c r="AR49" s="63">
        <f t="shared" si="54"/>
        <v>11.729303349534746</v>
      </c>
      <c r="AS49" s="63">
        <f t="shared" si="44"/>
        <v>1.2412693866052111</v>
      </c>
      <c r="AT49" s="10"/>
      <c r="AU49">
        <f t="shared" si="45"/>
        <v>88.749609942295919</v>
      </c>
      <c r="BD49">
        <v>9.9970090000000003</v>
      </c>
      <c r="BE49">
        <v>8.6120000000000001</v>
      </c>
      <c r="BF49">
        <v>5.1085419999999999</v>
      </c>
      <c r="BG49">
        <v>91.346378256658895</v>
      </c>
      <c r="BH49">
        <v>4167.8065612820019</v>
      </c>
    </row>
    <row r="50" spans="1:60" x14ac:dyDescent="0.25">
      <c r="A50" s="33" t="s">
        <v>153</v>
      </c>
      <c r="B50" s="5">
        <v>4500</v>
      </c>
      <c r="C50" s="417" t="s">
        <v>622</v>
      </c>
      <c r="D50" s="31" t="s">
        <v>185</v>
      </c>
      <c r="G50">
        <v>41</v>
      </c>
      <c r="H50">
        <f t="shared" si="0"/>
        <v>1.23</v>
      </c>
      <c r="I50" s="407">
        <f t="shared" si="1"/>
        <v>0.21306375</v>
      </c>
      <c r="J50" s="408">
        <f t="shared" si="2"/>
        <v>1.3423016249999997</v>
      </c>
      <c r="K50" s="408">
        <f t="shared" si="31"/>
        <v>1.9011508124999998</v>
      </c>
      <c r="L50" s="408">
        <f t="shared" si="32"/>
        <v>0.55884918750000012</v>
      </c>
      <c r="M50" s="63">
        <f t="shared" si="3"/>
        <v>0</v>
      </c>
      <c r="N50" s="407">
        <f t="shared" si="46"/>
        <v>1.2895921077507944</v>
      </c>
      <c r="O50" s="407">
        <f t="shared" si="5"/>
        <v>8.3207741599446352E-3</v>
      </c>
      <c r="P50">
        <f t="shared" si="6"/>
        <v>0.2</v>
      </c>
      <c r="Q50" s="407">
        <f t="shared" si="34"/>
        <v>0.20832077415994465</v>
      </c>
      <c r="R50" s="9">
        <f t="shared" si="39"/>
        <v>0.38748910226371097</v>
      </c>
      <c r="S50" s="9">
        <f t="shared" si="7"/>
        <v>1.5014780437313665E-3</v>
      </c>
      <c r="T50" s="9">
        <f t="shared" si="40"/>
        <v>1.5014780437313665E-3</v>
      </c>
      <c r="U50" s="407">
        <f t="shared" si="47"/>
        <v>0.59526061656135698</v>
      </c>
      <c r="V50" s="409">
        <f t="shared" si="9"/>
        <v>7.0867040325801368E-4</v>
      </c>
      <c r="W50" s="407">
        <f t="shared" si="41"/>
        <v>7.0867040325801368E-4</v>
      </c>
      <c r="X50" s="407">
        <f t="shared" si="48"/>
        <v>0.59526061656135698</v>
      </c>
      <c r="Y50" s="407">
        <f t="shared" si="11"/>
        <v>2.1260112097740412E-3</v>
      </c>
      <c r="Z50" s="407">
        <f t="shared" si="12"/>
        <v>9.070627837666545E-2</v>
      </c>
      <c r="AA50" s="407">
        <f t="shared" si="13"/>
        <v>0.14400000000000002</v>
      </c>
      <c r="AB50" s="407">
        <f t="shared" si="14"/>
        <v>0</v>
      </c>
      <c r="AC50" s="407">
        <f t="shared" si="49"/>
        <v>0.23693303404370805</v>
      </c>
      <c r="AD50" s="407">
        <f t="shared" si="50"/>
        <v>1.1439897738809248</v>
      </c>
      <c r="AE50" s="407">
        <f t="shared" si="17"/>
        <v>7.8522756164647774E-3</v>
      </c>
      <c r="AF50" s="407">
        <f t="shared" si="18"/>
        <v>1.7711999999999999E-2</v>
      </c>
      <c r="AG50" s="407">
        <f t="shared" si="51"/>
        <v>2.5604486313174583E-2</v>
      </c>
      <c r="AH50" s="407">
        <f t="shared" si="52"/>
        <v>0</v>
      </c>
      <c r="AI50">
        <f t="shared" si="21"/>
        <v>0</v>
      </c>
      <c r="AJ50" s="408">
        <f t="shared" si="22"/>
        <v>0.136757934</v>
      </c>
      <c r="AK50">
        <f t="shared" si="23"/>
        <v>4.8000000000000001E-2</v>
      </c>
      <c r="AL50" s="408">
        <f t="shared" si="24"/>
        <v>0.1215</v>
      </c>
      <c r="AM50" s="408">
        <f t="shared" si="25"/>
        <v>0.31645971316818772</v>
      </c>
      <c r="AN50" s="408">
        <f t="shared" si="42"/>
        <v>0.16949999999999998</v>
      </c>
      <c r="AO50" s="408">
        <f t="shared" si="53"/>
        <v>0.77932637696381668</v>
      </c>
      <c r="AP50">
        <f t="shared" si="27"/>
        <v>6.2729999999999997</v>
      </c>
      <c r="AQ50" s="10">
        <f t="shared" si="43"/>
        <v>0.88949371663945387</v>
      </c>
      <c r="AR50" s="63">
        <f t="shared" si="54"/>
        <v>11.846651702185403</v>
      </c>
      <c r="AS50" s="63">
        <f t="shared" si="44"/>
        <v>1.2802243156587292</v>
      </c>
      <c r="AT50" s="10"/>
      <c r="AU50">
        <f t="shared" si="45"/>
        <v>88.949371663945385</v>
      </c>
      <c r="BD50">
        <v>9.9969590000000004</v>
      </c>
      <c r="BE50">
        <v>9.5229999999999997</v>
      </c>
      <c r="BF50">
        <v>5.1087540000000002</v>
      </c>
      <c r="BG50">
        <v>90.547826191651922</v>
      </c>
      <c r="BH50">
        <v>5078.5816240809982</v>
      </c>
    </row>
    <row r="51" spans="1:60" x14ac:dyDescent="0.25">
      <c r="A51" s="33" t="s">
        <v>138</v>
      </c>
      <c r="B51" s="5">
        <f>QgBot*1000000000</f>
        <v>27</v>
      </c>
      <c r="C51" s="417" t="s">
        <v>136</v>
      </c>
      <c r="D51" s="31" t="s">
        <v>180</v>
      </c>
      <c r="G51">
        <v>42</v>
      </c>
      <c r="H51">
        <f t="shared" si="0"/>
        <v>1.26</v>
      </c>
      <c r="I51" s="407">
        <f t="shared" si="1"/>
        <v>0.2130775</v>
      </c>
      <c r="J51" s="408">
        <f t="shared" si="2"/>
        <v>1.3423882499999997</v>
      </c>
      <c r="K51" s="408">
        <f t="shared" si="31"/>
        <v>1.9311941249999998</v>
      </c>
      <c r="L51" s="408">
        <f t="shared" si="32"/>
        <v>0.58880587500000015</v>
      </c>
      <c r="M51" s="63">
        <f t="shared" si="3"/>
        <v>0</v>
      </c>
      <c r="N51" s="407">
        <f t="shared" si="46"/>
        <v>1.3182439775998114</v>
      </c>
      <c r="O51" s="407">
        <f t="shared" si="5"/>
        <v>8.694879793101835E-3</v>
      </c>
      <c r="P51">
        <f t="shared" si="6"/>
        <v>0.2</v>
      </c>
      <c r="Q51" s="407">
        <f t="shared" si="34"/>
        <v>0.20869487979310183</v>
      </c>
      <c r="R51" s="9">
        <f t="shared" si="39"/>
        <v>0.38751410874724529</v>
      </c>
      <c r="S51" s="9">
        <f t="shared" si="7"/>
        <v>1.5016718447817185E-3</v>
      </c>
      <c r="T51" s="9">
        <f t="shared" si="40"/>
        <v>1.5016718447817185E-3</v>
      </c>
      <c r="U51" s="407">
        <f t="shared" si="47"/>
        <v>0.60850561809292092</v>
      </c>
      <c r="V51" s="409">
        <f t="shared" si="9"/>
        <v>7.4055817450129546E-4</v>
      </c>
      <c r="W51" s="407">
        <f t="shared" si="41"/>
        <v>7.4055817450129546E-4</v>
      </c>
      <c r="X51" s="407">
        <f t="shared" si="48"/>
        <v>0.60850561809292092</v>
      </c>
      <c r="Y51" s="407">
        <f t="shared" si="11"/>
        <v>2.2216745235038864E-3</v>
      </c>
      <c r="Z51" s="407">
        <f t="shared" si="12"/>
        <v>9.295451772668395E-2</v>
      </c>
      <c r="AA51" s="407">
        <f t="shared" si="13"/>
        <v>0.14400000000000002</v>
      </c>
      <c r="AB51" s="407">
        <f t="shared" si="14"/>
        <v>0</v>
      </c>
      <c r="AC51" s="407">
        <f t="shared" si="49"/>
        <v>0.23928251382316401</v>
      </c>
      <c r="AD51" s="407">
        <f t="shared" si="50"/>
        <v>1.1693964670835655</v>
      </c>
      <c r="AE51" s="407">
        <f t="shared" si="17"/>
        <v>8.2049285833651481E-3</v>
      </c>
      <c r="AF51" s="407">
        <f t="shared" si="18"/>
        <v>1.8144E-2</v>
      </c>
      <c r="AG51" s="407">
        <f t="shared" si="51"/>
        <v>2.6392237868738785E-2</v>
      </c>
      <c r="AH51" s="407">
        <f t="shared" si="52"/>
        <v>0</v>
      </c>
      <c r="AI51">
        <f t="shared" si="21"/>
        <v>0</v>
      </c>
      <c r="AJ51" s="408">
        <f t="shared" si="22"/>
        <v>0.13675690799999998</v>
      </c>
      <c r="AK51">
        <f t="shared" si="23"/>
        <v>4.8000000000000001E-2</v>
      </c>
      <c r="AL51" s="408">
        <f t="shared" si="24"/>
        <v>0.1215</v>
      </c>
      <c r="AM51" s="408">
        <f t="shared" si="25"/>
        <v>0.31645971316818772</v>
      </c>
      <c r="AN51" s="408">
        <f t="shared" si="42"/>
        <v>0.16949999999999998</v>
      </c>
      <c r="AO51" s="408">
        <f t="shared" si="53"/>
        <v>0.78286876950428763</v>
      </c>
      <c r="AP51">
        <f t="shared" si="27"/>
        <v>6.4259999999999993</v>
      </c>
      <c r="AQ51" s="10">
        <f t="shared" si="43"/>
        <v>0.89140199460752279</v>
      </c>
      <c r="AR51" s="63">
        <f t="shared" si="54"/>
        <v>11.9641256911582</v>
      </c>
      <c r="AS51" s="63">
        <f t="shared" si="44"/>
        <v>1.3196118934369392</v>
      </c>
      <c r="AT51" s="10"/>
      <c r="AU51">
        <f t="shared" si="45"/>
        <v>89.140199460752285</v>
      </c>
      <c r="BD51">
        <v>9.9964639999999996</v>
      </c>
      <c r="BE51">
        <v>10.493</v>
      </c>
      <c r="BF51">
        <v>5.1092279999999999</v>
      </c>
      <c r="BG51">
        <v>89.626660259106615</v>
      </c>
      <c r="BH51">
        <v>6204.9221585439973</v>
      </c>
    </row>
    <row r="52" spans="1:60" x14ac:dyDescent="0.25">
      <c r="A52" s="33" t="s">
        <v>169</v>
      </c>
      <c r="B52" s="5">
        <f>RGateBot</f>
        <v>1</v>
      </c>
      <c r="C52" s="416" t="s">
        <v>208</v>
      </c>
      <c r="D52" s="31" t="s">
        <v>181</v>
      </c>
      <c r="G52">
        <v>43</v>
      </c>
      <c r="H52">
        <f t="shared" si="0"/>
        <v>1.29</v>
      </c>
      <c r="I52" s="407">
        <f t="shared" si="1"/>
        <v>0.21309124999999998</v>
      </c>
      <c r="J52" s="408">
        <f t="shared" si="2"/>
        <v>1.3424748749999995</v>
      </c>
      <c r="K52" s="408">
        <f t="shared" si="31"/>
        <v>1.9612374374999999</v>
      </c>
      <c r="L52" s="408">
        <f t="shared" si="32"/>
        <v>0.61876256250000028</v>
      </c>
      <c r="M52" s="63">
        <f t="shared" si="3"/>
        <v>0</v>
      </c>
      <c r="N52" s="407">
        <f t="shared" si="46"/>
        <v>1.3469545522525455</v>
      </c>
      <c r="O52" s="407">
        <f t="shared" si="5"/>
        <v>9.0780208817012875E-3</v>
      </c>
      <c r="P52">
        <f t="shared" si="6"/>
        <v>0.2</v>
      </c>
      <c r="Q52" s="407">
        <f t="shared" si="34"/>
        <v>0.2090780208817013</v>
      </c>
      <c r="R52" s="9">
        <f t="shared" si="39"/>
        <v>0.3875391152307795</v>
      </c>
      <c r="S52" s="9">
        <f t="shared" si="7"/>
        <v>1.501865658338554E-3</v>
      </c>
      <c r="T52" s="9">
        <f t="shared" si="40"/>
        <v>1.501865658338554E-3</v>
      </c>
      <c r="U52" s="407">
        <f t="shared" si="47"/>
        <v>0.62177857165693917</v>
      </c>
      <c r="V52" s="409">
        <f t="shared" si="9"/>
        <v>7.7321718434348685E-4</v>
      </c>
      <c r="W52" s="407">
        <f t="shared" si="41"/>
        <v>7.7321718434348685E-4</v>
      </c>
      <c r="X52" s="407">
        <f t="shared" si="48"/>
        <v>0.62177857165693917</v>
      </c>
      <c r="Y52" s="407">
        <f t="shared" si="11"/>
        <v>2.3196515530304607E-3</v>
      </c>
      <c r="Z52" s="407">
        <f t="shared" si="12"/>
        <v>9.5202757076702477E-2</v>
      </c>
      <c r="AA52" s="407">
        <f t="shared" si="13"/>
        <v>0.14400000000000002</v>
      </c>
      <c r="AB52" s="407">
        <f t="shared" si="14"/>
        <v>0</v>
      </c>
      <c r="AC52" s="407">
        <f t="shared" si="49"/>
        <v>0.24163451020310464</v>
      </c>
      <c r="AD52" s="407">
        <f t="shared" si="50"/>
        <v>1.1948547918731012</v>
      </c>
      <c r="AE52" s="407">
        <f t="shared" si="17"/>
        <v>8.5660678419726723E-3</v>
      </c>
      <c r="AF52" s="407">
        <f t="shared" si="18"/>
        <v>1.8575999999999999E-2</v>
      </c>
      <c r="AG52" s="407">
        <f t="shared" si="51"/>
        <v>2.718864780229386E-2</v>
      </c>
      <c r="AH52" s="407">
        <f t="shared" si="52"/>
        <v>0</v>
      </c>
      <c r="AI52">
        <f t="shared" si="21"/>
        <v>0</v>
      </c>
      <c r="AJ52" s="408">
        <f t="shared" si="22"/>
        <v>0.13675588200000002</v>
      </c>
      <c r="AK52">
        <f t="shared" si="23"/>
        <v>4.8000000000000001E-2</v>
      </c>
      <c r="AL52" s="408">
        <f t="shared" si="24"/>
        <v>0.1215</v>
      </c>
      <c r="AM52" s="408">
        <f t="shared" si="25"/>
        <v>0.31645971316818772</v>
      </c>
      <c r="AN52" s="408">
        <f t="shared" si="42"/>
        <v>0.16949999999999998</v>
      </c>
      <c r="AO52" s="408">
        <f t="shared" si="53"/>
        <v>0.78643214372978187</v>
      </c>
      <c r="AP52">
        <f t="shared" si="27"/>
        <v>6.5789999999999997</v>
      </c>
      <c r="AQ52" s="10">
        <f t="shared" si="43"/>
        <v>0.89322661204620901</v>
      </c>
      <c r="AR52" s="63">
        <f t="shared" si="54"/>
        <v>12.081725510155232</v>
      </c>
      <c r="AS52" s="63">
        <f t="shared" si="44"/>
        <v>1.359432390114693</v>
      </c>
      <c r="AT52" s="10"/>
      <c r="AU52">
        <f t="shared" si="45"/>
        <v>89.3226612046209</v>
      </c>
      <c r="BD52">
        <v>9.9959819999999997</v>
      </c>
      <c r="BE52">
        <v>11.519</v>
      </c>
      <c r="BF52">
        <v>5.1101260000000002</v>
      </c>
      <c r="BG52">
        <v>88.591390420220321</v>
      </c>
      <c r="BH52">
        <v>7580.3207309739973</v>
      </c>
    </row>
    <row r="53" spans="1:60" x14ac:dyDescent="0.25">
      <c r="A53" s="33" t="s">
        <v>144</v>
      </c>
      <c r="B53" s="5">
        <f>VsdBot</f>
        <v>0.8</v>
      </c>
      <c r="C53" s="417" t="s">
        <v>0</v>
      </c>
      <c r="D53" s="31" t="s">
        <v>186</v>
      </c>
      <c r="G53">
        <v>44</v>
      </c>
      <c r="H53">
        <f t="shared" si="0"/>
        <v>1.32</v>
      </c>
      <c r="I53" s="407">
        <f t="shared" si="1"/>
        <v>0.21310499999999999</v>
      </c>
      <c r="J53" s="408">
        <f t="shared" si="2"/>
        <v>1.3425614999999995</v>
      </c>
      <c r="K53" s="408">
        <f t="shared" si="31"/>
        <v>1.9912807499999998</v>
      </c>
      <c r="L53" s="408">
        <f t="shared" si="32"/>
        <v>0.6487192500000003</v>
      </c>
      <c r="M53" s="63">
        <f t="shared" si="3"/>
        <v>0</v>
      </c>
      <c r="N53" s="407">
        <f t="shared" si="46"/>
        <v>1.3757201562963988</v>
      </c>
      <c r="O53" s="407">
        <f t="shared" si="5"/>
        <v>9.4701990842488443E-3</v>
      </c>
      <c r="P53">
        <f t="shared" si="6"/>
        <v>0.2</v>
      </c>
      <c r="Q53" s="407">
        <f t="shared" si="34"/>
        <v>0.20947019908424885</v>
      </c>
      <c r="R53" s="9">
        <f t="shared" si="39"/>
        <v>0.38756412171431376</v>
      </c>
      <c r="S53" s="9">
        <f t="shared" si="7"/>
        <v>1.5020594844018743E-3</v>
      </c>
      <c r="T53" s="9">
        <f t="shared" si="40"/>
        <v>1.5020594844018743E-3</v>
      </c>
      <c r="U53" s="407">
        <f t="shared" si="47"/>
        <v>0.63507778314340857</v>
      </c>
      <c r="V53" s="409">
        <f t="shared" si="9"/>
        <v>8.0664758128469265E-4</v>
      </c>
      <c r="W53" s="407">
        <f t="shared" si="41"/>
        <v>8.0664758128469265E-4</v>
      </c>
      <c r="X53" s="407">
        <f t="shared" si="48"/>
        <v>0.63507778314340857</v>
      </c>
      <c r="Y53" s="407">
        <f t="shared" si="11"/>
        <v>2.4199427438540777E-3</v>
      </c>
      <c r="Z53" s="407">
        <f t="shared" si="12"/>
        <v>9.7450996426720976E-2</v>
      </c>
      <c r="AA53" s="407">
        <f t="shared" si="13"/>
        <v>0.14400000000000002</v>
      </c>
      <c r="AB53" s="407">
        <f t="shared" si="14"/>
        <v>0</v>
      </c>
      <c r="AC53" s="407">
        <f t="shared" si="49"/>
        <v>0.24398902706570061</v>
      </c>
      <c r="AD53" s="407">
        <f t="shared" si="50"/>
        <v>1.2203614865267758</v>
      </c>
      <c r="AE53" s="407">
        <f t="shared" si="17"/>
        <v>8.9356929467870518E-3</v>
      </c>
      <c r="AF53" s="407">
        <f t="shared" si="18"/>
        <v>1.9008000000000001E-2</v>
      </c>
      <c r="AG53" s="407">
        <f t="shared" si="51"/>
        <v>2.7993721606930526E-2</v>
      </c>
      <c r="AH53" s="407">
        <f t="shared" si="52"/>
        <v>0</v>
      </c>
      <c r="AI53">
        <f t="shared" si="21"/>
        <v>0</v>
      </c>
      <c r="AJ53" s="408">
        <f t="shared" si="22"/>
        <v>0.13675485600000001</v>
      </c>
      <c r="AK53">
        <f t="shared" si="23"/>
        <v>4.8000000000000001E-2</v>
      </c>
      <c r="AL53" s="408">
        <f t="shared" si="24"/>
        <v>0.1215</v>
      </c>
      <c r="AM53" s="408">
        <f t="shared" si="25"/>
        <v>0.31645971316818772</v>
      </c>
      <c r="AN53" s="408">
        <f t="shared" si="42"/>
        <v>0.16949999999999998</v>
      </c>
      <c r="AO53" s="408">
        <f t="shared" si="53"/>
        <v>0.79001651082256652</v>
      </c>
      <c r="AP53">
        <f t="shared" si="27"/>
        <v>6.7320000000000002</v>
      </c>
      <c r="AQ53" s="10">
        <f t="shared" si="43"/>
        <v>0.89497277629131722</v>
      </c>
      <c r="AR53" s="63">
        <f t="shared" si="54"/>
        <v>12.199451353285031</v>
      </c>
      <c r="AS53" s="63">
        <f t="shared" si="44"/>
        <v>1.3996860803465263</v>
      </c>
      <c r="AT53" s="10"/>
      <c r="AU53">
        <f t="shared" si="45"/>
        <v>89.497277629131716</v>
      </c>
      <c r="BD53">
        <v>9.9955739999999995</v>
      </c>
      <c r="BE53">
        <v>12.605</v>
      </c>
      <c r="BF53">
        <v>5.1111979999999999</v>
      </c>
      <c r="BG53">
        <v>87.386508098290477</v>
      </c>
      <c r="BH53">
        <v>9299.4335961019988</v>
      </c>
    </row>
    <row r="54" spans="1:60" x14ac:dyDescent="0.25">
      <c r="A54" s="33" t="s">
        <v>145</v>
      </c>
      <c r="B54" s="5">
        <f>QrrBot*1000000000</f>
        <v>19</v>
      </c>
      <c r="C54" s="417" t="s">
        <v>136</v>
      </c>
      <c r="D54" s="31" t="s">
        <v>196</v>
      </c>
      <c r="G54">
        <v>45</v>
      </c>
      <c r="H54">
        <f t="shared" si="0"/>
        <v>1.35</v>
      </c>
      <c r="I54" s="407">
        <f t="shared" si="1"/>
        <v>0.21311875</v>
      </c>
      <c r="J54" s="408">
        <f t="shared" si="2"/>
        <v>1.3426481249999997</v>
      </c>
      <c r="K54" s="408">
        <f t="shared" si="31"/>
        <v>2.0213240624999997</v>
      </c>
      <c r="L54" s="408">
        <f t="shared" si="32"/>
        <v>0.67867593750000021</v>
      </c>
      <c r="M54" s="63">
        <f t="shared" si="3"/>
        <v>0</v>
      </c>
      <c r="N54" s="407">
        <f t="shared" si="46"/>
        <v>1.4045374086499682</v>
      </c>
      <c r="O54" s="407">
        <f t="shared" si="5"/>
        <v>9.8714160985271231E-3</v>
      </c>
      <c r="P54">
        <f t="shared" si="6"/>
        <v>0.2</v>
      </c>
      <c r="Q54" s="407">
        <f t="shared" si="34"/>
        <v>0.20987141609852714</v>
      </c>
      <c r="R54" s="9">
        <f t="shared" si="39"/>
        <v>0.38758912819784808</v>
      </c>
      <c r="S54" s="9">
        <f t="shared" si="7"/>
        <v>1.5022533229716792E-3</v>
      </c>
      <c r="T54" s="9">
        <f t="shared" si="40"/>
        <v>1.5022533229716792E-3</v>
      </c>
      <c r="U54" s="407">
        <f t="shared" si="47"/>
        <v>0.64840169410058379</v>
      </c>
      <c r="V54" s="409">
        <f t="shared" si="9"/>
        <v>8.4084951382501407E-4</v>
      </c>
      <c r="W54" s="407">
        <f t="shared" si="41"/>
        <v>8.4084951382501407E-4</v>
      </c>
      <c r="X54" s="407">
        <f t="shared" si="48"/>
        <v>0.64840169410058379</v>
      </c>
      <c r="Y54" s="407">
        <f t="shared" si="11"/>
        <v>2.5225485414750422E-3</v>
      </c>
      <c r="Z54" s="407">
        <f t="shared" si="12"/>
        <v>9.9699235776739462E-2</v>
      </c>
      <c r="AA54" s="407">
        <f t="shared" si="13"/>
        <v>0.14400000000000002</v>
      </c>
      <c r="AB54" s="407">
        <f t="shared" si="14"/>
        <v>0</v>
      </c>
      <c r="AC54" s="407">
        <f t="shared" si="49"/>
        <v>0.24634606830127279</v>
      </c>
      <c r="AD54" s="407">
        <f t="shared" si="50"/>
        <v>1.2459135505261434</v>
      </c>
      <c r="AE54" s="407">
        <f t="shared" si="17"/>
        <v>9.3138034523079644E-3</v>
      </c>
      <c r="AF54" s="407">
        <f t="shared" si="18"/>
        <v>1.9440000000000002E-2</v>
      </c>
      <c r="AG54" s="407">
        <f t="shared" si="51"/>
        <v>2.8807464865451181E-2</v>
      </c>
      <c r="AH54" s="407">
        <f t="shared" si="52"/>
        <v>0</v>
      </c>
      <c r="AI54">
        <f t="shared" si="21"/>
        <v>0</v>
      </c>
      <c r="AJ54" s="408">
        <f t="shared" si="22"/>
        <v>0.13675383000000002</v>
      </c>
      <c r="AK54">
        <f t="shared" si="23"/>
        <v>4.8000000000000001E-2</v>
      </c>
      <c r="AL54" s="408">
        <f t="shared" si="24"/>
        <v>0.1215</v>
      </c>
      <c r="AM54" s="408">
        <f t="shared" si="25"/>
        <v>0.31645971316818772</v>
      </c>
      <c r="AN54" s="408">
        <f t="shared" si="42"/>
        <v>0.16949999999999998</v>
      </c>
      <c r="AO54" s="408">
        <f t="shared" si="53"/>
        <v>0.79362188210204787</v>
      </c>
      <c r="AP54">
        <f t="shared" si="27"/>
        <v>6.8849999999999998</v>
      </c>
      <c r="AQ54" s="10">
        <f t="shared" si="43"/>
        <v>0.89664527121046467</v>
      </c>
      <c r="AR54" s="63">
        <f t="shared" si="54"/>
        <v>12.317303415063639</v>
      </c>
      <c r="AS54" s="63">
        <f t="shared" si="44"/>
        <v>1.4403732432725591</v>
      </c>
      <c r="AT54" s="10"/>
      <c r="AU54">
        <f t="shared" si="45"/>
        <v>89.664527121046461</v>
      </c>
      <c r="BD54">
        <v>9.9949670000000008</v>
      </c>
      <c r="BE54">
        <v>13.75</v>
      </c>
      <c r="BF54">
        <v>5.1122329999999998</v>
      </c>
      <c r="BG54">
        <v>85.985113444924963</v>
      </c>
      <c r="BH54">
        <v>11457.230537720005</v>
      </c>
    </row>
    <row r="55" spans="1:60" x14ac:dyDescent="0.25">
      <c r="A55" s="33" t="s">
        <v>146</v>
      </c>
      <c r="B55" s="5">
        <f>TrrBot*1000000000</f>
        <v>40</v>
      </c>
      <c r="C55" s="417" t="s">
        <v>147</v>
      </c>
      <c r="D55" s="31" t="s">
        <v>187</v>
      </c>
      <c r="G55">
        <v>46</v>
      </c>
      <c r="H55">
        <f t="shared" si="0"/>
        <v>1.3800000000000001</v>
      </c>
      <c r="I55" s="407">
        <f t="shared" si="1"/>
        <v>0.21313249999999997</v>
      </c>
      <c r="J55" s="408">
        <f t="shared" si="2"/>
        <v>1.3427347499999995</v>
      </c>
      <c r="K55" s="408">
        <f t="shared" si="31"/>
        <v>2.0513673749999999</v>
      </c>
      <c r="L55" s="408">
        <f t="shared" si="32"/>
        <v>0.70863262500000035</v>
      </c>
      <c r="M55" s="63">
        <f t="shared" si="3"/>
        <v>0</v>
      </c>
      <c r="N55" s="407">
        <f t="shared" si="46"/>
        <v>1.4334031942914027</v>
      </c>
      <c r="O55" s="407">
        <f t="shared" si="5"/>
        <v>1.0281673661613951E-2</v>
      </c>
      <c r="P55">
        <f t="shared" si="6"/>
        <v>0.2</v>
      </c>
      <c r="Q55" s="407">
        <f t="shared" si="34"/>
        <v>0.21028167366161396</v>
      </c>
      <c r="R55" s="9">
        <f t="shared" si="39"/>
        <v>0.38761413468138234</v>
      </c>
      <c r="S55" s="9">
        <f t="shared" si="7"/>
        <v>1.5024471740479682E-3</v>
      </c>
      <c r="T55" s="9">
        <f t="shared" si="40"/>
        <v>1.5024471740479682E-3</v>
      </c>
      <c r="U55" s="407">
        <f t="shared" si="47"/>
        <v>0.66174886870494753</v>
      </c>
      <c r="V55" s="409">
        <f t="shared" si="9"/>
        <v>8.7582313046455579E-4</v>
      </c>
      <c r="W55" s="407">
        <f t="shared" si="41"/>
        <v>8.7582313046455579E-4</v>
      </c>
      <c r="X55" s="407">
        <f t="shared" si="48"/>
        <v>0.66174886870494753</v>
      </c>
      <c r="Y55" s="407">
        <f t="shared" si="11"/>
        <v>2.6274693913936674E-3</v>
      </c>
      <c r="Z55" s="407">
        <f t="shared" si="12"/>
        <v>0.10194747512675799</v>
      </c>
      <c r="AA55" s="407">
        <f t="shared" si="13"/>
        <v>0.14400000000000002</v>
      </c>
      <c r="AB55" s="407">
        <f t="shared" si="14"/>
        <v>0</v>
      </c>
      <c r="AC55" s="407">
        <f t="shared" si="49"/>
        <v>0.24870563780831334</v>
      </c>
      <c r="AD55" s="407">
        <f t="shared" si="50"/>
        <v>1.2715082194671488</v>
      </c>
      <c r="AE55" s="407">
        <f t="shared" si="17"/>
        <v>9.7003989130351135E-3</v>
      </c>
      <c r="AF55" s="407">
        <f t="shared" si="18"/>
        <v>1.9872000000000001E-2</v>
      </c>
      <c r="AG55" s="407">
        <f t="shared" si="51"/>
        <v>2.9629883250490395E-2</v>
      </c>
      <c r="AH55" s="407">
        <f t="shared" si="52"/>
        <v>0</v>
      </c>
      <c r="AI55">
        <f t="shared" si="21"/>
        <v>0</v>
      </c>
      <c r="AJ55" s="408">
        <f t="shared" si="22"/>
        <v>0.13675280400000001</v>
      </c>
      <c r="AK55">
        <f t="shared" si="23"/>
        <v>4.8000000000000001E-2</v>
      </c>
      <c r="AL55" s="408">
        <f t="shared" si="24"/>
        <v>0.1215</v>
      </c>
      <c r="AM55" s="408">
        <f t="shared" si="25"/>
        <v>0.31645971316818772</v>
      </c>
      <c r="AN55" s="408">
        <f t="shared" si="42"/>
        <v>0.16949999999999998</v>
      </c>
      <c r="AO55" s="408">
        <f t="shared" si="53"/>
        <v>0.79724826902493029</v>
      </c>
      <c r="AP55">
        <f t="shared" si="27"/>
        <v>7.0380000000000003</v>
      </c>
      <c r="AQ55" s="10">
        <f t="shared" si="43"/>
        <v>0.89824849939003337</v>
      </c>
      <c r="AR55" s="63">
        <f t="shared" si="54"/>
        <v>12.435281890415666</v>
      </c>
      <c r="AS55" s="63">
        <f t="shared" si="44"/>
        <v>1.4814941625245197</v>
      </c>
      <c r="AT55" s="10"/>
      <c r="AU55">
        <f t="shared" si="45"/>
        <v>89.824849939003343</v>
      </c>
      <c r="BD55">
        <v>9.9943860000000004</v>
      </c>
      <c r="BE55">
        <v>14.954000000000001</v>
      </c>
      <c r="BF55">
        <v>5.1130310000000003</v>
      </c>
      <c r="BG55">
        <v>84.352650264578628</v>
      </c>
      <c r="BH55">
        <v>14183.318533699994</v>
      </c>
    </row>
    <row r="56" spans="1:60" x14ac:dyDescent="0.25">
      <c r="A56" s="33" t="s">
        <v>160</v>
      </c>
      <c r="B56" s="5">
        <f>ThetaJaBot</f>
        <v>50</v>
      </c>
      <c r="C56" s="417" t="s">
        <v>381</v>
      </c>
      <c r="D56" s="31" t="s">
        <v>184</v>
      </c>
      <c r="E56" s="2"/>
      <c r="G56">
        <v>47</v>
      </c>
      <c r="H56">
        <f t="shared" si="0"/>
        <v>1.41</v>
      </c>
      <c r="I56" s="407">
        <f t="shared" si="1"/>
        <v>0.21314624999999998</v>
      </c>
      <c r="J56" s="408">
        <f t="shared" si="2"/>
        <v>1.3428213749999995</v>
      </c>
      <c r="K56" s="408">
        <f t="shared" si="31"/>
        <v>2.0814106874999996</v>
      </c>
      <c r="L56" s="408">
        <f t="shared" si="32"/>
        <v>0.73858931250000015</v>
      </c>
      <c r="M56" s="63">
        <f t="shared" si="3"/>
        <v>0</v>
      </c>
      <c r="N56" s="407">
        <f t="shared" si="46"/>
        <v>1.4623146391126205</v>
      </c>
      <c r="O56" s="407">
        <f t="shared" si="5"/>
        <v>1.0700973549901138E-2</v>
      </c>
      <c r="P56">
        <f t="shared" si="6"/>
        <v>0.2</v>
      </c>
      <c r="Q56" s="407">
        <f t="shared" si="34"/>
        <v>0.21070097354990114</v>
      </c>
      <c r="R56" s="9">
        <f t="shared" si="39"/>
        <v>0.3876391411649166</v>
      </c>
      <c r="S56" s="9">
        <f t="shared" si="7"/>
        <v>1.5026410376307415E-3</v>
      </c>
      <c r="T56" s="9">
        <f t="shared" si="40"/>
        <v>1.5026410376307415E-3</v>
      </c>
      <c r="U56" s="407">
        <f t="shared" si="47"/>
        <v>0.67511798217179042</v>
      </c>
      <c r="V56" s="409">
        <f t="shared" si="9"/>
        <v>9.1156857970341989E-4</v>
      </c>
      <c r="W56" s="407">
        <f t="shared" si="41"/>
        <v>9.1156857970341989E-4</v>
      </c>
      <c r="X56" s="407">
        <f t="shared" si="48"/>
        <v>0.67511798217179042</v>
      </c>
      <c r="Y56" s="407">
        <f t="shared" si="11"/>
        <v>2.7347057391102596E-3</v>
      </c>
      <c r="Z56" s="407">
        <f t="shared" si="12"/>
        <v>0.10419571447677647</v>
      </c>
      <c r="AA56" s="407">
        <f t="shared" si="13"/>
        <v>0.14400000000000002</v>
      </c>
      <c r="AB56" s="407">
        <f t="shared" si="14"/>
        <v>0</v>
      </c>
      <c r="AC56" s="407">
        <f t="shared" si="49"/>
        <v>0.25106773949350641</v>
      </c>
      <c r="AD56" s="407">
        <f t="shared" si="50"/>
        <v>1.2971429427443082</v>
      </c>
      <c r="AE56" s="407">
        <f t="shared" si="17"/>
        <v>1.0095478883468182E-2</v>
      </c>
      <c r="AF56" s="407">
        <f t="shared" si="18"/>
        <v>2.0303999999999999E-2</v>
      </c>
      <c r="AG56" s="407">
        <f t="shared" si="51"/>
        <v>3.0460982524637616E-2</v>
      </c>
      <c r="AH56" s="407">
        <f t="shared" si="52"/>
        <v>0</v>
      </c>
      <c r="AI56">
        <f t="shared" si="21"/>
        <v>0</v>
      </c>
      <c r="AJ56" s="408">
        <f t="shared" si="22"/>
        <v>0.13675177800000002</v>
      </c>
      <c r="AK56">
        <f t="shared" si="23"/>
        <v>4.8000000000000001E-2</v>
      </c>
      <c r="AL56" s="408">
        <f t="shared" si="24"/>
        <v>0.1215</v>
      </c>
      <c r="AM56" s="408">
        <f t="shared" si="25"/>
        <v>0.31645971316818772</v>
      </c>
      <c r="AN56" s="408">
        <f t="shared" si="42"/>
        <v>0.16949999999999998</v>
      </c>
      <c r="AO56" s="408">
        <f t="shared" si="53"/>
        <v>0.80089568318537929</v>
      </c>
      <c r="AP56">
        <f t="shared" si="27"/>
        <v>7.1909999999999989</v>
      </c>
      <c r="AQ56" s="10">
        <f t="shared" si="43"/>
        <v>0.89978651937731979</v>
      </c>
      <c r="AR56" s="63">
        <f t="shared" si="54"/>
        <v>12.553386974675321</v>
      </c>
      <c r="AS56" s="63">
        <f t="shared" si="44"/>
        <v>1.5230491262318808</v>
      </c>
      <c r="AT56" s="10"/>
      <c r="AU56">
        <f t="shared" si="45"/>
        <v>89.978651937731982</v>
      </c>
      <c r="BE56" s="28"/>
      <c r="BF56" s="29"/>
    </row>
    <row r="57" spans="1:60" x14ac:dyDescent="0.25">
      <c r="A57" s="34" t="s">
        <v>364</v>
      </c>
      <c r="B57" s="25" t="s">
        <v>201</v>
      </c>
      <c r="C57" s="34" t="s">
        <v>148</v>
      </c>
      <c r="D57" s="477" t="s">
        <v>391</v>
      </c>
      <c r="G57">
        <v>48</v>
      </c>
      <c r="H57">
        <f t="shared" si="0"/>
        <v>1.44</v>
      </c>
      <c r="I57" s="407">
        <f t="shared" si="1"/>
        <v>0.21315999999999999</v>
      </c>
      <c r="J57" s="408">
        <f t="shared" si="2"/>
        <v>1.3429079999999995</v>
      </c>
      <c r="K57" s="408">
        <f t="shared" si="31"/>
        <v>2.1114539999999997</v>
      </c>
      <c r="L57" s="408">
        <f t="shared" si="32"/>
        <v>0.76854600000000017</v>
      </c>
      <c r="M57" s="63">
        <f t="shared" si="3"/>
        <v>0</v>
      </c>
      <c r="N57" s="407">
        <f t="shared" si="46"/>
        <v>1.4912690875130483</v>
      </c>
      <c r="O57" s="407">
        <f t="shared" si="5"/>
        <v>1.1129317579113771E-2</v>
      </c>
      <c r="P57">
        <f t="shared" si="6"/>
        <v>0.2</v>
      </c>
      <c r="Q57" s="407">
        <f t="shared" si="34"/>
        <v>0.2111293175791138</v>
      </c>
      <c r="R57" s="9">
        <f t="shared" si="39"/>
        <v>0.38766414764845086</v>
      </c>
      <c r="S57" s="9">
        <f t="shared" si="7"/>
        <v>1.5028349137199992E-3</v>
      </c>
      <c r="T57" s="9">
        <f t="shared" si="40"/>
        <v>1.5028349137199992E-3</v>
      </c>
      <c r="U57" s="407">
        <f t="shared" si="47"/>
        <v>0.68850781042836062</v>
      </c>
      <c r="V57" s="409">
        <f t="shared" si="9"/>
        <v>9.4808601004171085E-4</v>
      </c>
      <c r="W57" s="407">
        <f t="shared" si="41"/>
        <v>9.4808601004171085E-4</v>
      </c>
      <c r="X57" s="407">
        <f t="shared" si="48"/>
        <v>0.68850781042836062</v>
      </c>
      <c r="Y57" s="407">
        <f t="shared" si="11"/>
        <v>2.8442580301251325E-3</v>
      </c>
      <c r="Z57" s="407">
        <f t="shared" si="12"/>
        <v>0.10644395382679499</v>
      </c>
      <c r="AA57" s="407">
        <f t="shared" si="13"/>
        <v>0.14400000000000002</v>
      </c>
      <c r="AB57" s="407">
        <f t="shared" si="14"/>
        <v>0</v>
      </c>
      <c r="AC57" s="407">
        <f t="shared" si="49"/>
        <v>0.25343237727174989</v>
      </c>
      <c r="AD57" s="407">
        <f t="shared" si="50"/>
        <v>1.3228153636661257</v>
      </c>
      <c r="AE57" s="407">
        <f t="shared" si="17"/>
        <v>1.0499042918106867E-2</v>
      </c>
      <c r="AF57" s="407">
        <f t="shared" si="18"/>
        <v>2.0735999999999997E-2</v>
      </c>
      <c r="AG57" s="407">
        <f t="shared" si="51"/>
        <v>3.1300768540562282E-2</v>
      </c>
      <c r="AH57" s="407">
        <f t="shared" si="52"/>
        <v>0</v>
      </c>
      <c r="AI57">
        <f t="shared" si="21"/>
        <v>0</v>
      </c>
      <c r="AJ57" s="408">
        <f t="shared" si="22"/>
        <v>0.136750752</v>
      </c>
      <c r="AK57">
        <f t="shared" si="23"/>
        <v>4.8000000000000001E-2</v>
      </c>
      <c r="AL57" s="408">
        <f t="shared" si="24"/>
        <v>0.1215</v>
      </c>
      <c r="AM57" s="408">
        <f t="shared" si="25"/>
        <v>0.31645971316818772</v>
      </c>
      <c r="AN57" s="408">
        <f t="shared" si="42"/>
        <v>0.16949999999999998</v>
      </c>
      <c r="AO57" s="408">
        <f t="shared" si="53"/>
        <v>0.80456413631518764</v>
      </c>
      <c r="AP57">
        <f t="shared" si="27"/>
        <v>7.3439999999999994</v>
      </c>
      <c r="AQ57" s="10">
        <f t="shared" si="43"/>
        <v>0.90126307864111443</v>
      </c>
      <c r="AR57" s="63">
        <f t="shared" si="54"/>
        <v>12.671618863587494</v>
      </c>
      <c r="AS57" s="63">
        <f t="shared" si="44"/>
        <v>1.5650384270281141</v>
      </c>
      <c r="AT57" s="10"/>
      <c r="AU57">
        <f t="shared" si="45"/>
        <v>90.126307864111439</v>
      </c>
      <c r="BE57" s="28"/>
      <c r="BF57" s="29"/>
    </row>
    <row r="58" spans="1:60" x14ac:dyDescent="0.25">
      <c r="A58" s="33" t="s">
        <v>365</v>
      </c>
      <c r="B58" s="115">
        <f>VfdSky</f>
        <v>0</v>
      </c>
      <c r="C58" s="417" t="s">
        <v>0</v>
      </c>
      <c r="D58" s="31" t="s">
        <v>368</v>
      </c>
      <c r="G58">
        <v>49</v>
      </c>
      <c r="H58">
        <f t="shared" si="0"/>
        <v>1.47</v>
      </c>
      <c r="I58" s="407">
        <f t="shared" si="1"/>
        <v>0.21317374999999997</v>
      </c>
      <c r="J58" s="408">
        <f t="shared" si="2"/>
        <v>1.3429946249999993</v>
      </c>
      <c r="K58" s="408">
        <f t="shared" si="31"/>
        <v>2.1414973124999994</v>
      </c>
      <c r="L58" s="408">
        <f t="shared" si="32"/>
        <v>0.79850268750000031</v>
      </c>
      <c r="M58" s="63">
        <f t="shared" si="3"/>
        <v>0</v>
      </c>
      <c r="N58" s="407">
        <f t="shared" si="46"/>
        <v>1.5202640823987041</v>
      </c>
      <c r="O58" s="407">
        <f t="shared" si="5"/>
        <v>1.156670760432984E-2</v>
      </c>
      <c r="P58">
        <f t="shared" si="6"/>
        <v>0.2</v>
      </c>
      <c r="Q58" s="407">
        <f t="shared" si="34"/>
        <v>0.21156670760432986</v>
      </c>
      <c r="R58" s="9">
        <f t="shared" si="39"/>
        <v>0.38768915413198507</v>
      </c>
      <c r="S58" s="9">
        <f t="shared" si="7"/>
        <v>1.5030288023157408E-3</v>
      </c>
      <c r="T58" s="9">
        <f t="shared" si="40"/>
        <v>1.5030288023157408E-3</v>
      </c>
      <c r="U58" s="407">
        <f t="shared" si="47"/>
        <v>0.70191722089557351</v>
      </c>
      <c r="V58" s="409">
        <f t="shared" si="9"/>
        <v>9.8537556997953073E-4</v>
      </c>
      <c r="W58" s="407">
        <f t="shared" si="41"/>
        <v>9.8537556997953073E-4</v>
      </c>
      <c r="X58" s="407">
        <f t="shared" si="48"/>
        <v>0.70191722089557351</v>
      </c>
      <c r="Y58" s="407">
        <f t="shared" si="11"/>
        <v>2.9561267099385922E-3</v>
      </c>
      <c r="Z58" s="407">
        <f t="shared" si="12"/>
        <v>0.10869219317681349</v>
      </c>
      <c r="AA58" s="407">
        <f t="shared" si="13"/>
        <v>0.14400000000000002</v>
      </c>
      <c r="AB58" s="407">
        <f t="shared" si="14"/>
        <v>0</v>
      </c>
      <c r="AC58" s="407">
        <f t="shared" si="49"/>
        <v>0.25579955506617646</v>
      </c>
      <c r="AD58" s="407">
        <f t="shared" si="50"/>
        <v>1.3485233017051683</v>
      </c>
      <c r="AE58" s="407">
        <f t="shared" si="17"/>
        <v>1.091109057145085E-2</v>
      </c>
      <c r="AF58" s="407">
        <f t="shared" si="18"/>
        <v>2.1167999999999996E-2</v>
      </c>
      <c r="AG58" s="407">
        <f t="shared" si="51"/>
        <v>3.2149247241141266E-2</v>
      </c>
      <c r="AH58" s="407">
        <f t="shared" si="52"/>
        <v>0</v>
      </c>
      <c r="AI58">
        <f t="shared" si="21"/>
        <v>0</v>
      </c>
      <c r="AJ58" s="408">
        <f t="shared" si="22"/>
        <v>0.13674972600000002</v>
      </c>
      <c r="AK58">
        <f t="shared" si="23"/>
        <v>4.8000000000000001E-2</v>
      </c>
      <c r="AL58" s="408">
        <f t="shared" si="24"/>
        <v>0.1215</v>
      </c>
      <c r="AM58" s="408">
        <f t="shared" si="25"/>
        <v>0.31645971316818772</v>
      </c>
      <c r="AN58" s="408">
        <f t="shared" si="42"/>
        <v>0.16949999999999998</v>
      </c>
      <c r="AO58" s="408">
        <f t="shared" si="53"/>
        <v>0.80825364028394286</v>
      </c>
      <c r="AP58">
        <f t="shared" si="27"/>
        <v>7.496999999999999</v>
      </c>
      <c r="AQ58" s="10">
        <f t="shared" si="43"/>
        <v>0.90268164281418506</v>
      </c>
      <c r="AR58" s="63">
        <f t="shared" si="54"/>
        <v>12.789977753308824</v>
      </c>
      <c r="AS58" s="63">
        <f t="shared" si="44"/>
        <v>1.6074623620570634</v>
      </c>
      <c r="AT58" s="10"/>
      <c r="AU58">
        <f t="shared" si="45"/>
        <v>90.268164281418507</v>
      </c>
      <c r="BE58" s="28"/>
      <c r="BF58" s="29"/>
    </row>
    <row r="59" spans="1:60" x14ac:dyDescent="0.25">
      <c r="A59" s="33" t="s">
        <v>366</v>
      </c>
      <c r="B59" s="115">
        <f>QrrSky</f>
        <v>0</v>
      </c>
      <c r="C59" s="417" t="s">
        <v>136</v>
      </c>
      <c r="D59" s="31" t="s">
        <v>369</v>
      </c>
      <c r="G59">
        <v>50</v>
      </c>
      <c r="H59">
        <f t="shared" si="0"/>
        <v>1.5</v>
      </c>
      <c r="I59" s="407">
        <f t="shared" si="1"/>
        <v>0.2131875</v>
      </c>
      <c r="J59" s="408">
        <f t="shared" si="2"/>
        <v>1.3430812499999998</v>
      </c>
      <c r="K59" s="408">
        <f t="shared" si="31"/>
        <v>2.171540625</v>
      </c>
      <c r="L59" s="408">
        <f t="shared" si="32"/>
        <v>0.82845937500000011</v>
      </c>
      <c r="M59" s="63">
        <f t="shared" si="3"/>
        <v>0</v>
      </c>
      <c r="N59" s="407">
        <f t="shared" si="46"/>
        <v>1.549297347297089</v>
      </c>
      <c r="O59" s="407">
        <f t="shared" si="5"/>
        <v>1.2013145520000391E-2</v>
      </c>
      <c r="P59">
        <f t="shared" si="6"/>
        <v>0.2</v>
      </c>
      <c r="Q59" s="407">
        <f t="shared" si="34"/>
        <v>0.21201314552000039</v>
      </c>
      <c r="R59" s="9">
        <f t="shared" si="39"/>
        <v>0.3877141606155195</v>
      </c>
      <c r="S59" s="9">
        <f t="shared" si="7"/>
        <v>1.5032227034179684E-3</v>
      </c>
      <c r="T59" s="9">
        <f t="shared" si="40"/>
        <v>1.5032227034179684E-3</v>
      </c>
      <c r="U59" s="407">
        <f t="shared" si="47"/>
        <v>0.71534516424485028</v>
      </c>
      <c r="V59" s="409">
        <f t="shared" si="9"/>
        <v>1.0234374080169838E-3</v>
      </c>
      <c r="W59" s="407">
        <f t="shared" si="41"/>
        <v>1.0234374080169838E-3</v>
      </c>
      <c r="X59" s="407">
        <f t="shared" si="48"/>
        <v>0.71534516424485028</v>
      </c>
      <c r="Y59" s="407">
        <f t="shared" si="11"/>
        <v>3.0703122240509509E-3</v>
      </c>
      <c r="Z59" s="407">
        <f t="shared" si="12"/>
        <v>0.110940432526832</v>
      </c>
      <c r="AA59" s="407">
        <f t="shared" si="13"/>
        <v>0.14400000000000002</v>
      </c>
      <c r="AB59" s="407">
        <f t="shared" si="14"/>
        <v>0</v>
      </c>
      <c r="AC59" s="407">
        <f t="shared" si="49"/>
        <v>0.2581692768081747</v>
      </c>
      <c r="AD59" s="407">
        <f t="shared" si="50"/>
        <v>1.3742647366258458</v>
      </c>
      <c r="AE59" s="407">
        <f t="shared" si="17"/>
        <v>1.1331621397999833E-2</v>
      </c>
      <c r="AF59" s="407">
        <f t="shared" si="18"/>
        <v>2.1600000000000001E-2</v>
      </c>
      <c r="AG59" s="407">
        <f t="shared" si="51"/>
        <v>3.3006424659588647E-2</v>
      </c>
      <c r="AH59" s="407">
        <f t="shared" si="52"/>
        <v>0</v>
      </c>
      <c r="AI59">
        <f t="shared" si="21"/>
        <v>0</v>
      </c>
      <c r="AJ59" s="408">
        <f t="shared" si="22"/>
        <v>0.1367487</v>
      </c>
      <c r="AK59">
        <f t="shared" si="23"/>
        <v>4.8000000000000001E-2</v>
      </c>
      <c r="AL59" s="408">
        <f t="shared" si="24"/>
        <v>0.1215</v>
      </c>
      <c r="AM59" s="408">
        <f t="shared" si="25"/>
        <v>0.31645971316818772</v>
      </c>
      <c r="AN59" s="408">
        <f t="shared" si="42"/>
        <v>0.16949999999999998</v>
      </c>
      <c r="AO59" s="408">
        <f t="shared" si="53"/>
        <v>0.81196420709919881</v>
      </c>
      <c r="AP59">
        <f t="shared" si="27"/>
        <v>7.6499999999999995</v>
      </c>
      <c r="AQ59" s="10">
        <f t="shared" si="43"/>
        <v>0.90404542169795543</v>
      </c>
      <c r="AR59" s="63">
        <f t="shared" si="54"/>
        <v>12.908463840408736</v>
      </c>
      <c r="AS59" s="63">
        <f t="shared" si="44"/>
        <v>1.6503212329794323</v>
      </c>
      <c r="AT59" s="10"/>
      <c r="AU59">
        <f t="shared" si="45"/>
        <v>90.404542169795548</v>
      </c>
      <c r="BE59" s="28"/>
      <c r="BF59" s="29"/>
    </row>
    <row r="60" spans="1:60" x14ac:dyDescent="0.25">
      <c r="A60" s="33" t="s">
        <v>367</v>
      </c>
      <c r="B60" s="115">
        <f>Ireverse</f>
        <v>0</v>
      </c>
      <c r="C60" s="417" t="s">
        <v>135</v>
      </c>
      <c r="D60" s="31" t="s">
        <v>370</v>
      </c>
      <c r="E60" s="2"/>
      <c r="G60">
        <v>51</v>
      </c>
      <c r="H60">
        <f t="shared" si="0"/>
        <v>1.53</v>
      </c>
      <c r="I60" s="407">
        <f t="shared" si="1"/>
        <v>0.21320124999999998</v>
      </c>
      <c r="J60" s="408">
        <f t="shared" si="2"/>
        <v>1.3431678749999996</v>
      </c>
      <c r="K60" s="408">
        <f t="shared" si="31"/>
        <v>2.2015839374999997</v>
      </c>
      <c r="L60" s="408">
        <f t="shared" si="32"/>
        <v>0.85841606250000024</v>
      </c>
      <c r="M60" s="63">
        <f t="shared" si="3"/>
        <v>0</v>
      </c>
      <c r="N60" s="407">
        <f t="shared" si="46"/>
        <v>1.5783667703365616</v>
      </c>
      <c r="O60" s="407">
        <f t="shared" si="5"/>
        <v>1.2468633259970033E-2</v>
      </c>
      <c r="P60">
        <f t="shared" si="6"/>
        <v>0.2</v>
      </c>
      <c r="Q60" s="407">
        <f t="shared" si="34"/>
        <v>0.21246863325997004</v>
      </c>
      <c r="R60" s="9">
        <f t="shared" si="39"/>
        <v>0.38773916709905371</v>
      </c>
      <c r="S60" s="9">
        <f t="shared" si="7"/>
        <v>1.5034166170266789E-3</v>
      </c>
      <c r="T60" s="9">
        <f t="shared" si="40"/>
        <v>1.5034166170266789E-3</v>
      </c>
      <c r="U60" s="407">
        <f t="shared" si="47"/>
        <v>0.72879066701425721</v>
      </c>
      <c r="V60" s="409">
        <f t="shared" si="9"/>
        <v>1.062271672654172E-3</v>
      </c>
      <c r="W60" s="407">
        <f t="shared" si="41"/>
        <v>1.062271672654172E-3</v>
      </c>
      <c r="X60" s="407">
        <f t="shared" si="48"/>
        <v>0.72879066701425721</v>
      </c>
      <c r="Y60" s="407">
        <f t="shared" si="11"/>
        <v>3.1868150179625155E-3</v>
      </c>
      <c r="Z60" s="407">
        <f t="shared" si="12"/>
        <v>0.1131886718768505</v>
      </c>
      <c r="AA60" s="407">
        <f t="shared" si="13"/>
        <v>0.14400000000000002</v>
      </c>
      <c r="AB60" s="407">
        <f t="shared" si="14"/>
        <v>0</v>
      </c>
      <c r="AC60" s="407">
        <f t="shared" si="49"/>
        <v>0.26054154643741101</v>
      </c>
      <c r="AD60" s="407">
        <f t="shared" si="50"/>
        <v>1.4000377942668485</v>
      </c>
      <c r="AE60" s="407">
        <f t="shared" si="17"/>
        <v>1.1760634952253494E-2</v>
      </c>
      <c r="AF60" s="407">
        <f t="shared" si="18"/>
        <v>2.2032E-2</v>
      </c>
      <c r="AG60" s="407">
        <f t="shared" si="51"/>
        <v>3.387230691958789E-2</v>
      </c>
      <c r="AH60" s="407">
        <f t="shared" si="52"/>
        <v>0</v>
      </c>
      <c r="AI60">
        <f t="shared" si="21"/>
        <v>0</v>
      </c>
      <c r="AJ60" s="408">
        <f t="shared" si="22"/>
        <v>0.13674767400000001</v>
      </c>
      <c r="AK60">
        <f t="shared" si="23"/>
        <v>4.8000000000000001E-2</v>
      </c>
      <c r="AL60" s="408">
        <f t="shared" si="24"/>
        <v>0.1215</v>
      </c>
      <c r="AM60" s="408">
        <f t="shared" si="25"/>
        <v>0.31645971316818772</v>
      </c>
      <c r="AN60" s="408">
        <f t="shared" si="42"/>
        <v>0.16949999999999998</v>
      </c>
      <c r="AO60" s="408">
        <f t="shared" si="53"/>
        <v>0.81569584890664981</v>
      </c>
      <c r="AP60">
        <f t="shared" si="27"/>
        <v>7.8029999999999999</v>
      </c>
      <c r="AQ60" s="10">
        <f t="shared" si="43"/>
        <v>0.90535739244004898</v>
      </c>
      <c r="AR60" s="63">
        <f t="shared" si="54"/>
        <v>13.02707732187055</v>
      </c>
      <c r="AS60" s="63">
        <f t="shared" si="44"/>
        <v>1.6936153459793946</v>
      </c>
      <c r="AT60" s="10"/>
      <c r="AU60">
        <f t="shared" si="45"/>
        <v>90.535739244004901</v>
      </c>
      <c r="BE60" s="28"/>
      <c r="BF60" s="29"/>
    </row>
    <row r="61" spans="1:60" x14ac:dyDescent="0.25">
      <c r="A61" s="34" t="s">
        <v>209</v>
      </c>
      <c r="B61" s="25" t="s">
        <v>201</v>
      </c>
      <c r="C61" s="34" t="s">
        <v>148</v>
      </c>
      <c r="D61" s="477" t="s">
        <v>391</v>
      </c>
      <c r="G61">
        <v>52</v>
      </c>
      <c r="H61">
        <f t="shared" si="0"/>
        <v>1.56</v>
      </c>
      <c r="I61" s="407">
        <f t="shared" si="1"/>
        <v>0.21321499999999996</v>
      </c>
      <c r="J61" s="408">
        <f t="shared" si="2"/>
        <v>1.3432544999999994</v>
      </c>
      <c r="K61" s="408">
        <f t="shared" si="31"/>
        <v>2.2316272499999998</v>
      </c>
      <c r="L61" s="408">
        <f t="shared" si="32"/>
        <v>0.88837275000000038</v>
      </c>
      <c r="M61" s="63">
        <f t="shared" si="3"/>
        <v>0</v>
      </c>
      <c r="N61" s="407">
        <f t="shared" si="46"/>
        <v>1.6074703898716729</v>
      </c>
      <c r="O61" s="407">
        <f t="shared" si="5"/>
        <v>1.293317279749792E-2</v>
      </c>
      <c r="P61">
        <f t="shared" si="6"/>
        <v>0.2</v>
      </c>
      <c r="Q61" s="407">
        <f t="shared" si="34"/>
        <v>0.21293317279749793</v>
      </c>
      <c r="R61" s="9">
        <f t="shared" si="39"/>
        <v>0.38776417358258791</v>
      </c>
      <c r="S61" s="9">
        <f t="shared" si="7"/>
        <v>1.5036105431418738E-3</v>
      </c>
      <c r="T61" s="9">
        <f t="shared" si="40"/>
        <v>1.5036105431418738E-3</v>
      </c>
      <c r="U61" s="407">
        <f t="shared" si="47"/>
        <v>0.74225282498323941</v>
      </c>
      <c r="V61" s="409">
        <f t="shared" si="9"/>
        <v>1.1018785123911991E-3</v>
      </c>
      <c r="W61" s="407">
        <f t="shared" si="41"/>
        <v>1.1018785123911991E-3</v>
      </c>
      <c r="X61" s="407">
        <f t="shared" si="48"/>
        <v>0.74225282498323941</v>
      </c>
      <c r="Y61" s="407">
        <f t="shared" si="11"/>
        <v>3.3056355371735967E-3</v>
      </c>
      <c r="Z61" s="407">
        <f t="shared" si="12"/>
        <v>0.11543691122686901</v>
      </c>
      <c r="AA61" s="407">
        <f t="shared" si="13"/>
        <v>0.14400000000000002</v>
      </c>
      <c r="AB61" s="407">
        <f t="shared" si="14"/>
        <v>0</v>
      </c>
      <c r="AC61" s="407">
        <f t="shared" si="49"/>
        <v>0.2629163679018508</v>
      </c>
      <c r="AD61" s="407">
        <f t="shared" si="50"/>
        <v>1.4258407337843133</v>
      </c>
      <c r="AE61" s="407">
        <f t="shared" si="17"/>
        <v>1.2198130788711535E-2</v>
      </c>
      <c r="AF61" s="407">
        <f t="shared" si="18"/>
        <v>2.2464000000000001E-2</v>
      </c>
      <c r="AG61" s="407">
        <f t="shared" si="51"/>
        <v>3.4746900235426349E-2</v>
      </c>
      <c r="AH61" s="407">
        <f t="shared" si="52"/>
        <v>0</v>
      </c>
      <c r="AI61">
        <f t="shared" si="21"/>
        <v>0</v>
      </c>
      <c r="AJ61" s="408">
        <f t="shared" si="22"/>
        <v>0.136746648</v>
      </c>
      <c r="AK61">
        <f t="shared" si="23"/>
        <v>4.8000000000000001E-2</v>
      </c>
      <c r="AL61" s="408">
        <f t="shared" si="24"/>
        <v>0.1215</v>
      </c>
      <c r="AM61" s="408">
        <f t="shared" si="25"/>
        <v>0.31645971316818772</v>
      </c>
      <c r="AN61" s="408">
        <f t="shared" si="42"/>
        <v>0.16949999999999998</v>
      </c>
      <c r="AO61" s="408">
        <f t="shared" si="53"/>
        <v>0.81944857799030812</v>
      </c>
      <c r="AP61">
        <f t="shared" si="27"/>
        <v>7.9559999999999995</v>
      </c>
      <c r="AQ61" s="10">
        <f t="shared" si="43"/>
        <v>0.90662032023689754</v>
      </c>
      <c r="AR61" s="63">
        <f t="shared" si="54"/>
        <v>13.14581839509254</v>
      </c>
      <c r="AS61" s="63">
        <f t="shared" si="44"/>
        <v>1.7373450117713174</v>
      </c>
      <c r="AT61" s="10"/>
      <c r="AU61">
        <f t="shared" si="45"/>
        <v>90.662032023689747</v>
      </c>
      <c r="BE61" s="28"/>
      <c r="BF61" s="29"/>
    </row>
    <row r="62" spans="1:60" x14ac:dyDescent="0.25">
      <c r="A62" s="33" t="s">
        <v>210</v>
      </c>
      <c r="B62" s="116">
        <v>20</v>
      </c>
      <c r="C62" s="417" t="s">
        <v>381</v>
      </c>
      <c r="D62" s="31" t="s">
        <v>184</v>
      </c>
      <c r="G62">
        <v>53</v>
      </c>
      <c r="H62">
        <f t="shared" si="0"/>
        <v>1.59</v>
      </c>
      <c r="I62" s="407">
        <f t="shared" si="1"/>
        <v>0.21322874999999999</v>
      </c>
      <c r="J62" s="408">
        <f t="shared" si="2"/>
        <v>1.3433411249999998</v>
      </c>
      <c r="K62" s="408">
        <f t="shared" si="31"/>
        <v>2.2616705625</v>
      </c>
      <c r="L62" s="408">
        <f t="shared" si="32"/>
        <v>0.91832943750000018</v>
      </c>
      <c r="M62" s="63">
        <f t="shared" si="3"/>
        <v>0</v>
      </c>
      <c r="N62" s="407">
        <f t="shared" si="46"/>
        <v>1.6366063815641059</v>
      </c>
      <c r="O62" s="407">
        <f t="shared" si="5"/>
        <v>1.3406766145279138E-2</v>
      </c>
      <c r="P62">
        <f t="shared" si="6"/>
        <v>0.2</v>
      </c>
      <c r="Q62" s="407">
        <f t="shared" si="34"/>
        <v>0.21340676614527915</v>
      </c>
      <c r="R62" s="9">
        <f t="shared" si="39"/>
        <v>0.38778918006612234</v>
      </c>
      <c r="S62" s="9">
        <f t="shared" si="7"/>
        <v>1.5038044817635547E-3</v>
      </c>
      <c r="T62" s="9">
        <f t="shared" si="40"/>
        <v>1.5038044817635547E-3</v>
      </c>
      <c r="U62" s="407">
        <f t="shared" si="47"/>
        <v>0.75573079721821856</v>
      </c>
      <c r="V62" s="409">
        <f t="shared" si="9"/>
        <v>1.1422580757281685E-3</v>
      </c>
      <c r="W62" s="407">
        <f t="shared" si="41"/>
        <v>1.1422580757281685E-3</v>
      </c>
      <c r="X62" s="407">
        <f t="shared" si="48"/>
        <v>0.75573079721821856</v>
      </c>
      <c r="Y62" s="407">
        <f t="shared" si="11"/>
        <v>3.4267742271845052E-3</v>
      </c>
      <c r="Z62" s="407">
        <f t="shared" si="12"/>
        <v>0.11768515057688753</v>
      </c>
      <c r="AA62" s="407">
        <f t="shared" si="13"/>
        <v>0.14400000000000002</v>
      </c>
      <c r="AB62" s="407">
        <f t="shared" si="14"/>
        <v>0</v>
      </c>
      <c r="AC62" s="407">
        <f t="shared" si="49"/>
        <v>0.26529374515778004</v>
      </c>
      <c r="AD62" s="407">
        <f t="shared" si="50"/>
        <v>1.4516719361867789</v>
      </c>
      <c r="AE62" s="407">
        <f t="shared" si="17"/>
        <v>1.2644108461873631E-2</v>
      </c>
      <c r="AF62" s="407">
        <f t="shared" si="18"/>
        <v>2.2896E-2</v>
      </c>
      <c r="AG62" s="407">
        <f t="shared" si="51"/>
        <v>3.5630210912132115E-2</v>
      </c>
      <c r="AH62" s="407">
        <f t="shared" si="52"/>
        <v>0</v>
      </c>
      <c r="AI62">
        <f t="shared" si="21"/>
        <v>0</v>
      </c>
      <c r="AJ62" s="408">
        <f t="shared" si="22"/>
        <v>0.13674562200000001</v>
      </c>
      <c r="AK62">
        <f t="shared" si="23"/>
        <v>4.8000000000000001E-2</v>
      </c>
      <c r="AL62" s="408">
        <f t="shared" si="24"/>
        <v>0.1215</v>
      </c>
      <c r="AM62" s="408">
        <f t="shared" si="25"/>
        <v>0.31645971316818772</v>
      </c>
      <c r="AN62" s="408">
        <f t="shared" si="42"/>
        <v>0.16949999999999998</v>
      </c>
      <c r="AO62" s="408">
        <f t="shared" si="53"/>
        <v>0.8232224067726831</v>
      </c>
      <c r="AP62">
        <f t="shared" si="27"/>
        <v>8.109</v>
      </c>
      <c r="AQ62" s="10">
        <f t="shared" si="43"/>
        <v>0.90783677686434561</v>
      </c>
      <c r="AR62" s="63">
        <f t="shared" si="54"/>
        <v>13.264687257889001</v>
      </c>
      <c r="AS62" s="63">
        <f t="shared" si="44"/>
        <v>1.7815105456066058</v>
      </c>
      <c r="AT62" s="10"/>
      <c r="AU62">
        <f t="shared" si="45"/>
        <v>90.783677686434558</v>
      </c>
      <c r="BE62" s="28"/>
      <c r="BF62" s="29"/>
    </row>
    <row r="63" spans="1:60" x14ac:dyDescent="0.25">
      <c r="A63" s="33" t="s">
        <v>210</v>
      </c>
      <c r="B63" s="116">
        <v>2</v>
      </c>
      <c r="C63" s="417" t="s">
        <v>278</v>
      </c>
      <c r="D63" s="31" t="s">
        <v>184</v>
      </c>
      <c r="G63">
        <v>54</v>
      </c>
      <c r="H63">
        <f t="shared" si="0"/>
        <v>1.62</v>
      </c>
      <c r="I63" s="407">
        <f t="shared" si="1"/>
        <v>0.21324249999999997</v>
      </c>
      <c r="J63" s="408">
        <f t="shared" si="2"/>
        <v>1.3434277499999996</v>
      </c>
      <c r="K63" s="408">
        <f t="shared" si="31"/>
        <v>2.2917138750000001</v>
      </c>
      <c r="L63" s="408">
        <f t="shared" si="32"/>
        <v>0.94828612500000031</v>
      </c>
      <c r="M63" s="63">
        <f t="shared" si="3"/>
        <v>0</v>
      </c>
      <c r="N63" s="407">
        <f t="shared" si="46"/>
        <v>1.6657730467531202</v>
      </c>
      <c r="O63" s="407">
        <f t="shared" si="5"/>
        <v>1.3889415355466556E-2</v>
      </c>
      <c r="P63">
        <f t="shared" si="6"/>
        <v>0.2</v>
      </c>
      <c r="Q63" s="407">
        <f t="shared" si="34"/>
        <v>0.21388941535546657</v>
      </c>
      <c r="R63" s="9">
        <f t="shared" si="39"/>
        <v>0.38781418654965655</v>
      </c>
      <c r="S63" s="9">
        <f t="shared" si="7"/>
        <v>1.503998432891718E-3</v>
      </c>
      <c r="T63" s="9">
        <f t="shared" si="40"/>
        <v>1.503998432891718E-3</v>
      </c>
      <c r="U63" s="407">
        <f t="shared" si="47"/>
        <v>0.76922380071250485</v>
      </c>
      <c r="V63" s="409">
        <f t="shared" si="9"/>
        <v>1.1834105111651826E-3</v>
      </c>
      <c r="W63" s="407">
        <f t="shared" si="41"/>
        <v>1.1834105111651826E-3</v>
      </c>
      <c r="X63" s="407">
        <f t="shared" si="48"/>
        <v>0.76922380071250485</v>
      </c>
      <c r="Y63" s="407">
        <f t="shared" si="11"/>
        <v>3.5502315334955481E-3</v>
      </c>
      <c r="Z63" s="407">
        <f t="shared" si="12"/>
        <v>0.11993338992690603</v>
      </c>
      <c r="AA63" s="407">
        <f t="shared" si="13"/>
        <v>0.14400000000000002</v>
      </c>
      <c r="AB63" s="407">
        <f t="shared" si="14"/>
        <v>0</v>
      </c>
      <c r="AC63" s="407">
        <f t="shared" si="49"/>
        <v>0.26767368216982684</v>
      </c>
      <c r="AD63" s="407">
        <f t="shared" si="50"/>
        <v>1.4775298940145278</v>
      </c>
      <c r="AE63" s="407">
        <f t="shared" si="17"/>
        <v>1.3098567526239491E-2</v>
      </c>
      <c r="AF63" s="407">
        <f t="shared" si="18"/>
        <v>2.3328000000000002E-2</v>
      </c>
      <c r="AG63" s="407">
        <f t="shared" si="51"/>
        <v>3.6522245345613373E-2</v>
      </c>
      <c r="AH63" s="407">
        <f t="shared" si="52"/>
        <v>0</v>
      </c>
      <c r="AI63">
        <f t="shared" si="21"/>
        <v>0</v>
      </c>
      <c r="AJ63" s="408">
        <f t="shared" si="22"/>
        <v>0.136744596</v>
      </c>
      <c r="AK63">
        <f t="shared" si="23"/>
        <v>4.8000000000000001E-2</v>
      </c>
      <c r="AL63" s="408">
        <f t="shared" si="24"/>
        <v>0.1215</v>
      </c>
      <c r="AM63" s="408">
        <f t="shared" si="25"/>
        <v>0.31645971316818772</v>
      </c>
      <c r="AN63" s="408">
        <f t="shared" si="42"/>
        <v>0.16949999999999998</v>
      </c>
      <c r="AO63" s="408">
        <f t="shared" si="53"/>
        <v>0.82701734781496361</v>
      </c>
      <c r="AP63">
        <f t="shared" si="27"/>
        <v>8.2620000000000005</v>
      </c>
      <c r="AQ63" s="10">
        <f t="shared" si="43"/>
        <v>0.90900915729753973</v>
      </c>
      <c r="AR63" s="63">
        <f t="shared" si="54"/>
        <v>13.383684108491343</v>
      </c>
      <c r="AS63" s="63">
        <f t="shared" si="44"/>
        <v>1.8261122672806687</v>
      </c>
      <c r="AT63" s="10"/>
      <c r="AU63">
        <f t="shared" si="45"/>
        <v>90.900915729753976</v>
      </c>
      <c r="BE63" s="28"/>
      <c r="BF63" s="29"/>
    </row>
    <row r="64" spans="1:60" x14ac:dyDescent="0.25">
      <c r="A64" s="117"/>
      <c r="B64" s="40"/>
      <c r="G64">
        <v>55</v>
      </c>
      <c r="H64">
        <f t="shared" si="0"/>
        <v>1.6500000000000001</v>
      </c>
      <c r="I64" s="407">
        <f t="shared" si="1"/>
        <v>0.21325625000000001</v>
      </c>
      <c r="J64" s="408">
        <f t="shared" si="2"/>
        <v>1.3435143749999996</v>
      </c>
      <c r="K64" s="408">
        <f t="shared" si="31"/>
        <v>2.3217571874999998</v>
      </c>
      <c r="L64" s="408">
        <f t="shared" si="32"/>
        <v>0.97824281250000034</v>
      </c>
      <c r="M64" s="63">
        <f t="shared" si="3"/>
        <v>0</v>
      </c>
      <c r="N64" s="407">
        <f t="shared" si="46"/>
        <v>1.6949688019703009</v>
      </c>
      <c r="O64" s="407">
        <f t="shared" si="5"/>
        <v>1.4381122519693035E-2</v>
      </c>
      <c r="P64">
        <f t="shared" si="6"/>
        <v>0.2</v>
      </c>
      <c r="Q64" s="407">
        <f t="shared" si="34"/>
        <v>0.21438112251969305</v>
      </c>
      <c r="R64" s="9">
        <f t="shared" si="39"/>
        <v>0.38783919303319081</v>
      </c>
      <c r="S64" s="9">
        <f t="shared" si="7"/>
        <v>1.5041923965263665E-3</v>
      </c>
      <c r="T64" s="9">
        <f t="shared" si="40"/>
        <v>1.5041923965263665E-3</v>
      </c>
      <c r="U64" s="407">
        <f t="shared" si="47"/>
        <v>0.78273110555360748</v>
      </c>
      <c r="V64" s="409">
        <f t="shared" si="9"/>
        <v>1.2253359672023453E-3</v>
      </c>
      <c r="W64" s="407">
        <f t="shared" si="41"/>
        <v>1.2253359672023453E-3</v>
      </c>
      <c r="X64" s="407">
        <f t="shared" si="48"/>
        <v>0.78273110555360748</v>
      </c>
      <c r="Y64" s="407">
        <f t="shared" si="11"/>
        <v>3.6760079016070358E-3</v>
      </c>
      <c r="Z64" s="407">
        <f t="shared" si="12"/>
        <v>0.12218162927692454</v>
      </c>
      <c r="AA64" s="407">
        <f t="shared" si="13"/>
        <v>0.14400000000000002</v>
      </c>
      <c r="AB64" s="407">
        <f t="shared" si="14"/>
        <v>0</v>
      </c>
      <c r="AC64" s="407">
        <f t="shared" si="49"/>
        <v>0.27005618291098332</v>
      </c>
      <c r="AD64" s="407">
        <f t="shared" si="50"/>
        <v>1.5034132020344453</v>
      </c>
      <c r="AE64" s="407">
        <f t="shared" si="17"/>
        <v>1.3561507536308783E-2</v>
      </c>
      <c r="AF64" s="407">
        <f t="shared" si="18"/>
        <v>2.376E-2</v>
      </c>
      <c r="AG64" s="407">
        <f t="shared" si="51"/>
        <v>3.7423010022799894E-2</v>
      </c>
      <c r="AH64" s="407">
        <f t="shared" si="52"/>
        <v>0</v>
      </c>
      <c r="AI64">
        <f t="shared" si="21"/>
        <v>0</v>
      </c>
      <c r="AJ64" s="408">
        <f t="shared" si="22"/>
        <v>0.13674357000000001</v>
      </c>
      <c r="AK64">
        <f t="shared" si="23"/>
        <v>4.8000000000000001E-2</v>
      </c>
      <c r="AL64" s="408">
        <f t="shared" si="24"/>
        <v>0.1215</v>
      </c>
      <c r="AM64" s="408">
        <f t="shared" si="25"/>
        <v>0.31645971316818772</v>
      </c>
      <c r="AN64" s="408">
        <f t="shared" si="42"/>
        <v>0.16949999999999998</v>
      </c>
      <c r="AO64" s="408">
        <f t="shared" si="53"/>
        <v>0.83083341381720499</v>
      </c>
      <c r="AP64">
        <f t="shared" si="27"/>
        <v>8.4150000000000009</v>
      </c>
      <c r="AQ64" s="10">
        <f t="shared" si="43"/>
        <v>0.9101396946460677</v>
      </c>
      <c r="AR64" s="63">
        <f t="shared" si="54"/>
        <v>13.502809145549167</v>
      </c>
      <c r="AS64" s="63">
        <f t="shared" si="44"/>
        <v>1.8711505011399947</v>
      </c>
      <c r="AT64" s="10"/>
      <c r="AU64">
        <f t="shared" si="45"/>
        <v>91.013969464606774</v>
      </c>
      <c r="BE64" s="28"/>
      <c r="BF64" s="29"/>
    </row>
    <row r="65" spans="1:58" x14ac:dyDescent="0.25">
      <c r="G65">
        <v>56</v>
      </c>
      <c r="H65">
        <f t="shared" si="0"/>
        <v>1.6800000000000002</v>
      </c>
      <c r="I65" s="407">
        <f t="shared" si="1"/>
        <v>0.21326999999999999</v>
      </c>
      <c r="J65" s="408">
        <f t="shared" si="2"/>
        <v>1.3436009999999996</v>
      </c>
      <c r="K65" s="408">
        <f t="shared" si="31"/>
        <v>2.3518005</v>
      </c>
      <c r="L65" s="408">
        <f t="shared" si="32"/>
        <v>1.0081995000000004</v>
      </c>
      <c r="M65" s="63">
        <f t="shared" si="3"/>
        <v>0</v>
      </c>
      <c r="N65" s="407">
        <f t="shared" si="46"/>
        <v>1.7241921694714746</v>
      </c>
      <c r="O65" s="407">
        <f t="shared" si="5"/>
        <v>1.4881889769094193E-2</v>
      </c>
      <c r="P65">
        <f t="shared" si="6"/>
        <v>0.2</v>
      </c>
      <c r="Q65" s="407">
        <f t="shared" si="34"/>
        <v>0.2148818897690942</v>
      </c>
      <c r="R65" s="9">
        <f t="shared" si="39"/>
        <v>0.38786419951672507</v>
      </c>
      <c r="S65" s="9">
        <f t="shared" si="7"/>
        <v>1.5043863726674992E-3</v>
      </c>
      <c r="T65" s="9">
        <f t="shared" si="40"/>
        <v>1.5043863726674992E-3</v>
      </c>
      <c r="U65" s="407">
        <f t="shared" si="47"/>
        <v>0.79625203055934479</v>
      </c>
      <c r="V65" s="409">
        <f t="shared" si="9"/>
        <v>1.2680345923397596E-3</v>
      </c>
      <c r="W65" s="407">
        <f t="shared" si="41"/>
        <v>1.2680345923397596E-3</v>
      </c>
      <c r="X65" s="407">
        <f t="shared" si="48"/>
        <v>0.79625203055934479</v>
      </c>
      <c r="Y65" s="407">
        <f t="shared" si="11"/>
        <v>3.8041037770192789E-3</v>
      </c>
      <c r="Z65" s="407">
        <f t="shared" si="12"/>
        <v>0.12442986862694304</v>
      </c>
      <c r="AA65" s="407">
        <f t="shared" si="13"/>
        <v>0.14400000000000002</v>
      </c>
      <c r="AB65" s="407">
        <f t="shared" si="14"/>
        <v>0</v>
      </c>
      <c r="AC65" s="407">
        <f t="shared" si="49"/>
        <v>0.27244125136262726</v>
      </c>
      <c r="AD65" s="407">
        <f t="shared" si="50"/>
        <v>1.5293205488375778</v>
      </c>
      <c r="AE65" s="407">
        <f t="shared" si="17"/>
        <v>1.4032928046581222E-2</v>
      </c>
      <c r="AF65" s="407">
        <f t="shared" si="18"/>
        <v>2.4192000000000002E-2</v>
      </c>
      <c r="AG65" s="407">
        <f t="shared" si="51"/>
        <v>3.8332511521787217E-2</v>
      </c>
      <c r="AH65" s="407">
        <f t="shared" si="52"/>
        <v>0</v>
      </c>
      <c r="AI65">
        <f t="shared" si="21"/>
        <v>0</v>
      </c>
      <c r="AJ65" s="408">
        <f t="shared" si="22"/>
        <v>0.13674254400000002</v>
      </c>
      <c r="AK65">
        <f t="shared" si="23"/>
        <v>4.8000000000000001E-2</v>
      </c>
      <c r="AL65" s="408">
        <f t="shared" si="24"/>
        <v>0.1215</v>
      </c>
      <c r="AM65" s="408">
        <f t="shared" si="25"/>
        <v>0.31645971316818772</v>
      </c>
      <c r="AN65" s="408">
        <f t="shared" si="42"/>
        <v>0.16949999999999998</v>
      </c>
      <c r="AO65" s="408">
        <f t="shared" si="53"/>
        <v>0.83467061761851591</v>
      </c>
      <c r="AP65">
        <f t="shared" si="27"/>
        <v>8.5679999999999996</v>
      </c>
      <c r="AQ65" s="10">
        <f t="shared" si="43"/>
        <v>0.91123047360028453</v>
      </c>
      <c r="AR65" s="63">
        <f t="shared" si="54"/>
        <v>13.622062568131362</v>
      </c>
      <c r="AS65" s="63">
        <f t="shared" si="44"/>
        <v>1.9166255760893609</v>
      </c>
      <c r="AT65" s="10"/>
      <c r="AU65">
        <f t="shared" si="45"/>
        <v>91.123047360028451</v>
      </c>
      <c r="BE65" s="28"/>
      <c r="BF65" s="29"/>
    </row>
    <row r="66" spans="1:58" x14ac:dyDescent="0.25">
      <c r="A66" s="12" t="s">
        <v>149</v>
      </c>
      <c r="B66" s="41"/>
      <c r="C66" s="41"/>
      <c r="G66">
        <v>57</v>
      </c>
      <c r="H66">
        <f t="shared" si="0"/>
        <v>1.71</v>
      </c>
      <c r="I66" s="407">
        <f t="shared" si="1"/>
        <v>0.21328374999999997</v>
      </c>
      <c r="J66" s="408">
        <f t="shared" si="2"/>
        <v>1.3436876249999994</v>
      </c>
      <c r="K66" s="408">
        <f t="shared" si="31"/>
        <v>2.3818438124999997</v>
      </c>
      <c r="L66" s="408">
        <f t="shared" si="32"/>
        <v>1.0381561875000003</v>
      </c>
      <c r="M66" s="63">
        <f t="shared" si="3"/>
        <v>0</v>
      </c>
      <c r="N66" s="407">
        <f t="shared" si="46"/>
        <v>1.7534417686742583</v>
      </c>
      <c r="O66" s="407">
        <f t="shared" si="5"/>
        <v>1.5391719274331469E-2</v>
      </c>
      <c r="P66">
        <f t="shared" si="6"/>
        <v>0.2</v>
      </c>
      <c r="Q66" s="407">
        <f t="shared" si="34"/>
        <v>0.21539171927433148</v>
      </c>
      <c r="R66" s="9">
        <f t="shared" si="39"/>
        <v>0.38788920600025928</v>
      </c>
      <c r="S66" s="9">
        <f t="shared" si="7"/>
        <v>1.5045803613151158E-3</v>
      </c>
      <c r="T66" s="9">
        <f t="shared" si="40"/>
        <v>1.5045803613151158E-3</v>
      </c>
      <c r="U66" s="407">
        <f t="shared" si="47"/>
        <v>0.80978593933135445</v>
      </c>
      <c r="V66" s="409">
        <f t="shared" si="9"/>
        <v>1.3115065350775281E-3</v>
      </c>
      <c r="W66" s="407">
        <f t="shared" si="41"/>
        <v>1.3115065350775281E-3</v>
      </c>
      <c r="X66" s="407">
        <f t="shared" si="48"/>
        <v>0.80978593933135445</v>
      </c>
      <c r="Y66" s="407">
        <f t="shared" si="11"/>
        <v>3.9345196052325846E-3</v>
      </c>
      <c r="Z66" s="407">
        <f t="shared" si="12"/>
        <v>0.12667810797696152</v>
      </c>
      <c r="AA66" s="407">
        <f t="shared" si="13"/>
        <v>0.14400000000000002</v>
      </c>
      <c r="AB66" s="407">
        <f t="shared" si="14"/>
        <v>0</v>
      </c>
      <c r="AC66" s="407">
        <f t="shared" si="49"/>
        <v>0.27482889151454382</v>
      </c>
      <c r="AD66" s="407">
        <f t="shared" si="50"/>
        <v>1.5552507092403935</v>
      </c>
      <c r="AE66" s="407">
        <f t="shared" si="17"/>
        <v>1.4512828611556483E-2</v>
      </c>
      <c r="AF66" s="407">
        <f t="shared" si="18"/>
        <v>2.4624E-2</v>
      </c>
      <c r="AG66" s="407">
        <f t="shared" si="51"/>
        <v>3.9250756511982954E-2</v>
      </c>
      <c r="AH66" s="407">
        <f t="shared" si="52"/>
        <v>0</v>
      </c>
      <c r="AI66">
        <f t="shared" si="21"/>
        <v>0</v>
      </c>
      <c r="AJ66" s="408">
        <f t="shared" si="22"/>
        <v>0.13674151800000001</v>
      </c>
      <c r="AK66">
        <f t="shared" si="23"/>
        <v>4.8000000000000001E-2</v>
      </c>
      <c r="AL66" s="408">
        <f t="shared" si="24"/>
        <v>0.1215</v>
      </c>
      <c r="AM66" s="408">
        <f t="shared" si="25"/>
        <v>0.31645971316818772</v>
      </c>
      <c r="AN66" s="408">
        <f t="shared" si="42"/>
        <v>0.16949999999999998</v>
      </c>
      <c r="AO66" s="408">
        <f t="shared" si="53"/>
        <v>0.83852897219725087</v>
      </c>
      <c r="AP66">
        <f t="shared" si="27"/>
        <v>8.7210000000000001</v>
      </c>
      <c r="AQ66" s="10">
        <f t="shared" si="43"/>
        <v>0.91228344255914573</v>
      </c>
      <c r="AR66" s="63">
        <f t="shared" si="54"/>
        <v>13.74144457572719</v>
      </c>
      <c r="AS66" s="63">
        <f t="shared" si="44"/>
        <v>1.9625378255991477</v>
      </c>
      <c r="AT66" s="10"/>
      <c r="AU66">
        <f t="shared" si="45"/>
        <v>91.228344255914578</v>
      </c>
      <c r="BE66" s="28"/>
      <c r="BF66" s="29"/>
    </row>
    <row r="67" spans="1:58" x14ac:dyDescent="0.25">
      <c r="A67" s="24" t="s">
        <v>125</v>
      </c>
      <c r="B67" s="25" t="s">
        <v>8</v>
      </c>
      <c r="C67" s="25" t="s">
        <v>148</v>
      </c>
      <c r="G67">
        <v>58</v>
      </c>
      <c r="H67">
        <f t="shared" si="0"/>
        <v>1.7399999999999998</v>
      </c>
      <c r="I67" s="407">
        <f t="shared" si="1"/>
        <v>0.2132975</v>
      </c>
      <c r="J67" s="408">
        <f t="shared" si="2"/>
        <v>1.3437742499999996</v>
      </c>
      <c r="K67" s="408">
        <f t="shared" si="31"/>
        <v>2.4118871249999998</v>
      </c>
      <c r="L67" s="408">
        <f t="shared" si="32"/>
        <v>1.068112875</v>
      </c>
      <c r="M67" s="63">
        <f t="shared" si="3"/>
        <v>0</v>
      </c>
      <c r="N67" s="407">
        <f t="shared" si="46"/>
        <v>1.7827163084032527</v>
      </c>
      <c r="O67" s="407">
        <f t="shared" si="5"/>
        <v>1.5910613245615702E-2</v>
      </c>
      <c r="P67">
        <f t="shared" si="6"/>
        <v>0.2</v>
      </c>
      <c r="Q67" s="407">
        <f t="shared" si="34"/>
        <v>0.21591061324561572</v>
      </c>
      <c r="R67" s="9">
        <f t="shared" si="39"/>
        <v>0.38791421248379365</v>
      </c>
      <c r="S67" s="9">
        <f t="shared" si="7"/>
        <v>1.5047743624692182E-3</v>
      </c>
      <c r="T67" s="9">
        <f t="shared" si="40"/>
        <v>1.5047743624692182E-3</v>
      </c>
      <c r="U67" s="407">
        <f t="shared" si="47"/>
        <v>0.82333223668084177</v>
      </c>
      <c r="V67" s="409">
        <f t="shared" si="9"/>
        <v>1.3557519439157553E-3</v>
      </c>
      <c r="W67" s="407">
        <f t="shared" si="41"/>
        <v>1.3557519439157553E-3</v>
      </c>
      <c r="X67" s="407">
        <f t="shared" si="48"/>
        <v>0.82333223668084177</v>
      </c>
      <c r="Y67" s="407">
        <f t="shared" si="11"/>
        <v>4.0672558317472662E-3</v>
      </c>
      <c r="Z67" s="407">
        <f t="shared" si="12"/>
        <v>0.12892634732698002</v>
      </c>
      <c r="AA67" s="407">
        <f t="shared" si="13"/>
        <v>0.14400000000000002</v>
      </c>
      <c r="AB67" s="407">
        <f t="shared" si="14"/>
        <v>0</v>
      </c>
      <c r="AC67" s="407">
        <f t="shared" si="49"/>
        <v>0.2772191073649477</v>
      </c>
      <c r="AD67" s="407">
        <f t="shared" si="50"/>
        <v>1.5812025374027969</v>
      </c>
      <c r="AE67" s="407">
        <f t="shared" si="17"/>
        <v>1.5001208785734261E-2</v>
      </c>
      <c r="AF67" s="407">
        <f t="shared" si="18"/>
        <v>2.5055999999999995E-2</v>
      </c>
      <c r="AG67" s="407">
        <f t="shared" si="51"/>
        <v>4.0177751754255649E-2</v>
      </c>
      <c r="AH67" s="407">
        <f t="shared" si="52"/>
        <v>0</v>
      </c>
      <c r="AI67">
        <f t="shared" si="21"/>
        <v>0</v>
      </c>
      <c r="AJ67" s="408">
        <f t="shared" si="22"/>
        <v>0.13674049200000002</v>
      </c>
      <c r="AK67">
        <f t="shared" si="23"/>
        <v>4.8000000000000001E-2</v>
      </c>
      <c r="AL67" s="408">
        <f t="shared" si="24"/>
        <v>0.1215</v>
      </c>
      <c r="AM67" s="408">
        <f t="shared" si="25"/>
        <v>0.31645971316818772</v>
      </c>
      <c r="AN67" s="408">
        <f t="shared" si="42"/>
        <v>0.16949999999999998</v>
      </c>
      <c r="AO67" s="408">
        <f t="shared" si="53"/>
        <v>0.84240849067120405</v>
      </c>
      <c r="AP67">
        <f t="shared" si="27"/>
        <v>8.8739999999999988</v>
      </c>
      <c r="AQ67" s="10">
        <f t="shared" si="43"/>
        <v>0.9133004245879528</v>
      </c>
      <c r="AR67" s="63">
        <f t="shared" si="54"/>
        <v>13.860955368247385</v>
      </c>
      <c r="AS67" s="63">
        <f t="shared" si="44"/>
        <v>2.0088875877127825</v>
      </c>
      <c r="AT67" s="10"/>
      <c r="AU67">
        <f t="shared" si="45"/>
        <v>91.330042458795276</v>
      </c>
      <c r="BE67" s="28"/>
      <c r="BF67" s="29"/>
    </row>
    <row r="68" spans="1:58" x14ac:dyDescent="0.25">
      <c r="A68" s="42" t="s">
        <v>386</v>
      </c>
      <c r="B68" s="410">
        <f>I109</f>
        <v>0.21387499999999995</v>
      </c>
      <c r="C68" s="31" t="s">
        <v>23</v>
      </c>
      <c r="G68">
        <v>59</v>
      </c>
      <c r="H68">
        <f t="shared" si="0"/>
        <v>1.77</v>
      </c>
      <c r="I68" s="407">
        <f t="shared" si="1"/>
        <v>0.21331124999999998</v>
      </c>
      <c r="J68" s="408">
        <f t="shared" si="2"/>
        <v>1.3438608749999996</v>
      </c>
      <c r="K68" s="408">
        <f t="shared" si="31"/>
        <v>2.4419304374999999</v>
      </c>
      <c r="L68" s="408">
        <f t="shared" si="32"/>
        <v>1.0980695625000001</v>
      </c>
      <c r="M68" s="63">
        <f t="shared" si="3"/>
        <v>0</v>
      </c>
      <c r="N68" s="407">
        <f t="shared" si="46"/>
        <v>1.8120145798566247</v>
      </c>
      <c r="O68" s="407">
        <f t="shared" si="5"/>
        <v>1.643857393273114E-2</v>
      </c>
      <c r="P68">
        <f t="shared" si="6"/>
        <v>0.2</v>
      </c>
      <c r="Q68" s="407">
        <f t="shared" si="34"/>
        <v>0.21643857393273114</v>
      </c>
      <c r="R68" s="9">
        <f t="shared" si="39"/>
        <v>0.38793921896732791</v>
      </c>
      <c r="S68" s="9">
        <f t="shared" si="7"/>
        <v>1.5049683761298039E-3</v>
      </c>
      <c r="T68" s="9">
        <f t="shared" si="40"/>
        <v>1.5049683761298039E-3</v>
      </c>
      <c r="U68" s="407">
        <f t="shared" si="47"/>
        <v>0.83689036538681205</v>
      </c>
      <c r="V68" s="409">
        <f t="shared" si="9"/>
        <v>1.4007709673545437E-3</v>
      </c>
      <c r="W68" s="407">
        <f t="shared" si="41"/>
        <v>1.4007709673545437E-3</v>
      </c>
      <c r="X68" s="407">
        <f t="shared" si="48"/>
        <v>0.83689036538681205</v>
      </c>
      <c r="Y68" s="407">
        <f t="shared" si="11"/>
        <v>4.202312902063631E-3</v>
      </c>
      <c r="Z68" s="407">
        <f t="shared" si="12"/>
        <v>0.13117458667699855</v>
      </c>
      <c r="AA68" s="407">
        <f t="shared" si="13"/>
        <v>0.14400000000000002</v>
      </c>
      <c r="AB68" s="407">
        <f t="shared" si="14"/>
        <v>0</v>
      </c>
      <c r="AC68" s="407">
        <f t="shared" si="49"/>
        <v>0.27961190292050486</v>
      </c>
      <c r="AD68" s="407">
        <f t="shared" si="50"/>
        <v>1.6071749605863415</v>
      </c>
      <c r="AE68" s="407">
        <f t="shared" si="17"/>
        <v>1.5498068123614249E-2</v>
      </c>
      <c r="AF68" s="407">
        <f t="shared" si="18"/>
        <v>2.5488E-2</v>
      </c>
      <c r="AG68" s="407">
        <f t="shared" si="51"/>
        <v>4.1113504101086079E-2</v>
      </c>
      <c r="AH68" s="407">
        <f t="shared" si="52"/>
        <v>0</v>
      </c>
      <c r="AI68">
        <f t="shared" si="21"/>
        <v>0</v>
      </c>
      <c r="AJ68" s="408">
        <f t="shared" si="22"/>
        <v>0.136739466</v>
      </c>
      <c r="AK68">
        <f t="shared" si="23"/>
        <v>4.8000000000000001E-2</v>
      </c>
      <c r="AL68" s="408">
        <f t="shared" si="24"/>
        <v>0.1215</v>
      </c>
      <c r="AM68" s="408">
        <f t="shared" si="25"/>
        <v>0.31645971316818772</v>
      </c>
      <c r="AN68" s="408">
        <f t="shared" si="42"/>
        <v>0.16949999999999998</v>
      </c>
      <c r="AO68" s="408">
        <f t="shared" si="53"/>
        <v>0.84630918629780638</v>
      </c>
      <c r="AP68">
        <f t="shared" si="27"/>
        <v>9.0269999999999992</v>
      </c>
      <c r="AQ68" s="10">
        <f t="shared" si="43"/>
        <v>0.91428312733563366</v>
      </c>
      <c r="AR68" s="63">
        <f t="shared" si="54"/>
        <v>13.980595146025243</v>
      </c>
      <c r="AS68" s="63">
        <f t="shared" si="44"/>
        <v>2.0556752050543041</v>
      </c>
      <c r="AT68" s="10"/>
      <c r="AU68">
        <f t="shared" si="45"/>
        <v>91.428312733563359</v>
      </c>
      <c r="BE68" s="28"/>
      <c r="BF68" s="29"/>
    </row>
    <row r="69" spans="1:58" x14ac:dyDescent="0.25">
      <c r="A69" s="33" t="s">
        <v>151</v>
      </c>
      <c r="B69" s="410">
        <f>1-B68</f>
        <v>0.78612500000000007</v>
      </c>
      <c r="C69" s="31" t="s">
        <v>23</v>
      </c>
      <c r="G69">
        <v>60</v>
      </c>
      <c r="H69">
        <f t="shared" si="0"/>
        <v>1.7999999999999998</v>
      </c>
      <c r="I69" s="407">
        <f t="shared" si="1"/>
        <v>0.21332499999999999</v>
      </c>
      <c r="J69" s="408">
        <f t="shared" si="2"/>
        <v>1.3439474999999996</v>
      </c>
      <c r="K69" s="408">
        <f t="shared" si="31"/>
        <v>2.4719737499999996</v>
      </c>
      <c r="L69" s="408">
        <f t="shared" si="32"/>
        <v>1.12802625</v>
      </c>
      <c r="M69" s="63">
        <f t="shared" si="3"/>
        <v>0</v>
      </c>
      <c r="N69" s="407">
        <f t="shared" si="46"/>
        <v>1.8413354502180439</v>
      </c>
      <c r="O69" s="407">
        <f t="shared" si="5"/>
        <v>1.6975603625059819E-2</v>
      </c>
      <c r="P69">
        <f t="shared" si="6"/>
        <v>0.2</v>
      </c>
      <c r="Q69" s="407">
        <f t="shared" si="34"/>
        <v>0.21697560362505983</v>
      </c>
      <c r="R69" s="9">
        <f t="shared" si="39"/>
        <v>0.38796422545086218</v>
      </c>
      <c r="S69" s="9">
        <f t="shared" si="7"/>
        <v>1.505162402296874E-3</v>
      </c>
      <c r="T69" s="9">
        <f t="shared" si="40"/>
        <v>1.505162402296874E-3</v>
      </c>
      <c r="U69" s="407">
        <f t="shared" si="47"/>
        <v>0.85045980325174564</v>
      </c>
      <c r="V69" s="409">
        <f t="shared" si="9"/>
        <v>1.4465637538939957E-3</v>
      </c>
      <c r="W69" s="407">
        <f t="shared" si="41"/>
        <v>1.4465637538939957E-3</v>
      </c>
      <c r="X69" s="407">
        <f t="shared" si="48"/>
        <v>0.85045980325174564</v>
      </c>
      <c r="Y69" s="407">
        <f t="shared" si="11"/>
        <v>4.3396912616819874E-3</v>
      </c>
      <c r="Z69" s="407">
        <f t="shared" si="12"/>
        <v>0.13342282602701702</v>
      </c>
      <c r="AA69" s="407">
        <f t="shared" si="13"/>
        <v>0.14400000000000002</v>
      </c>
      <c r="AB69" s="407">
        <f t="shared" si="14"/>
        <v>0</v>
      </c>
      <c r="AC69" s="407">
        <f t="shared" si="49"/>
        <v>0.28200728219635474</v>
      </c>
      <c r="AD69" s="407">
        <f t="shared" si="50"/>
        <v>1.6331669734851635</v>
      </c>
      <c r="AE69" s="407">
        <f t="shared" si="17"/>
        <v>1.6003406179696131E-2</v>
      </c>
      <c r="AF69" s="407">
        <f t="shared" si="18"/>
        <v>2.5919999999999995E-2</v>
      </c>
      <c r="AG69" s="407">
        <f t="shared" si="51"/>
        <v>4.2058020496720729E-2</v>
      </c>
      <c r="AH69" s="407">
        <f t="shared" si="52"/>
        <v>0</v>
      </c>
      <c r="AI69">
        <f t="shared" si="21"/>
        <v>0</v>
      </c>
      <c r="AJ69" s="408">
        <f t="shared" si="22"/>
        <v>0.13673844000000002</v>
      </c>
      <c r="AK69">
        <f t="shared" si="23"/>
        <v>4.8000000000000001E-2</v>
      </c>
      <c r="AL69" s="408">
        <f t="shared" si="24"/>
        <v>0.1215</v>
      </c>
      <c r="AM69" s="408">
        <f t="shared" si="25"/>
        <v>0.31645971316818772</v>
      </c>
      <c r="AN69" s="408">
        <f t="shared" si="42"/>
        <v>0.16949999999999998</v>
      </c>
      <c r="AO69" s="408">
        <f t="shared" si="53"/>
        <v>0.85023107247432606</v>
      </c>
      <c r="AP69">
        <f t="shared" si="27"/>
        <v>9.1799999999999979</v>
      </c>
      <c r="AQ69" s="10">
        <f t="shared" si="43"/>
        <v>0.91523315202502253</v>
      </c>
      <c r="AR69" s="63">
        <f t="shared" si="54"/>
        <v>14.100364109817736</v>
      </c>
      <c r="AS69" s="63">
        <f t="shared" si="44"/>
        <v>2.1029010248360365</v>
      </c>
      <c r="AT69" s="10"/>
      <c r="AU69">
        <f t="shared" si="45"/>
        <v>91.52331520250226</v>
      </c>
      <c r="BE69" s="28"/>
      <c r="BF69" s="29"/>
    </row>
    <row r="70" spans="1:58" x14ac:dyDescent="0.25">
      <c r="A70" s="43" t="s">
        <v>387</v>
      </c>
      <c r="B70" s="410">
        <f>Ipp</f>
        <v>0.78612500000000007</v>
      </c>
      <c r="C70" s="31" t="s">
        <v>2</v>
      </c>
      <c r="G70">
        <v>61</v>
      </c>
      <c r="H70">
        <f t="shared" si="0"/>
        <v>1.83</v>
      </c>
      <c r="I70" s="407">
        <f t="shared" si="1"/>
        <v>0.21333874999999999</v>
      </c>
      <c r="J70" s="408">
        <f t="shared" si="2"/>
        <v>1.3440341249999999</v>
      </c>
      <c r="K70" s="408">
        <f t="shared" si="31"/>
        <v>2.5020170625000002</v>
      </c>
      <c r="L70" s="408">
        <f t="shared" si="32"/>
        <v>1.1579829375000001</v>
      </c>
      <c r="M70" s="63">
        <f t="shared" si="3"/>
        <v>0</v>
      </c>
      <c r="N70" s="407">
        <f t="shared" si="46"/>
        <v>1.8706778568468285</v>
      </c>
      <c r="O70" s="407">
        <f t="shared" si="5"/>
        <v>1.7521704651606483E-2</v>
      </c>
      <c r="P70">
        <f t="shared" si="6"/>
        <v>0.2</v>
      </c>
      <c r="Q70" s="407">
        <f t="shared" si="34"/>
        <v>0.2175217046516065</v>
      </c>
      <c r="R70" s="9">
        <f t="shared" si="39"/>
        <v>0.38798923193439655</v>
      </c>
      <c r="S70" s="9">
        <f t="shared" si="7"/>
        <v>1.5053564409704297E-3</v>
      </c>
      <c r="T70" s="9">
        <f t="shared" si="40"/>
        <v>1.5053564409704297E-3</v>
      </c>
      <c r="U70" s="407">
        <f t="shared" si="47"/>
        <v>0.86404006042376769</v>
      </c>
      <c r="V70" s="409">
        <f t="shared" si="9"/>
        <v>1.4931304520342161E-3</v>
      </c>
      <c r="W70" s="407">
        <f t="shared" si="41"/>
        <v>1.4931304520342161E-3</v>
      </c>
      <c r="X70" s="407">
        <f t="shared" si="48"/>
        <v>0.86404006042376769</v>
      </c>
      <c r="Y70" s="407">
        <f t="shared" si="11"/>
        <v>4.4793913561026483E-3</v>
      </c>
      <c r="Z70" s="407">
        <f t="shared" si="12"/>
        <v>0.13567106537703558</v>
      </c>
      <c r="AA70" s="407">
        <f t="shared" si="13"/>
        <v>0.14400000000000002</v>
      </c>
      <c r="AB70" s="407">
        <f t="shared" si="14"/>
        <v>0</v>
      </c>
      <c r="AC70" s="407">
        <f t="shared" si="49"/>
        <v>0.28440524921613197</v>
      </c>
      <c r="AD70" s="407">
        <f t="shared" si="50"/>
        <v>1.6591776330700505</v>
      </c>
      <c r="AE70" s="407">
        <f t="shared" si="17"/>
        <v>1.6517222508479611E-2</v>
      </c>
      <c r="AF70" s="407">
        <f t="shared" si="18"/>
        <v>2.6352E-2</v>
      </c>
      <c r="AG70" s="407">
        <f t="shared" si="51"/>
        <v>4.3011307977328064E-2</v>
      </c>
      <c r="AH70" s="407">
        <f t="shared" si="52"/>
        <v>0</v>
      </c>
      <c r="AI70">
        <f t="shared" si="21"/>
        <v>0</v>
      </c>
      <c r="AJ70" s="408">
        <f t="shared" si="22"/>
        <v>0.136737414</v>
      </c>
      <c r="AK70">
        <f t="shared" si="23"/>
        <v>4.8000000000000001E-2</v>
      </c>
      <c r="AL70" s="408">
        <f t="shared" si="24"/>
        <v>0.1215</v>
      </c>
      <c r="AM70" s="408">
        <f t="shared" si="25"/>
        <v>0.31645971316818772</v>
      </c>
      <c r="AN70" s="408">
        <f t="shared" si="42"/>
        <v>0.16949999999999998</v>
      </c>
      <c r="AO70" s="408">
        <f t="shared" si="53"/>
        <v>0.85417416273807112</v>
      </c>
      <c r="AP70">
        <f t="shared" si="27"/>
        <v>9.3330000000000002</v>
      </c>
      <c r="AQ70" s="10">
        <f t="shared" si="43"/>
        <v>0.91615200161567778</v>
      </c>
      <c r="AR70" s="63">
        <f t="shared" si="54"/>
        <v>14.220262460806598</v>
      </c>
      <c r="AS70" s="63">
        <f t="shared" si="44"/>
        <v>2.1505653988664033</v>
      </c>
      <c r="AT70" s="10"/>
      <c r="AU70">
        <f t="shared" si="45"/>
        <v>91.615200161567785</v>
      </c>
      <c r="BE70" s="28"/>
      <c r="BF70" s="29"/>
    </row>
    <row r="71" spans="1:58" x14ac:dyDescent="0.25">
      <c r="A71" s="24" t="s">
        <v>129</v>
      </c>
      <c r="B71" s="25" t="s">
        <v>8</v>
      </c>
      <c r="C71" s="27" t="s">
        <v>148</v>
      </c>
      <c r="G71">
        <v>62</v>
      </c>
      <c r="H71">
        <f t="shared" si="0"/>
        <v>1.8599999999999999</v>
      </c>
      <c r="I71" s="407">
        <f t="shared" si="1"/>
        <v>0.21335249999999997</v>
      </c>
      <c r="J71" s="408">
        <f t="shared" si="2"/>
        <v>1.3441207499999996</v>
      </c>
      <c r="K71" s="408">
        <f t="shared" si="31"/>
        <v>2.5320603749999995</v>
      </c>
      <c r="L71" s="408">
        <f t="shared" si="32"/>
        <v>1.1879396250000001</v>
      </c>
      <c r="M71" s="63">
        <f t="shared" si="3"/>
        <v>0</v>
      </c>
      <c r="N71" s="407">
        <f t="shared" si="46"/>
        <v>1.9000408019869064</v>
      </c>
      <c r="O71" s="407">
        <f t="shared" si="5"/>
        <v>1.8076879381023814E-2</v>
      </c>
      <c r="P71">
        <f t="shared" si="6"/>
        <v>0.2</v>
      </c>
      <c r="Q71" s="407">
        <f t="shared" si="34"/>
        <v>0.21807687938102382</v>
      </c>
      <c r="R71" s="9">
        <f t="shared" si="39"/>
        <v>0.38801423841793076</v>
      </c>
      <c r="S71" s="9">
        <f t="shared" si="7"/>
        <v>1.5055504921504682E-3</v>
      </c>
      <c r="T71" s="9">
        <f t="shared" si="40"/>
        <v>1.5055504921504682E-3</v>
      </c>
      <c r="U71" s="407">
        <f t="shared" si="47"/>
        <v>0.87763067695794061</v>
      </c>
      <c r="V71" s="409">
        <f t="shared" si="9"/>
        <v>1.5404712102753061E-3</v>
      </c>
      <c r="W71" s="407">
        <f t="shared" si="41"/>
        <v>1.5404712102753061E-3</v>
      </c>
      <c r="X71" s="407">
        <f t="shared" si="48"/>
        <v>0.87763067695794061</v>
      </c>
      <c r="Y71" s="407">
        <f t="shared" si="11"/>
        <v>4.6214136308259188E-3</v>
      </c>
      <c r="Z71" s="407">
        <f t="shared" si="12"/>
        <v>0.13791930472705405</v>
      </c>
      <c r="AA71" s="407">
        <f t="shared" si="13"/>
        <v>0.14400000000000002</v>
      </c>
      <c r="AB71" s="407">
        <f t="shared" si="14"/>
        <v>0</v>
      </c>
      <c r="AC71" s="407">
        <f t="shared" si="49"/>
        <v>0.28680580801198929</v>
      </c>
      <c r="AD71" s="407">
        <f t="shared" si="50"/>
        <v>1.6852060538929339</v>
      </c>
      <c r="AE71" s="407">
        <f t="shared" si="17"/>
        <v>1.7039516664464363E-2</v>
      </c>
      <c r="AF71" s="407">
        <f t="shared" si="18"/>
        <v>2.6783999999999999E-2</v>
      </c>
      <c r="AG71" s="407">
        <f t="shared" si="51"/>
        <v>4.3973373671156842E-2</v>
      </c>
      <c r="AH71" s="407">
        <f t="shared" si="52"/>
        <v>0</v>
      </c>
      <c r="AI71">
        <f t="shared" si="21"/>
        <v>0</v>
      </c>
      <c r="AJ71" s="408">
        <f t="shared" si="22"/>
        <v>0.13673638800000001</v>
      </c>
      <c r="AK71">
        <f t="shared" si="23"/>
        <v>4.8000000000000001E-2</v>
      </c>
      <c r="AL71" s="408">
        <f t="shared" si="24"/>
        <v>0.1215</v>
      </c>
      <c r="AM71" s="408">
        <f t="shared" si="25"/>
        <v>0.31645971316818772</v>
      </c>
      <c r="AN71" s="408">
        <f t="shared" si="42"/>
        <v>0.16949999999999998</v>
      </c>
      <c r="AO71" s="408">
        <f t="shared" si="53"/>
        <v>0.85813847076659577</v>
      </c>
      <c r="AP71">
        <f t="shared" si="27"/>
        <v>9.4859999999999989</v>
      </c>
      <c r="AQ71" s="10">
        <f t="shared" si="43"/>
        <v>0.91704108822675112</v>
      </c>
      <c r="AR71" s="63">
        <f t="shared" si="54"/>
        <v>14.340290400599464</v>
      </c>
      <c r="AS71" s="63">
        <f t="shared" si="44"/>
        <v>2.198668683557842</v>
      </c>
      <c r="AT71" s="10"/>
      <c r="AU71">
        <f t="shared" si="45"/>
        <v>91.70410882267511</v>
      </c>
      <c r="BE71" s="28"/>
      <c r="BF71" s="29"/>
    </row>
    <row r="72" spans="1:58" x14ac:dyDescent="0.25">
      <c r="A72" s="42" t="s">
        <v>166</v>
      </c>
      <c r="B72" s="410">
        <f>(QgdTop+QgsTop/2)*(RdsonDRT+RGateTop)/(Vdd-VspTop)*1000000000</f>
        <v>10.714285714285715</v>
      </c>
      <c r="C72" s="31" t="s">
        <v>147</v>
      </c>
      <c r="G72">
        <v>63</v>
      </c>
      <c r="H72">
        <f t="shared" si="0"/>
        <v>1.8900000000000001</v>
      </c>
      <c r="I72" s="407">
        <f t="shared" si="1"/>
        <v>0.21336624999999998</v>
      </c>
      <c r="J72" s="408">
        <f t="shared" si="2"/>
        <v>1.3442073749999996</v>
      </c>
      <c r="K72" s="408">
        <f t="shared" si="31"/>
        <v>2.5621036875000001</v>
      </c>
      <c r="L72" s="408">
        <f t="shared" si="32"/>
        <v>1.2178963125000002</v>
      </c>
      <c r="M72" s="63">
        <f t="shared" si="3"/>
        <v>0</v>
      </c>
      <c r="N72" s="407">
        <f t="shared" si="46"/>
        <v>1.9294233479419958</v>
      </c>
      <c r="O72" s="407">
        <f t="shared" si="5"/>
        <v>1.864113022163822E-2</v>
      </c>
      <c r="P72">
        <f t="shared" si="6"/>
        <v>0.2</v>
      </c>
      <c r="Q72" s="407">
        <f t="shared" si="34"/>
        <v>0.21864113022163822</v>
      </c>
      <c r="R72" s="9">
        <f t="shared" si="39"/>
        <v>0.38803924490146502</v>
      </c>
      <c r="S72" s="9">
        <f t="shared" si="7"/>
        <v>1.5057445558369915E-3</v>
      </c>
      <c r="T72" s="9">
        <f t="shared" si="40"/>
        <v>1.5057445558369915E-3</v>
      </c>
      <c r="U72" s="407">
        <f t="shared" si="47"/>
        <v>0.8912312205924372</v>
      </c>
      <c r="V72" s="409">
        <f t="shared" si="9"/>
        <v>1.5885861771173708E-3</v>
      </c>
      <c r="W72" s="407">
        <f t="shared" si="41"/>
        <v>1.5885861771173708E-3</v>
      </c>
      <c r="X72" s="407">
        <f t="shared" si="48"/>
        <v>0.8912312205924372</v>
      </c>
      <c r="Y72" s="407">
        <f t="shared" si="11"/>
        <v>4.7657585313521126E-3</v>
      </c>
      <c r="Z72" s="407">
        <f t="shared" si="12"/>
        <v>0.14016754407707255</v>
      </c>
      <c r="AA72" s="407">
        <f t="shared" si="13"/>
        <v>0.14400000000000002</v>
      </c>
      <c r="AB72" s="407">
        <f t="shared" si="14"/>
        <v>0</v>
      </c>
      <c r="AC72" s="407">
        <f t="shared" si="49"/>
        <v>0.28920896262461904</v>
      </c>
      <c r="AD72" s="407">
        <f t="shared" si="50"/>
        <v>1.7112514038051259</v>
      </c>
      <c r="AE72" s="407">
        <f t="shared" si="17"/>
        <v>1.7570288202150085E-2</v>
      </c>
      <c r="AF72" s="407">
        <f t="shared" si="18"/>
        <v>2.7216000000000001E-2</v>
      </c>
      <c r="AG72" s="407">
        <f t="shared" si="51"/>
        <v>4.4944224798697148E-2</v>
      </c>
      <c r="AH72" s="407">
        <f t="shared" si="52"/>
        <v>0</v>
      </c>
      <c r="AI72">
        <f t="shared" si="21"/>
        <v>0</v>
      </c>
      <c r="AJ72" s="408">
        <f t="shared" si="22"/>
        <v>0.136735362</v>
      </c>
      <c r="AK72">
        <f t="shared" si="23"/>
        <v>4.8000000000000001E-2</v>
      </c>
      <c r="AL72" s="408">
        <f t="shared" si="24"/>
        <v>0.1215</v>
      </c>
      <c r="AM72" s="408">
        <f t="shared" si="25"/>
        <v>0.31645971316818772</v>
      </c>
      <c r="AN72" s="408">
        <f t="shared" si="42"/>
        <v>0.16949999999999998</v>
      </c>
      <c r="AO72" s="408">
        <f t="shared" si="53"/>
        <v>0.86212401037790887</v>
      </c>
      <c r="AP72">
        <f t="shared" si="27"/>
        <v>9.6389999999999993</v>
      </c>
      <c r="AQ72" s="10">
        <f t="shared" si="43"/>
        <v>0.91790173989699575</v>
      </c>
      <c r="AR72" s="63">
        <f t="shared" si="54"/>
        <v>14.460448131230951</v>
      </c>
      <c r="AS72" s="63">
        <f t="shared" si="44"/>
        <v>2.2472112399348574</v>
      </c>
      <c r="AT72" s="10"/>
      <c r="AU72">
        <f t="shared" si="45"/>
        <v>91.790173989699582</v>
      </c>
      <c r="BE72" s="28"/>
      <c r="BF72" s="29"/>
    </row>
    <row r="73" spans="1:58" x14ac:dyDescent="0.25">
      <c r="A73" s="43" t="s">
        <v>167</v>
      </c>
      <c r="B73" s="410">
        <f>(QgdTop+QgsTop/2)*(RdsonDRT+RGateTop)/(VspTop)*1000000000</f>
        <v>10.103626943005183</v>
      </c>
      <c r="C73" s="31" t="s">
        <v>147</v>
      </c>
      <c r="G73">
        <v>64</v>
      </c>
      <c r="H73">
        <f t="shared" ref="H73:H136" si="55">Iout*(G73/200)</f>
        <v>1.92</v>
      </c>
      <c r="I73" s="407">
        <f t="shared" si="1"/>
        <v>0.21337999999999999</v>
      </c>
      <c r="J73" s="408">
        <f t="shared" ref="J73:J136" si="56">(Vin-Vout)*I73/(Fsw*Lout2)</f>
        <v>1.3442939999999997</v>
      </c>
      <c r="K73" s="408">
        <f t="shared" si="31"/>
        <v>2.5921469999999998</v>
      </c>
      <c r="L73" s="408">
        <f t="shared" si="32"/>
        <v>1.2478530000000001</v>
      </c>
      <c r="M73" s="63">
        <f t="shared" ref="M73:M136" si="57">IF(MIN(Vin, -L73/(CossTop+CossBot)*0.00000002)&lt;0, 0, MIN(Vin, -L73/(CossTop+CossBot)*0.00000002))</f>
        <v>0</v>
      </c>
      <c r="N73" s="407">
        <f t="shared" ref="N73:N109" si="58">SQRT(H73^2+(J73^2)/12)</f>
        <v>1.9588246126703126</v>
      </c>
      <c r="O73" s="407">
        <f t="shared" si="5"/>
        <v>1.9214459621475947E-2</v>
      </c>
      <c r="P73">
        <f t="shared" ref="P73:P136" si="59">Core_Loss</f>
        <v>0.2</v>
      </c>
      <c r="Q73" s="407">
        <f t="shared" si="34"/>
        <v>0.21921445962147595</v>
      </c>
      <c r="R73" s="9">
        <f t="shared" si="39"/>
        <v>0.38806425138499934</v>
      </c>
      <c r="S73" s="9">
        <f t="shared" si="7"/>
        <v>1.5059386320299998E-3</v>
      </c>
      <c r="T73" s="9">
        <f t="shared" si="40"/>
        <v>1.5059386320299998E-3</v>
      </c>
      <c r="U73" s="407">
        <f t="shared" ref="U73:U109" si="60">SQRT(I73)*SQRT(H73^2+(J73^2)/12)</f>
        <v>0.90484128471807479</v>
      </c>
      <c r="V73" s="409">
        <f t="shared" si="9"/>
        <v>1.6374755010605123E-3</v>
      </c>
      <c r="W73" s="407">
        <f t="shared" si="41"/>
        <v>1.6374755010605123E-3</v>
      </c>
      <c r="X73" s="407">
        <f t="shared" ref="X73:X109" si="61">SQRT(I73)*SQRT(H73^2+(J73^2)/12)</f>
        <v>0.90484128471807479</v>
      </c>
      <c r="Y73" s="407">
        <f t="shared" si="11"/>
        <v>4.9124265031815365E-3</v>
      </c>
      <c r="Z73" s="407">
        <f t="shared" ref="Z73:Z136" si="62">IF(L73&lt;0, (Vin*K73*Tf/2)*Fsw, (Vin*L73*Tr/2+Vin*K73*Tf/2)*Fsw)</f>
        <v>0.14241578342709107</v>
      </c>
      <c r="AA73" s="407">
        <f t="shared" ref="AA73:AA136" si="63">(0.5*CossTop*(Vin-M73)^2-0.5*CossBot*(Vin-M73)^2+(QossBot*(Vin-M73)/Vin)*Vin)*Fsw</f>
        <v>0.14400000000000002</v>
      </c>
      <c r="AB73" s="407">
        <f t="shared" ref="AB73:AB136" si="64">IF(L73&gt;0,0,-L73*VsdTop*Deadtime*Fsw)</f>
        <v>0</v>
      </c>
      <c r="AC73" s="407">
        <f t="shared" ref="AC73:AC104" si="65">(AB73+AA73+Z73+Y73*(1+RdsonTopTc*Ta-RdsonTopTc*25))/(1-Y73*RdsonTopTc*ThetaJaTop)</f>
        <v>0.29161471710327574</v>
      </c>
      <c r="AD73" s="407">
        <f t="shared" ref="AD73:AD109" si="66">SQRT(1-I73)*SQRT(H73^2+(J73^2)/12)</f>
        <v>1.7373129000478711</v>
      </c>
      <c r="AE73" s="407">
        <f t="shared" si="17"/>
        <v>1.8109536676036465E-2</v>
      </c>
      <c r="AF73" s="407">
        <f t="shared" ref="AF73:AF136" si="67">IF(L73&lt;0, Deadtime*Fsw*IF(VfdSky&gt;0,0,VsdBot)*K73, Deadtime*Fsw*IF(VfdSky&gt;0,0,VsdBot)*(K73+L73))</f>
        <v>2.7647999999999999E-2</v>
      </c>
      <c r="AG73" s="407">
        <f t="shared" ref="AG73:AG104" si="68">(AF73+AE73*(1+RdsonBotTc*Ta-RdsonBotTc*25))/(1-AE73*RdsonBotTc*ThetaJaBot)</f>
        <v>4.5923868672843732E-2</v>
      </c>
      <c r="AH73" s="407">
        <f t="shared" ref="AH73:AH109" si="69">IF(RDSON_sense=1, 0, AD73^2*Rshunt)</f>
        <v>0</v>
      </c>
      <c r="AI73">
        <f t="shared" ref="AI73:AI136" si="70">2*Deadtime*Fsw*IF(VfdSky&gt;0,VfdSky,0)*H73</f>
        <v>0</v>
      </c>
      <c r="AJ73" s="408">
        <f t="shared" ref="AJ73:AJ136" si="71">IF(QrrSky&gt;0,QrrSky,QrrBot)*Fsw*(Vin-H73*RdsonTop)</f>
        <v>0.13673433600000001</v>
      </c>
      <c r="AK73">
        <f t="shared" si="23"/>
        <v>4.8000000000000001E-2</v>
      </c>
      <c r="AL73" s="408">
        <f t="shared" ref="AL73:AL136" si="72">IF(Ext_VCC=1, Vdd*(QgTop+QgBot)*Fsw, Vin*(QgTop+QgBot)*Fsw)</f>
        <v>0.1215</v>
      </c>
      <c r="AM73" s="408">
        <f t="shared" si="25"/>
        <v>0.31645971316818772</v>
      </c>
      <c r="AN73" s="408">
        <f t="shared" si="42"/>
        <v>0.16949999999999998</v>
      </c>
      <c r="AO73" s="408">
        <f t="shared" ref="AO73:AO104" si="73">SUM(Q73,T73,W73,AC73,AJ73,AI73,AG73,AN73, AH73)</f>
        <v>0.86613079553068595</v>
      </c>
      <c r="AP73">
        <f t="shared" ref="AP73:AP136" si="74">Vout*H73</f>
        <v>9.7919999999999998</v>
      </c>
      <c r="AQ73" s="10">
        <f t="shared" si="43"/>
        <v>0.9187352067499599</v>
      </c>
      <c r="AR73" s="63">
        <f t="shared" ref="AR73:AR109" si="75">ThetaJaTop*AC73</f>
        <v>14.580735855163788</v>
      </c>
      <c r="AS73" s="63">
        <f t="shared" si="44"/>
        <v>2.2961934336421868</v>
      </c>
      <c r="AT73" s="10"/>
      <c r="AU73">
        <f t="shared" si="45"/>
        <v>91.873520674995987</v>
      </c>
      <c r="BE73" s="28"/>
      <c r="BF73" s="29"/>
    </row>
    <row r="74" spans="1:58" x14ac:dyDescent="0.25">
      <c r="A74" s="24" t="s">
        <v>206</v>
      </c>
      <c r="B74" s="25" t="s">
        <v>8</v>
      </c>
      <c r="C74" s="27" t="s">
        <v>148</v>
      </c>
      <c r="G74">
        <v>65</v>
      </c>
      <c r="H74">
        <f t="shared" si="55"/>
        <v>1.9500000000000002</v>
      </c>
      <c r="I74" s="407">
        <f t="shared" ref="I74:I109" si="76">(Vout+Rdcr*H74+RdsonBot*H74)/(Vin-RdsonTop*H74+RdsonBot*H74)</f>
        <v>0.21339375000000002</v>
      </c>
      <c r="J74" s="408">
        <f t="shared" si="56"/>
        <v>1.3443806249999999</v>
      </c>
      <c r="K74" s="408">
        <f t="shared" ref="K74:K137" si="77">H74+J74/2</f>
        <v>2.6221903124999999</v>
      </c>
      <c r="L74" s="408">
        <f t="shared" ref="L74:L109" si="78">H74-J74/2</f>
        <v>1.2778096875000002</v>
      </c>
      <c r="M74" s="63">
        <f t="shared" si="57"/>
        <v>0</v>
      </c>
      <c r="N74" s="407">
        <f t="shared" si="58"/>
        <v>1.9882437657573455</v>
      </c>
      <c r="O74" s="407">
        <f t="shared" ref="O74:O109" si="79">(N74^2*Rdcr*(1+Ltc*Ta-Ltc*25))/(1-N74^2*Rdcr*Ltc*ThetaCa)</f>
        <v>1.9796870068289736E-2</v>
      </c>
      <c r="P74">
        <f t="shared" si="59"/>
        <v>0.2</v>
      </c>
      <c r="Q74" s="407">
        <f t="shared" ref="Q74:Q137" si="80">O74+P74</f>
        <v>0.21979687006828974</v>
      </c>
      <c r="R74" s="9">
        <f t="shared" si="39"/>
        <v>0.38808925786853365</v>
      </c>
      <c r="S74" s="9">
        <f t="shared" ref="S74:S109" si="81">RCoutEsr*R74^2</f>
        <v>1.5061327207294922E-3</v>
      </c>
      <c r="T74" s="9">
        <f t="shared" si="40"/>
        <v>1.5061327207294922E-3</v>
      </c>
      <c r="U74" s="407">
        <f t="shared" si="60"/>
        <v>0.91846048652210255</v>
      </c>
      <c r="V74" s="409">
        <f t="shared" ref="V74:V109" si="82">RCinEsr*U74^2</f>
        <v>1.6871393306048346E-3</v>
      </c>
      <c r="W74" s="407">
        <f t="shared" si="41"/>
        <v>1.6871393306048346E-3</v>
      </c>
      <c r="X74" s="407">
        <f t="shared" si="61"/>
        <v>0.91846048652210255</v>
      </c>
      <c r="Y74" s="407">
        <f t="shared" ref="Y74:Y109" si="83">RdsonTop*X74^2</f>
        <v>5.0614179918145041E-3</v>
      </c>
      <c r="Z74" s="407">
        <f t="shared" si="62"/>
        <v>0.14466402277710957</v>
      </c>
      <c r="AA74" s="407">
        <f t="shared" si="63"/>
        <v>0.14400000000000002</v>
      </c>
      <c r="AB74" s="407">
        <f t="shared" si="64"/>
        <v>0</v>
      </c>
      <c r="AC74" s="407">
        <f t="shared" si="65"/>
        <v>0.29402307550579876</v>
      </c>
      <c r="AD74" s="407">
        <f t="shared" si="66"/>
        <v>1.7633898056784079</v>
      </c>
      <c r="AE74" s="407">
        <f t="shared" ref="AE74:AE109" si="84">RdsonBot*AD74^2</f>
        <v>1.8657261640623198E-2</v>
      </c>
      <c r="AF74" s="407">
        <f t="shared" si="67"/>
        <v>2.8080000000000001E-2</v>
      </c>
      <c r="AG74" s="407">
        <f t="shared" si="68"/>
        <v>4.691231269906182E-2</v>
      </c>
      <c r="AH74" s="407">
        <f t="shared" si="69"/>
        <v>0</v>
      </c>
      <c r="AI74">
        <f t="shared" si="70"/>
        <v>0</v>
      </c>
      <c r="AJ74" s="408">
        <f t="shared" si="71"/>
        <v>0.13673331</v>
      </c>
      <c r="AK74">
        <f t="shared" ref="AK74:AK137" si="85">Iq*Vin</f>
        <v>4.8000000000000001E-2</v>
      </c>
      <c r="AL74" s="408">
        <f t="shared" si="72"/>
        <v>0.1215</v>
      </c>
      <c r="AM74" s="408">
        <f t="shared" ref="AM74:AM137" si="86">(Vin-Vdd)*Fsw*(QgTop+QgBot)+(RdsonDRT+RdsonDRT2)*Fsw*QgTop*Vdd/(RdsonDRT+2*RGateTop+RdsonDRT2)+(RdsonDRB+RdsonDRB2)*Fsw*QgBot*Vdd/(RdsonDRB+2*RGateBot+RdsonDRB2)</f>
        <v>0.31645971316818772</v>
      </c>
      <c r="AN74" s="408">
        <f t="shared" si="42"/>
        <v>0.16949999999999998</v>
      </c>
      <c r="AO74" s="408">
        <f t="shared" si="73"/>
        <v>0.87015884032448465</v>
      </c>
      <c r="AP74">
        <f t="shared" si="74"/>
        <v>9.9450000000000003</v>
      </c>
      <c r="AQ74" s="10">
        <f t="shared" si="43"/>
        <v>0.91954266662454509</v>
      </c>
      <c r="AR74" s="63">
        <f t="shared" si="75"/>
        <v>14.701153775289939</v>
      </c>
      <c r="AS74" s="63">
        <f t="shared" si="44"/>
        <v>2.345615634953091</v>
      </c>
      <c r="AT74" s="10"/>
      <c r="AU74">
        <f t="shared" si="45"/>
        <v>91.954266662454515</v>
      </c>
      <c r="BE74" s="28"/>
      <c r="BF74" s="29"/>
    </row>
    <row r="75" spans="1:58" x14ac:dyDescent="0.25">
      <c r="A75" s="44" t="s">
        <v>207</v>
      </c>
      <c r="B75" s="121">
        <f>AN9</f>
        <v>0.16949999999999998</v>
      </c>
      <c r="C75" s="122" t="s">
        <v>208</v>
      </c>
      <c r="G75">
        <v>66</v>
      </c>
      <c r="H75">
        <f t="shared" si="55"/>
        <v>1.98</v>
      </c>
      <c r="I75" s="407">
        <f t="shared" si="76"/>
        <v>0.21340749999999997</v>
      </c>
      <c r="J75" s="408">
        <f t="shared" si="56"/>
        <v>1.3444672499999997</v>
      </c>
      <c r="K75" s="408">
        <f t="shared" si="77"/>
        <v>2.652233625</v>
      </c>
      <c r="L75" s="408">
        <f t="shared" si="78"/>
        <v>1.3077663750000001</v>
      </c>
      <c r="M75" s="63">
        <f t="shared" si="57"/>
        <v>0</v>
      </c>
      <c r="N75" s="407">
        <f t="shared" si="58"/>
        <v>2.0176800247297755</v>
      </c>
      <c r="O75" s="407">
        <f t="shared" si="79"/>
        <v>2.0388364089585803E-2</v>
      </c>
      <c r="P75">
        <f t="shared" si="59"/>
        <v>0.2</v>
      </c>
      <c r="Q75" s="407">
        <f t="shared" si="80"/>
        <v>0.22038836408958581</v>
      </c>
      <c r="R75" s="9">
        <f t="shared" ref="R75:R109" si="87">J75/(2*SQRT(3))</f>
        <v>0.38811426435206786</v>
      </c>
      <c r="S75" s="9">
        <f t="shared" si="81"/>
        <v>1.5063268219354681E-3</v>
      </c>
      <c r="T75" s="9">
        <f t="shared" ref="T75:T109" si="88">S75</f>
        <v>1.5063268219354681E-3</v>
      </c>
      <c r="U75" s="407">
        <f t="shared" si="60"/>
        <v>0.93208846528922318</v>
      </c>
      <c r="V75" s="409">
        <f t="shared" si="82"/>
        <v>1.7375778142504389E-3</v>
      </c>
      <c r="W75" s="407">
        <f t="shared" ref="W75:W109" si="89">V75</f>
        <v>1.7375778142504389E-3</v>
      </c>
      <c r="X75" s="407">
        <f t="shared" si="61"/>
        <v>0.93208846528922318</v>
      </c>
      <c r="Y75" s="407">
        <f t="shared" si="83"/>
        <v>5.2127334427513163E-3</v>
      </c>
      <c r="Z75" s="407">
        <f t="shared" si="62"/>
        <v>0.1469122621271281</v>
      </c>
      <c r="AA75" s="407">
        <f t="shared" si="63"/>
        <v>0.14400000000000002</v>
      </c>
      <c r="AB75" s="407">
        <f t="shared" si="64"/>
        <v>0</v>
      </c>
      <c r="AC75" s="407">
        <f t="shared" si="65"/>
        <v>0.29643404189863443</v>
      </c>
      <c r="AD75" s="407">
        <f t="shared" si="66"/>
        <v>1.7894814262987833</v>
      </c>
      <c r="AE75" s="407">
        <f t="shared" si="84"/>
        <v>1.9213462650409966E-2</v>
      </c>
      <c r="AF75" s="407">
        <f t="shared" si="67"/>
        <v>2.8511999999999999E-2</v>
      </c>
      <c r="AG75" s="407">
        <f t="shared" si="68"/>
        <v>4.7909564375555394E-2</v>
      </c>
      <c r="AH75" s="407">
        <f t="shared" si="69"/>
        <v>0</v>
      </c>
      <c r="AI75">
        <f t="shared" si="70"/>
        <v>0</v>
      </c>
      <c r="AJ75" s="408">
        <f t="shared" si="71"/>
        <v>0.13673228400000001</v>
      </c>
      <c r="AK75">
        <f t="shared" si="85"/>
        <v>4.8000000000000001E-2</v>
      </c>
      <c r="AL75" s="408">
        <f t="shared" si="72"/>
        <v>0.1215</v>
      </c>
      <c r="AM75" s="408">
        <f t="shared" si="86"/>
        <v>0.31645971316818772</v>
      </c>
      <c r="AN75" s="408">
        <f t="shared" ref="AN75:AN109" si="90">SUM(AK75:AL75)</f>
        <v>0.16949999999999998</v>
      </c>
      <c r="AO75" s="408">
        <f t="shared" si="73"/>
        <v>0.87420815899996152</v>
      </c>
      <c r="AP75">
        <f t="shared" si="74"/>
        <v>10.097999999999999</v>
      </c>
      <c r="AQ75" s="10">
        <f t="shared" ref="AQ75:AQ109" si="91">AP75/(AP75+AO75)</f>
        <v>0.92032523022424695</v>
      </c>
      <c r="AR75" s="63">
        <f t="shared" si="75"/>
        <v>14.821702094931721</v>
      </c>
      <c r="AS75" s="63">
        <f t="shared" ref="AS75:AS109" si="92">AG75*ThetaJaBot</f>
        <v>2.3954782187777699</v>
      </c>
      <c r="AT75" s="10"/>
      <c r="AU75">
        <f t="shared" ref="AU75:AU109" si="93">AQ75*100</f>
        <v>92.032523022424698</v>
      </c>
      <c r="BE75" s="28"/>
      <c r="BF75" s="29"/>
    </row>
    <row r="76" spans="1:58" x14ac:dyDescent="0.25">
      <c r="A76" s="44" t="s">
        <v>211</v>
      </c>
      <c r="B76" s="120">
        <f>B75*B62</f>
        <v>3.3899999999999997</v>
      </c>
      <c r="C76" s="417" t="s">
        <v>442</v>
      </c>
      <c r="G76">
        <v>67</v>
      </c>
      <c r="H76">
        <f t="shared" si="55"/>
        <v>2.0100000000000002</v>
      </c>
      <c r="I76" s="407">
        <f t="shared" si="76"/>
        <v>0.21342124999999998</v>
      </c>
      <c r="J76" s="408">
        <f t="shared" si="56"/>
        <v>1.3445538749999997</v>
      </c>
      <c r="K76" s="408">
        <f t="shared" si="77"/>
        <v>2.6822769375000002</v>
      </c>
      <c r="L76" s="408">
        <f t="shared" si="78"/>
        <v>1.3377230625000003</v>
      </c>
      <c r="M76" s="63">
        <f t="shared" si="57"/>
        <v>0</v>
      </c>
      <c r="N76" s="407">
        <f t="shared" si="58"/>
        <v>2.0471326516776567</v>
      </c>
      <c r="O76" s="407">
        <f t="shared" si="79"/>
        <v>2.0988944252651374E-2</v>
      </c>
      <c r="P76">
        <f t="shared" si="59"/>
        <v>0.2</v>
      </c>
      <c r="Q76" s="407">
        <f t="shared" si="80"/>
        <v>0.22098894425265139</v>
      </c>
      <c r="R76" s="9">
        <f t="shared" si="87"/>
        <v>0.38813927083560212</v>
      </c>
      <c r="S76" s="9">
        <f t="shared" si="81"/>
        <v>1.5065209356479291E-3</v>
      </c>
      <c r="T76" s="9">
        <f t="shared" si="88"/>
        <v>1.5065209356479291E-3</v>
      </c>
      <c r="U76" s="407">
        <f t="shared" si="60"/>
        <v>0.9457248808446963</v>
      </c>
      <c r="V76" s="409">
        <f t="shared" si="82"/>
        <v>1.7887911004974299E-3</v>
      </c>
      <c r="W76" s="407">
        <f t="shared" si="89"/>
        <v>1.7887911004974299E-3</v>
      </c>
      <c r="X76" s="407">
        <f t="shared" si="61"/>
        <v>0.9457248808446963</v>
      </c>
      <c r="Y76" s="407">
        <f t="shared" si="83"/>
        <v>5.3663733014922901E-3</v>
      </c>
      <c r="Z76" s="407">
        <f t="shared" si="62"/>
        <v>0.1491605014771466</v>
      </c>
      <c r="AA76" s="407">
        <f t="shared" si="63"/>
        <v>0.14400000000000002</v>
      </c>
      <c r="AB76" s="407">
        <f t="shared" si="64"/>
        <v>0</v>
      </c>
      <c r="AC76" s="407">
        <f t="shared" si="65"/>
        <v>0.29884762035685847</v>
      </c>
      <c r="AD76" s="407">
        <f t="shared" si="66"/>
        <v>1.8155871070582317</v>
      </c>
      <c r="AE76" s="407">
        <f t="shared" si="84"/>
        <v>1.9778139259896473E-2</v>
      </c>
      <c r="AF76" s="407">
        <f t="shared" si="67"/>
        <v>2.8944000000000001E-2</v>
      </c>
      <c r="AG76" s="407">
        <f t="shared" si="68"/>
        <v>4.8915631293437956E-2</v>
      </c>
      <c r="AH76" s="407">
        <f t="shared" si="69"/>
        <v>0</v>
      </c>
      <c r="AI76">
        <f t="shared" si="70"/>
        <v>0</v>
      </c>
      <c r="AJ76" s="408">
        <f t="shared" si="71"/>
        <v>0.13673125799999999</v>
      </c>
      <c r="AK76">
        <f t="shared" si="85"/>
        <v>4.8000000000000001E-2</v>
      </c>
      <c r="AL76" s="408">
        <f t="shared" si="72"/>
        <v>0.1215</v>
      </c>
      <c r="AM76" s="408">
        <f t="shared" si="86"/>
        <v>0.31645971316818772</v>
      </c>
      <c r="AN76" s="408">
        <f t="shared" si="90"/>
        <v>0.16949999999999998</v>
      </c>
      <c r="AO76" s="408">
        <f t="shared" si="73"/>
        <v>0.87827876593909315</v>
      </c>
      <c r="AP76">
        <f t="shared" si="74"/>
        <v>10.251000000000001</v>
      </c>
      <c r="AQ76" s="10">
        <f t="shared" si="91"/>
        <v>0.92108394583240694</v>
      </c>
      <c r="AR76" s="63">
        <f t="shared" si="75"/>
        <v>14.942381017842923</v>
      </c>
      <c r="AS76" s="63">
        <f t="shared" si="92"/>
        <v>2.4457815646718979</v>
      </c>
      <c r="AT76" s="10"/>
      <c r="AU76">
        <f t="shared" si="93"/>
        <v>92.108394583240695</v>
      </c>
      <c r="BE76" s="28"/>
      <c r="BF76" s="29"/>
    </row>
    <row r="77" spans="1:58" x14ac:dyDescent="0.25">
      <c r="A77" s="44" t="s">
        <v>388</v>
      </c>
      <c r="B77" s="120">
        <f>(QgBot+QgTop)*Fsw+Iq</f>
        <v>1.8200000000000001E-2</v>
      </c>
      <c r="C77" s="31" t="s">
        <v>2</v>
      </c>
      <c r="G77">
        <v>68</v>
      </c>
      <c r="H77">
        <f t="shared" si="55"/>
        <v>2.04</v>
      </c>
      <c r="I77" s="407">
        <f t="shared" si="76"/>
        <v>0.21343500000000001</v>
      </c>
      <c r="J77" s="408">
        <f t="shared" si="56"/>
        <v>1.3446404999999997</v>
      </c>
      <c r="K77" s="408">
        <f t="shared" si="77"/>
        <v>2.7123202499999999</v>
      </c>
      <c r="L77" s="408">
        <f t="shared" si="78"/>
        <v>1.3676797500000002</v>
      </c>
      <c r="M77" s="63">
        <f t="shared" si="57"/>
        <v>0</v>
      </c>
      <c r="N77" s="407">
        <f t="shared" si="58"/>
        <v>2.0766009501554907</v>
      </c>
      <c r="O77" s="407">
        <f t="shared" si="79"/>
        <v>2.1598613164582548E-2</v>
      </c>
      <c r="P77">
        <f t="shared" si="59"/>
        <v>0.2</v>
      </c>
      <c r="Q77" s="407">
        <f t="shared" si="80"/>
        <v>0.22159861316458257</v>
      </c>
      <c r="R77" s="9">
        <f t="shared" si="87"/>
        <v>0.38816427731913644</v>
      </c>
      <c r="S77" s="9">
        <f t="shared" si="81"/>
        <v>1.5067150618668745E-3</v>
      </c>
      <c r="T77" s="9">
        <f t="shared" si="88"/>
        <v>1.5067150618668745E-3</v>
      </c>
      <c r="U77" s="407">
        <f t="shared" si="60"/>
        <v>0.9593694121259837</v>
      </c>
      <c r="V77" s="409">
        <f t="shared" si="82"/>
        <v>1.8407793378459113E-3</v>
      </c>
      <c r="W77" s="407">
        <f t="shared" si="89"/>
        <v>1.8407793378459113E-3</v>
      </c>
      <c r="X77" s="407">
        <f t="shared" si="61"/>
        <v>0.9593694121259837</v>
      </c>
      <c r="Y77" s="407">
        <f t="shared" si="83"/>
        <v>5.5223380135377333E-3</v>
      </c>
      <c r="Z77" s="407">
        <f t="shared" si="62"/>
        <v>0.1514087408271651</v>
      </c>
      <c r="AA77" s="407">
        <f t="shared" si="63"/>
        <v>0.14400000000000002</v>
      </c>
      <c r="AB77" s="407">
        <f t="shared" si="64"/>
        <v>0</v>
      </c>
      <c r="AC77" s="407">
        <f t="shared" si="65"/>
        <v>0.30126381496419891</v>
      </c>
      <c r="AD77" s="407">
        <f t="shared" si="66"/>
        <v>1.8417062299030569</v>
      </c>
      <c r="AE77" s="407">
        <f t="shared" si="84"/>
        <v>2.035129102358239E-2</v>
      </c>
      <c r="AF77" s="407">
        <f t="shared" si="67"/>
        <v>2.9375999999999999E-2</v>
      </c>
      <c r="AG77" s="407">
        <f t="shared" si="68"/>
        <v>4.9930521136905652E-2</v>
      </c>
      <c r="AH77" s="407">
        <f t="shared" si="69"/>
        <v>0</v>
      </c>
      <c r="AI77">
        <f t="shared" si="70"/>
        <v>0</v>
      </c>
      <c r="AJ77" s="408">
        <f t="shared" si="71"/>
        <v>0.13673023200000001</v>
      </c>
      <c r="AK77">
        <f t="shared" si="85"/>
        <v>4.8000000000000001E-2</v>
      </c>
      <c r="AL77" s="408">
        <f t="shared" si="72"/>
        <v>0.1215</v>
      </c>
      <c r="AM77" s="408">
        <f t="shared" si="86"/>
        <v>0.31645971316818772</v>
      </c>
      <c r="AN77" s="408">
        <f t="shared" si="90"/>
        <v>0.16949999999999998</v>
      </c>
      <c r="AO77" s="408">
        <f t="shared" si="73"/>
        <v>0.88237067566539984</v>
      </c>
      <c r="AP77">
        <f t="shared" si="74"/>
        <v>10.404</v>
      </c>
      <c r="AQ77" s="10">
        <f t="shared" si="91"/>
        <v>0.92181980363555815</v>
      </c>
      <c r="AR77" s="63">
        <f t="shared" si="75"/>
        <v>15.063190748209946</v>
      </c>
      <c r="AS77" s="63">
        <f t="shared" si="92"/>
        <v>2.4965260568452825</v>
      </c>
      <c r="AT77" s="10"/>
      <c r="AU77">
        <f t="shared" si="93"/>
        <v>92.181980363555809</v>
      </c>
      <c r="BE77" s="28"/>
      <c r="BF77" s="29"/>
    </row>
    <row r="78" spans="1:58" x14ac:dyDescent="0.25">
      <c r="A78" s="44" t="s">
        <v>389</v>
      </c>
      <c r="B78" s="119">
        <f>QrrBot*Fsw</f>
        <v>5.7000000000000002E-3</v>
      </c>
      <c r="C78" s="31" t="s">
        <v>2</v>
      </c>
      <c r="G78">
        <v>69</v>
      </c>
      <c r="H78">
        <f t="shared" si="55"/>
        <v>2.0699999999999998</v>
      </c>
      <c r="I78" s="407">
        <f t="shared" si="76"/>
        <v>0.21344874999999996</v>
      </c>
      <c r="J78" s="408">
        <f t="shared" si="56"/>
        <v>1.3447271249999995</v>
      </c>
      <c r="K78" s="408">
        <f t="shared" si="77"/>
        <v>2.7423635624999996</v>
      </c>
      <c r="L78" s="408">
        <f t="shared" si="78"/>
        <v>1.3976364375000001</v>
      </c>
      <c r="M78" s="63">
        <f t="shared" si="57"/>
        <v>0</v>
      </c>
      <c r="N78" s="407">
        <f t="shared" si="58"/>
        <v>2.1060842623359659</v>
      </c>
      <c r="O78" s="407">
        <f t="shared" si="79"/>
        <v>2.2217373472312691E-2</v>
      </c>
      <c r="P78">
        <f t="shared" si="59"/>
        <v>0.2</v>
      </c>
      <c r="Q78" s="407">
        <f t="shared" si="80"/>
        <v>0.22221737347231271</v>
      </c>
      <c r="R78" s="9">
        <f t="shared" si="87"/>
        <v>0.38818928380267065</v>
      </c>
      <c r="S78" s="9">
        <f t="shared" si="81"/>
        <v>1.5069092005923039E-3</v>
      </c>
      <c r="T78" s="9">
        <f t="shared" si="88"/>
        <v>1.5069092005923039E-3</v>
      </c>
      <c r="U78" s="407">
        <f t="shared" si="60"/>
        <v>0.97302175587085016</v>
      </c>
      <c r="V78" s="409">
        <f t="shared" si="82"/>
        <v>1.8935426747959847E-3</v>
      </c>
      <c r="W78" s="407">
        <f t="shared" si="89"/>
        <v>1.8935426747959847E-3</v>
      </c>
      <c r="X78" s="407">
        <f t="shared" si="61"/>
        <v>0.97302175587085016</v>
      </c>
      <c r="Y78" s="407">
        <f t="shared" si="83"/>
        <v>5.6806280243879544E-3</v>
      </c>
      <c r="Z78" s="407">
        <f t="shared" si="62"/>
        <v>0.1536569801771836</v>
      </c>
      <c r="AA78" s="407">
        <f t="shared" si="63"/>
        <v>0.14400000000000002</v>
      </c>
      <c r="AB78" s="407">
        <f t="shared" si="64"/>
        <v>0</v>
      </c>
      <c r="AC78" s="407">
        <f t="shared" si="65"/>
        <v>0.30368262981305877</v>
      </c>
      <c r="AD78" s="407">
        <f t="shared" si="66"/>
        <v>1.8678382110507423</v>
      </c>
      <c r="AE78" s="407">
        <f t="shared" si="84"/>
        <v>2.0932917495967426E-2</v>
      </c>
      <c r="AF78" s="407">
        <f t="shared" si="67"/>
        <v>2.9807999999999998E-2</v>
      </c>
      <c r="AG78" s="407">
        <f t="shared" si="68"/>
        <v>5.0954241683413115E-2</v>
      </c>
      <c r="AH78" s="407">
        <f t="shared" si="69"/>
        <v>0</v>
      </c>
      <c r="AI78">
        <f t="shared" si="70"/>
        <v>0</v>
      </c>
      <c r="AJ78" s="408">
        <f t="shared" si="71"/>
        <v>0.13672920600000002</v>
      </c>
      <c r="AK78">
        <f t="shared" si="85"/>
        <v>4.8000000000000001E-2</v>
      </c>
      <c r="AL78" s="408">
        <f t="shared" si="72"/>
        <v>0.1215</v>
      </c>
      <c r="AM78" s="408">
        <f t="shared" si="86"/>
        <v>0.31645971316818772</v>
      </c>
      <c r="AN78" s="408">
        <f t="shared" si="90"/>
        <v>0.16949999999999998</v>
      </c>
      <c r="AO78" s="408">
        <f t="shared" si="73"/>
        <v>0.88648390284417289</v>
      </c>
      <c r="AP78">
        <f t="shared" si="74"/>
        <v>10.556999999999999</v>
      </c>
      <c r="AQ78" s="10">
        <f t="shared" si="91"/>
        <v>0.9225337396923462</v>
      </c>
      <c r="AR78" s="63">
        <f t="shared" si="75"/>
        <v>15.184131490652938</v>
      </c>
      <c r="AS78" s="63">
        <f t="shared" si="92"/>
        <v>2.547712084170656</v>
      </c>
      <c r="AT78" s="10"/>
      <c r="AU78">
        <f t="shared" si="93"/>
        <v>92.253373969234616</v>
      </c>
      <c r="BE78" s="28"/>
      <c r="BF78" s="29"/>
    </row>
    <row r="79" spans="1:58" x14ac:dyDescent="0.25">
      <c r="A79" s="44" t="s">
        <v>390</v>
      </c>
      <c r="B79" s="476">
        <f>C79/Vin</f>
        <v>2.3583750000000001E-4</v>
      </c>
      <c r="C79" s="475">
        <f>Deadtime*Fsw*(Ipp/2)*(VsdTop+VsdBot)</f>
        <v>5.6601000000000004E-3</v>
      </c>
      <c r="G79">
        <v>70</v>
      </c>
      <c r="H79">
        <f t="shared" si="55"/>
        <v>2.0999999999999996</v>
      </c>
      <c r="I79" s="407">
        <f t="shared" si="76"/>
        <v>0.2134625</v>
      </c>
      <c r="J79" s="408">
        <f t="shared" si="56"/>
        <v>1.3448137499999997</v>
      </c>
      <c r="K79" s="408">
        <f t="shared" si="77"/>
        <v>2.7724068749999997</v>
      </c>
      <c r="L79" s="408">
        <f t="shared" si="78"/>
        <v>1.4275931249999998</v>
      </c>
      <c r="M79" s="63">
        <f t="shared" si="57"/>
        <v>0</v>
      </c>
      <c r="N79" s="407">
        <f t="shared" si="58"/>
        <v>2.1355819663928659</v>
      </c>
      <c r="O79" s="407">
        <f t="shared" si="79"/>
        <v>2.2845227862641197E-2</v>
      </c>
      <c r="P79">
        <f t="shared" si="59"/>
        <v>0.2</v>
      </c>
      <c r="Q79" s="407">
        <f t="shared" si="80"/>
        <v>0.22284522786264122</v>
      </c>
      <c r="R79" s="9">
        <f t="shared" si="87"/>
        <v>0.38821429028620497</v>
      </c>
      <c r="S79" s="9">
        <f t="shared" si="81"/>
        <v>1.5071033518242183E-3</v>
      </c>
      <c r="T79" s="9">
        <f t="shared" si="88"/>
        <v>1.5071033518242183E-3</v>
      </c>
      <c r="U79" s="407">
        <f t="shared" si="60"/>
        <v>0.9866816254110935</v>
      </c>
      <c r="V79" s="409">
        <f t="shared" si="82"/>
        <v>1.9470812598477549E-3</v>
      </c>
      <c r="W79" s="407">
        <f t="shared" si="89"/>
        <v>1.9470812598477549E-3</v>
      </c>
      <c r="X79" s="407">
        <f t="shared" si="61"/>
        <v>0.9866816254110935</v>
      </c>
      <c r="Y79" s="407">
        <f t="shared" si="83"/>
        <v>5.8412437795432653E-3</v>
      </c>
      <c r="Z79" s="407">
        <f t="shared" si="62"/>
        <v>0.15590521952720207</v>
      </c>
      <c r="AA79" s="407">
        <f t="shared" si="63"/>
        <v>0.14400000000000002</v>
      </c>
      <c r="AB79" s="407">
        <f t="shared" si="64"/>
        <v>0</v>
      </c>
      <c r="AC79" s="407">
        <f t="shared" si="65"/>
        <v>0.30610406900453846</v>
      </c>
      <c r="AD79" s="407">
        <f t="shared" si="66"/>
        <v>1.8939824986674356</v>
      </c>
      <c r="AE79" s="407">
        <f t="shared" si="84"/>
        <v>2.1523018231551259E-2</v>
      </c>
      <c r="AF79" s="407">
        <f t="shared" si="67"/>
        <v>3.0239999999999993E-2</v>
      </c>
      <c r="AG79" s="407">
        <f t="shared" si="68"/>
        <v>5.1986800803851513E-2</v>
      </c>
      <c r="AH79" s="407">
        <f t="shared" si="69"/>
        <v>0</v>
      </c>
      <c r="AI79">
        <f t="shared" si="70"/>
        <v>0</v>
      </c>
      <c r="AJ79" s="408">
        <f t="shared" si="71"/>
        <v>0.13672818</v>
      </c>
      <c r="AK79">
        <f t="shared" si="85"/>
        <v>4.8000000000000001E-2</v>
      </c>
      <c r="AL79" s="408">
        <f t="shared" si="72"/>
        <v>0.1215</v>
      </c>
      <c r="AM79" s="408">
        <f t="shared" si="86"/>
        <v>0.31645971316818772</v>
      </c>
      <c r="AN79" s="408">
        <f t="shared" si="90"/>
        <v>0.16949999999999998</v>
      </c>
      <c r="AO79" s="408">
        <f t="shared" si="73"/>
        <v>0.89061846228270314</v>
      </c>
      <c r="AP79">
        <f t="shared" si="74"/>
        <v>10.709999999999997</v>
      </c>
      <c r="AQ79" s="10">
        <f t="shared" si="91"/>
        <v>0.92322663958146833</v>
      </c>
      <c r="AR79" s="63">
        <f t="shared" si="75"/>
        <v>15.305203450226923</v>
      </c>
      <c r="AS79" s="63">
        <f t="shared" si="92"/>
        <v>2.5993400401925757</v>
      </c>
      <c r="AT79" s="10"/>
      <c r="AU79">
        <f t="shared" si="93"/>
        <v>92.322663958146833</v>
      </c>
      <c r="BE79" s="28"/>
      <c r="BF79" s="29"/>
    </row>
    <row r="80" spans="1:58" x14ac:dyDescent="0.25">
      <c r="A80" s="44" t="s">
        <v>92</v>
      </c>
      <c r="B80" s="476">
        <f>SUM(B77:B79)</f>
        <v>2.41358375E-2</v>
      </c>
      <c r="C80" s="31" t="s">
        <v>2</v>
      </c>
      <c r="G80">
        <v>71</v>
      </c>
      <c r="H80">
        <f t="shared" si="55"/>
        <v>2.13</v>
      </c>
      <c r="I80" s="407">
        <f t="shared" si="76"/>
        <v>0.21347625000000001</v>
      </c>
      <c r="J80" s="408">
        <f t="shared" si="56"/>
        <v>1.3449003749999997</v>
      </c>
      <c r="K80" s="408">
        <f t="shared" si="77"/>
        <v>2.8024501874999999</v>
      </c>
      <c r="L80" s="408">
        <f t="shared" si="78"/>
        <v>1.4575498124999999</v>
      </c>
      <c r="M80" s="63">
        <f t="shared" si="57"/>
        <v>0</v>
      </c>
      <c r="N80" s="407">
        <f t="shared" si="58"/>
        <v>2.1650934740921142</v>
      </c>
      <c r="O80" s="407">
        <f t="shared" si="79"/>
        <v>2.3482179062262756E-2</v>
      </c>
      <c r="P80">
        <f t="shared" si="59"/>
        <v>0.2</v>
      </c>
      <c r="Q80" s="407">
        <f t="shared" si="80"/>
        <v>0.22348217906226275</v>
      </c>
      <c r="R80" s="9">
        <f t="shared" si="87"/>
        <v>0.38823929676973923</v>
      </c>
      <c r="S80" s="9">
        <f t="shared" si="81"/>
        <v>1.5072975155626164E-3</v>
      </c>
      <c r="T80" s="9">
        <f t="shared" si="88"/>
        <v>1.5072975155626164E-3</v>
      </c>
      <c r="U80" s="407">
        <f t="shared" si="60"/>
        <v>1.0003487495622025</v>
      </c>
      <c r="V80" s="409">
        <f t="shared" si="82"/>
        <v>2.0013952415013241E-3</v>
      </c>
      <c r="W80" s="407">
        <f t="shared" si="89"/>
        <v>2.0013952415013241E-3</v>
      </c>
      <c r="X80" s="407">
        <f t="shared" si="61"/>
        <v>1.0003487495622025</v>
      </c>
      <c r="Y80" s="407">
        <f t="shared" si="83"/>
        <v>6.0041857245039729E-3</v>
      </c>
      <c r="Z80" s="407">
        <f t="shared" si="62"/>
        <v>0.1581534588772206</v>
      </c>
      <c r="AA80" s="407">
        <f t="shared" si="63"/>
        <v>0.14400000000000002</v>
      </c>
      <c r="AB80" s="407">
        <f t="shared" si="64"/>
        <v>0</v>
      </c>
      <c r="AC80" s="407">
        <f t="shared" si="65"/>
        <v>0.30852813664845907</v>
      </c>
      <c r="AD80" s="407">
        <f t="shared" si="66"/>
        <v>1.9201385707301435</v>
      </c>
      <c r="AE80" s="407">
        <f t="shared" si="84"/>
        <v>2.2121592784833593E-2</v>
      </c>
      <c r="AF80" s="407">
        <f t="shared" si="67"/>
        <v>3.0671999999999998E-2</v>
      </c>
      <c r="AG80" s="407">
        <f t="shared" si="68"/>
        <v>5.3028206462729301E-2</v>
      </c>
      <c r="AH80" s="407">
        <f t="shared" si="69"/>
        <v>0</v>
      </c>
      <c r="AI80">
        <f t="shared" si="70"/>
        <v>0</v>
      </c>
      <c r="AJ80" s="408">
        <f t="shared" si="71"/>
        <v>0.13672715400000002</v>
      </c>
      <c r="AK80">
        <f t="shared" si="85"/>
        <v>4.8000000000000001E-2</v>
      </c>
      <c r="AL80" s="408">
        <f t="shared" si="72"/>
        <v>0.1215</v>
      </c>
      <c r="AM80" s="408">
        <f t="shared" si="86"/>
        <v>0.31645971316818772</v>
      </c>
      <c r="AN80" s="408">
        <f t="shared" si="90"/>
        <v>0.16949999999999998</v>
      </c>
      <c r="AO80" s="408">
        <f t="shared" si="73"/>
        <v>0.8947743689305151</v>
      </c>
      <c r="AP80">
        <f t="shared" si="74"/>
        <v>10.863</v>
      </c>
      <c r="AQ80" s="10">
        <f t="shared" si="91"/>
        <v>0.92389934175851152</v>
      </c>
      <c r="AR80" s="63">
        <f t="shared" si="75"/>
        <v>15.426406832422954</v>
      </c>
      <c r="AS80" s="63">
        <f t="shared" si="92"/>
        <v>2.651410323136465</v>
      </c>
      <c r="AT80" s="10"/>
      <c r="AU80">
        <f t="shared" si="93"/>
        <v>92.389934175851153</v>
      </c>
      <c r="BE80" s="28"/>
      <c r="BF80" s="29"/>
    </row>
    <row r="81" spans="1:58" x14ac:dyDescent="0.25">
      <c r="A81" s="2"/>
      <c r="G81">
        <v>72</v>
      </c>
      <c r="H81">
        <f t="shared" si="55"/>
        <v>2.16</v>
      </c>
      <c r="I81" s="407">
        <f t="shared" si="76"/>
        <v>0.21348999999999996</v>
      </c>
      <c r="J81" s="408">
        <f t="shared" si="56"/>
        <v>1.3449869999999995</v>
      </c>
      <c r="K81" s="408">
        <f t="shared" si="77"/>
        <v>2.8324935</v>
      </c>
      <c r="L81" s="408">
        <f t="shared" si="78"/>
        <v>1.4875065000000003</v>
      </c>
      <c r="M81" s="63">
        <f t="shared" si="57"/>
        <v>0</v>
      </c>
      <c r="N81" s="407">
        <f t="shared" si="58"/>
        <v>2.1946182285720561</v>
      </c>
      <c r="O81" s="407">
        <f t="shared" si="79"/>
        <v>2.4128229837796979E-2</v>
      </c>
      <c r="P81">
        <f t="shared" si="59"/>
        <v>0.2</v>
      </c>
      <c r="Q81" s="407">
        <f t="shared" si="80"/>
        <v>0.22412822983779698</v>
      </c>
      <c r="R81" s="9">
        <f t="shared" si="87"/>
        <v>0.38826430325327349</v>
      </c>
      <c r="S81" s="9">
        <f t="shared" si="81"/>
        <v>1.5074916918074994E-3</v>
      </c>
      <c r="T81" s="9">
        <f t="shared" si="88"/>
        <v>1.5074916918074994E-3</v>
      </c>
      <c r="U81" s="407">
        <f t="shared" si="60"/>
        <v>1.0140228716002406</v>
      </c>
      <c r="V81" s="409">
        <f t="shared" si="82"/>
        <v>2.0564847682567962E-3</v>
      </c>
      <c r="W81" s="407">
        <f t="shared" si="89"/>
        <v>2.0564847682567962E-3</v>
      </c>
      <c r="X81" s="407">
        <f t="shared" si="61"/>
        <v>1.0140228716002406</v>
      </c>
      <c r="Y81" s="407">
        <f t="shared" si="83"/>
        <v>6.1694543047703882E-3</v>
      </c>
      <c r="Z81" s="407">
        <f t="shared" si="62"/>
        <v>0.16040169822723913</v>
      </c>
      <c r="AA81" s="407">
        <f t="shared" si="63"/>
        <v>0.14400000000000002</v>
      </c>
      <c r="AB81" s="407">
        <f t="shared" si="64"/>
        <v>0</v>
      </c>
      <c r="AC81" s="407">
        <f t="shared" si="65"/>
        <v>0.31095483686338476</v>
      </c>
      <c r="AD81" s="407">
        <f t="shared" si="66"/>
        <v>1.9463059330568644</v>
      </c>
      <c r="AE81" s="407">
        <f t="shared" si="84"/>
        <v>2.2728640710314111E-2</v>
      </c>
      <c r="AF81" s="407">
        <f t="shared" si="67"/>
        <v>3.1104E-2</v>
      </c>
      <c r="AG81" s="407">
        <f t="shared" si="68"/>
        <v>5.4078466718355346E-2</v>
      </c>
      <c r="AH81" s="407">
        <f t="shared" si="69"/>
        <v>0</v>
      </c>
      <c r="AI81">
        <f t="shared" si="70"/>
        <v>0</v>
      </c>
      <c r="AJ81" s="408">
        <f t="shared" si="71"/>
        <v>0.136726128</v>
      </c>
      <c r="AK81">
        <f t="shared" si="85"/>
        <v>4.8000000000000001E-2</v>
      </c>
      <c r="AL81" s="408">
        <f t="shared" si="72"/>
        <v>0.1215</v>
      </c>
      <c r="AM81" s="408">
        <f t="shared" si="86"/>
        <v>0.31645971316818772</v>
      </c>
      <c r="AN81" s="408">
        <f t="shared" si="90"/>
        <v>0.16949999999999998</v>
      </c>
      <c r="AO81" s="408">
        <f t="shared" si="73"/>
        <v>0.89895163787960142</v>
      </c>
      <c r="AP81">
        <f t="shared" si="74"/>
        <v>11.016</v>
      </c>
      <c r="AQ81" s="10">
        <f t="shared" si="91"/>
        <v>0.92455264064843656</v>
      </c>
      <c r="AR81" s="63">
        <f t="shared" si="75"/>
        <v>15.547741843169238</v>
      </c>
      <c r="AS81" s="63">
        <f t="shared" si="92"/>
        <v>2.7039233359177675</v>
      </c>
      <c r="AT81" s="10"/>
      <c r="AU81">
        <f t="shared" si="93"/>
        <v>92.455264064843661</v>
      </c>
      <c r="BE81" s="28"/>
      <c r="BF81" s="29"/>
    </row>
    <row r="82" spans="1:58" x14ac:dyDescent="0.25">
      <c r="A82" s="2"/>
      <c r="G82">
        <v>73</v>
      </c>
      <c r="H82">
        <f t="shared" si="55"/>
        <v>2.19</v>
      </c>
      <c r="I82" s="407">
        <f t="shared" si="76"/>
        <v>0.21350374999999999</v>
      </c>
      <c r="J82" s="408">
        <f t="shared" si="56"/>
        <v>1.3450736249999995</v>
      </c>
      <c r="K82" s="408">
        <f t="shared" si="77"/>
        <v>2.8625368124999997</v>
      </c>
      <c r="L82" s="408">
        <f t="shared" si="78"/>
        <v>1.5174631875000002</v>
      </c>
      <c r="M82" s="63">
        <f t="shared" si="57"/>
        <v>0</v>
      </c>
      <c r="N82" s="407">
        <f t="shared" si="58"/>
        <v>2.2241557022960166</v>
      </c>
      <c r="O82" s="407">
        <f t="shared" si="79"/>
        <v>2.4783382995818542E-2</v>
      </c>
      <c r="P82">
        <f t="shared" si="59"/>
        <v>0.2</v>
      </c>
      <c r="Q82" s="407">
        <f t="shared" si="80"/>
        <v>0.22478338299581854</v>
      </c>
      <c r="R82" s="9">
        <f t="shared" si="87"/>
        <v>0.38828930973680775</v>
      </c>
      <c r="S82" s="9">
        <f t="shared" si="81"/>
        <v>1.5076858805588664E-3</v>
      </c>
      <c r="T82" s="9">
        <f t="shared" si="88"/>
        <v>1.5076858805588664E-3</v>
      </c>
      <c r="U82" s="407">
        <f t="shared" si="60"/>
        <v>1.0277037483181313</v>
      </c>
      <c r="V82" s="409">
        <f t="shared" si="82"/>
        <v>2.1123499886142737E-3</v>
      </c>
      <c r="W82" s="407">
        <f t="shared" si="89"/>
        <v>2.1123499886142737E-3</v>
      </c>
      <c r="X82" s="407">
        <f t="shared" si="61"/>
        <v>1.0277037483181313</v>
      </c>
      <c r="Y82" s="407">
        <f t="shared" si="83"/>
        <v>6.3370499658428206E-3</v>
      </c>
      <c r="Z82" s="407">
        <f t="shared" si="62"/>
        <v>0.1626499375772576</v>
      </c>
      <c r="AA82" s="407">
        <f t="shared" si="63"/>
        <v>0.14400000000000002</v>
      </c>
      <c r="AB82" s="407">
        <f t="shared" si="64"/>
        <v>0</v>
      </c>
      <c r="AC82" s="407">
        <f t="shared" si="65"/>
        <v>0.31338417377664585</v>
      </c>
      <c r="AD82" s="407">
        <f t="shared" si="66"/>
        <v>1.9724841174896059</v>
      </c>
      <c r="AE82" s="407">
        <f t="shared" si="84"/>
        <v>2.3344161562492496E-2</v>
      </c>
      <c r="AF82" s="407">
        <f t="shared" si="67"/>
        <v>3.1536000000000002E-2</v>
      </c>
      <c r="AG82" s="407">
        <f t="shared" si="68"/>
        <v>5.5137589723024634E-2</v>
      </c>
      <c r="AH82" s="407">
        <f t="shared" si="69"/>
        <v>0</v>
      </c>
      <c r="AI82">
        <f t="shared" si="70"/>
        <v>0</v>
      </c>
      <c r="AJ82" s="408">
        <f t="shared" si="71"/>
        <v>0.13672510200000002</v>
      </c>
      <c r="AK82">
        <f t="shared" si="85"/>
        <v>4.8000000000000001E-2</v>
      </c>
      <c r="AL82" s="408">
        <f t="shared" si="72"/>
        <v>0.1215</v>
      </c>
      <c r="AM82" s="408">
        <f t="shared" si="86"/>
        <v>0.31645971316818772</v>
      </c>
      <c r="AN82" s="408">
        <f t="shared" si="90"/>
        <v>0.16949999999999998</v>
      </c>
      <c r="AO82" s="408">
        <f t="shared" si="73"/>
        <v>0.90315028436466216</v>
      </c>
      <c r="AP82">
        <f t="shared" si="74"/>
        <v>11.168999999999999</v>
      </c>
      <c r="AQ82" s="10">
        <f t="shared" si="91"/>
        <v>0.92518728949768092</v>
      </c>
      <c r="AR82" s="63">
        <f t="shared" si="75"/>
        <v>15.669208688832292</v>
      </c>
      <c r="AS82" s="63">
        <f t="shared" si="92"/>
        <v>2.7568794861512318</v>
      </c>
      <c r="AT82" s="10"/>
      <c r="AU82">
        <f t="shared" si="93"/>
        <v>92.518728949768089</v>
      </c>
      <c r="BE82" s="28"/>
      <c r="BF82" s="29"/>
    </row>
    <row r="83" spans="1:58" x14ac:dyDescent="0.25">
      <c r="A83" s="2"/>
      <c r="G83">
        <v>74</v>
      </c>
      <c r="H83">
        <f t="shared" si="55"/>
        <v>2.2199999999999998</v>
      </c>
      <c r="I83" s="407">
        <f t="shared" si="76"/>
        <v>0.2135175</v>
      </c>
      <c r="J83" s="408">
        <f t="shared" si="56"/>
        <v>1.3451602499999997</v>
      </c>
      <c r="K83" s="408">
        <f t="shared" si="77"/>
        <v>2.8925801249999994</v>
      </c>
      <c r="L83" s="408">
        <f t="shared" si="78"/>
        <v>1.5474198749999999</v>
      </c>
      <c r="M83" s="63">
        <f t="shared" si="57"/>
        <v>0</v>
      </c>
      <c r="N83" s="407">
        <f t="shared" si="58"/>
        <v>2.2537053951618589</v>
      </c>
      <c r="O83" s="407">
        <f t="shared" si="79"/>
        <v>2.5447641382887742E-2</v>
      </c>
      <c r="P83">
        <f t="shared" si="59"/>
        <v>0.2</v>
      </c>
      <c r="Q83" s="407">
        <f t="shared" si="80"/>
        <v>0.22544764138288775</v>
      </c>
      <c r="R83" s="9">
        <f t="shared" si="87"/>
        <v>0.38831431622034207</v>
      </c>
      <c r="S83" s="9">
        <f t="shared" si="81"/>
        <v>1.5078800818167182E-3</v>
      </c>
      <c r="T83" s="9">
        <f t="shared" si="88"/>
        <v>1.5078800818167182E-3</v>
      </c>
      <c r="U83" s="407">
        <f t="shared" si="60"/>
        <v>1.0413911491543077</v>
      </c>
      <c r="V83" s="409">
        <f t="shared" si="82"/>
        <v>2.1689910510738594E-3</v>
      </c>
      <c r="W83" s="407">
        <f t="shared" si="89"/>
        <v>2.1689910510738594E-3</v>
      </c>
      <c r="X83" s="407">
        <f t="shared" si="61"/>
        <v>1.0413911491543077</v>
      </c>
      <c r="Y83" s="407">
        <f t="shared" si="83"/>
        <v>6.5069731532215788E-3</v>
      </c>
      <c r="Z83" s="407">
        <f t="shared" si="62"/>
        <v>0.1648981769272761</v>
      </c>
      <c r="AA83" s="407">
        <f t="shared" si="63"/>
        <v>0.14400000000000002</v>
      </c>
      <c r="AB83" s="407">
        <f t="shared" si="64"/>
        <v>0</v>
      </c>
      <c r="AC83" s="407">
        <f t="shared" si="65"/>
        <v>0.31581615152436221</v>
      </c>
      <c r="AD83" s="407">
        <f t="shared" si="66"/>
        <v>1.9986726802167334</v>
      </c>
      <c r="AE83" s="407">
        <f t="shared" si="84"/>
        <v>2.3968154895868444E-2</v>
      </c>
      <c r="AF83" s="407">
        <f t="shared" si="67"/>
        <v>3.1967999999999996E-2</v>
      </c>
      <c r="AG83" s="407">
        <f t="shared" si="68"/>
        <v>5.620558372320654E-2</v>
      </c>
      <c r="AH83" s="407">
        <f t="shared" si="69"/>
        <v>0</v>
      </c>
      <c r="AI83">
        <f t="shared" si="70"/>
        <v>0</v>
      </c>
      <c r="AJ83" s="408">
        <f t="shared" si="71"/>
        <v>0.136724076</v>
      </c>
      <c r="AK83">
        <f t="shared" si="85"/>
        <v>4.8000000000000001E-2</v>
      </c>
      <c r="AL83" s="408">
        <f t="shared" si="72"/>
        <v>0.1215</v>
      </c>
      <c r="AM83" s="408">
        <f t="shared" si="86"/>
        <v>0.31645971316818772</v>
      </c>
      <c r="AN83" s="408">
        <f t="shared" si="90"/>
        <v>0.16949999999999998</v>
      </c>
      <c r="AO83" s="408">
        <f t="shared" si="73"/>
        <v>0.90737032376334703</v>
      </c>
      <c r="AP83">
        <f t="shared" si="74"/>
        <v>11.321999999999997</v>
      </c>
      <c r="AQ83" s="10">
        <f t="shared" si="91"/>
        <v>0.92580400300739918</v>
      </c>
      <c r="AR83" s="63">
        <f t="shared" si="75"/>
        <v>15.790807576218111</v>
      </c>
      <c r="AS83" s="63">
        <f t="shared" si="92"/>
        <v>2.8102791861603271</v>
      </c>
      <c r="AT83" s="10"/>
      <c r="AU83">
        <f t="shared" si="93"/>
        <v>92.580400300739925</v>
      </c>
      <c r="BE83" s="28"/>
      <c r="BF83" s="29"/>
    </row>
    <row r="84" spans="1:58" x14ac:dyDescent="0.25">
      <c r="G84">
        <v>75</v>
      </c>
      <c r="H84">
        <f t="shared" si="55"/>
        <v>2.25</v>
      </c>
      <c r="I84" s="407">
        <f t="shared" si="76"/>
        <v>0.21353124999999998</v>
      </c>
      <c r="J84" s="408">
        <f t="shared" si="56"/>
        <v>1.3452468749999995</v>
      </c>
      <c r="K84" s="408">
        <f t="shared" si="77"/>
        <v>2.9226234374999995</v>
      </c>
      <c r="L84" s="408">
        <f t="shared" si="78"/>
        <v>1.5773765625000002</v>
      </c>
      <c r="M84" s="63">
        <f t="shared" si="57"/>
        <v>0</v>
      </c>
      <c r="N84" s="407">
        <f t="shared" si="58"/>
        <v>2.2832668327547934</v>
      </c>
      <c r="O84" s="407">
        <f t="shared" si="79"/>
        <v>2.6121007885581513E-2</v>
      </c>
      <c r="P84">
        <f t="shared" si="59"/>
        <v>0.2</v>
      </c>
      <c r="Q84" s="407">
        <f t="shared" si="80"/>
        <v>0.22612100788558154</v>
      </c>
      <c r="R84" s="9">
        <f t="shared" si="87"/>
        <v>0.38833932270387628</v>
      </c>
      <c r="S84" s="9">
        <f t="shared" si="81"/>
        <v>1.5080742955810536E-3</v>
      </c>
      <c r="T84" s="9">
        <f t="shared" si="88"/>
        <v>1.5080742955810536E-3</v>
      </c>
      <c r="U84" s="407">
        <f t="shared" si="60"/>
        <v>1.0550848553873897</v>
      </c>
      <c r="V84" s="409">
        <f t="shared" si="82"/>
        <v>2.226408104135658E-3</v>
      </c>
      <c r="W84" s="407">
        <f t="shared" si="89"/>
        <v>2.226408104135658E-3</v>
      </c>
      <c r="X84" s="407">
        <f t="shared" si="61"/>
        <v>1.0550848553873897</v>
      </c>
      <c r="Y84" s="407">
        <f t="shared" si="83"/>
        <v>6.6792243124069745E-3</v>
      </c>
      <c r="Z84" s="407">
        <f t="shared" si="62"/>
        <v>0.1671464162772946</v>
      </c>
      <c r="AA84" s="407">
        <f t="shared" si="63"/>
        <v>0.14400000000000002</v>
      </c>
      <c r="AB84" s="407">
        <f t="shared" si="64"/>
        <v>0</v>
      </c>
      <c r="AC84" s="407">
        <f t="shared" si="65"/>
        <v>0.31825077425146614</v>
      </c>
      <c r="AD84" s="407">
        <f t="shared" si="66"/>
        <v>2.0248712002224432</v>
      </c>
      <c r="AE84" s="407">
        <f t="shared" si="84"/>
        <v>2.4600620264941662E-2</v>
      </c>
      <c r="AF84" s="407">
        <f t="shared" si="67"/>
        <v>3.2399999999999998E-2</v>
      </c>
      <c r="AG84" s="407">
        <f t="shared" si="68"/>
        <v>5.7282457059735538E-2</v>
      </c>
      <c r="AH84" s="407">
        <f t="shared" si="69"/>
        <v>0</v>
      </c>
      <c r="AI84">
        <f t="shared" si="70"/>
        <v>0</v>
      </c>
      <c r="AJ84" s="408">
        <f t="shared" si="71"/>
        <v>0.13672305000000001</v>
      </c>
      <c r="AK84">
        <f t="shared" si="85"/>
        <v>4.8000000000000001E-2</v>
      </c>
      <c r="AL84" s="408">
        <f t="shared" si="72"/>
        <v>0.1215</v>
      </c>
      <c r="AM84" s="408">
        <f t="shared" si="86"/>
        <v>0.31645971316818772</v>
      </c>
      <c r="AN84" s="408">
        <f t="shared" si="90"/>
        <v>0.16949999999999998</v>
      </c>
      <c r="AO84" s="408">
        <f t="shared" si="73"/>
        <v>0.91161177159649986</v>
      </c>
      <c r="AP84">
        <f t="shared" si="74"/>
        <v>11.475</v>
      </c>
      <c r="AQ84" s="10">
        <f t="shared" si="91"/>
        <v>0.92640345976719007</v>
      </c>
      <c r="AR84" s="63">
        <f t="shared" si="75"/>
        <v>15.912538712573307</v>
      </c>
      <c r="AS84" s="63">
        <f t="shared" si="92"/>
        <v>2.8641228529867768</v>
      </c>
      <c r="AT84" s="10"/>
      <c r="AU84">
        <f t="shared" si="93"/>
        <v>92.640345976719004</v>
      </c>
      <c r="BE84" s="28"/>
      <c r="BF84" s="29"/>
    </row>
    <row r="85" spans="1:58" x14ac:dyDescent="0.25">
      <c r="G85">
        <v>76</v>
      </c>
      <c r="H85">
        <f t="shared" si="55"/>
        <v>2.2800000000000002</v>
      </c>
      <c r="I85" s="407">
        <f t="shared" si="76"/>
        <v>0.21354499999999998</v>
      </c>
      <c r="J85" s="408">
        <f t="shared" si="56"/>
        <v>1.3453334999999995</v>
      </c>
      <c r="K85" s="408">
        <f t="shared" si="77"/>
        <v>2.9526667500000001</v>
      </c>
      <c r="L85" s="408">
        <f t="shared" si="78"/>
        <v>1.6073332500000004</v>
      </c>
      <c r="M85" s="63">
        <f t="shared" si="57"/>
        <v>0</v>
      </c>
      <c r="N85" s="407">
        <f t="shared" si="58"/>
        <v>2.3128395647310231</v>
      </c>
      <c r="O85" s="407">
        <f t="shared" si="79"/>
        <v>2.6803485430524791E-2</v>
      </c>
      <c r="P85">
        <f t="shared" si="59"/>
        <v>0.2</v>
      </c>
      <c r="Q85" s="407">
        <f t="shared" si="80"/>
        <v>0.22680348543052481</v>
      </c>
      <c r="R85" s="9">
        <f t="shared" si="87"/>
        <v>0.3883643291874106</v>
      </c>
      <c r="S85" s="9">
        <f t="shared" si="81"/>
        <v>1.5082685218518743E-3</v>
      </c>
      <c r="T85" s="9">
        <f t="shared" si="88"/>
        <v>1.5082685218518743E-3</v>
      </c>
      <c r="U85" s="407">
        <f t="shared" si="60"/>
        <v>1.0687846593911638</v>
      </c>
      <c r="V85" s="409">
        <f t="shared" si="82"/>
        <v>2.2846012962997723E-3</v>
      </c>
      <c r="W85" s="407">
        <f t="shared" si="89"/>
        <v>2.2846012962997723E-3</v>
      </c>
      <c r="X85" s="407">
        <f t="shared" si="61"/>
        <v>1.0687846593911638</v>
      </c>
      <c r="Y85" s="407">
        <f t="shared" si="83"/>
        <v>6.8538038888993165E-3</v>
      </c>
      <c r="Z85" s="407">
        <f t="shared" si="62"/>
        <v>0.16939465562731315</v>
      </c>
      <c r="AA85" s="407">
        <f t="shared" si="63"/>
        <v>0.14400000000000002</v>
      </c>
      <c r="AB85" s="407">
        <f t="shared" si="64"/>
        <v>0</v>
      </c>
      <c r="AC85" s="407">
        <f t="shared" si="65"/>
        <v>0.3206880461117253</v>
      </c>
      <c r="AD85" s="407">
        <f t="shared" si="66"/>
        <v>2.0510792778523466</v>
      </c>
      <c r="AE85" s="407">
        <f t="shared" si="84"/>
        <v>2.5241557224211821E-2</v>
      </c>
      <c r="AF85" s="407">
        <f t="shared" si="67"/>
        <v>3.2832E-2</v>
      </c>
      <c r="AG85" s="407">
        <f t="shared" si="68"/>
        <v>5.8368218168004415E-2</v>
      </c>
      <c r="AH85" s="407">
        <f t="shared" si="69"/>
        <v>0</v>
      </c>
      <c r="AI85">
        <f t="shared" si="70"/>
        <v>0</v>
      </c>
      <c r="AJ85" s="408">
        <f t="shared" si="71"/>
        <v>0.136722024</v>
      </c>
      <c r="AK85">
        <f t="shared" si="85"/>
        <v>4.8000000000000001E-2</v>
      </c>
      <c r="AL85" s="408">
        <f t="shared" si="72"/>
        <v>0.1215</v>
      </c>
      <c r="AM85" s="408">
        <f t="shared" si="86"/>
        <v>0.31645971316818772</v>
      </c>
      <c r="AN85" s="408">
        <f t="shared" si="90"/>
        <v>0.16949999999999998</v>
      </c>
      <c r="AO85" s="408">
        <f t="shared" si="73"/>
        <v>0.91587464352840608</v>
      </c>
      <c r="AP85">
        <f t="shared" si="74"/>
        <v>11.628</v>
      </c>
      <c r="AQ85" s="10">
        <f t="shared" si="91"/>
        <v>0.92698630450672426</v>
      </c>
      <c r="AR85" s="63">
        <f t="shared" si="75"/>
        <v>16.034402305586266</v>
      </c>
      <c r="AS85" s="63">
        <f t="shared" si="92"/>
        <v>2.9184109084002205</v>
      </c>
      <c r="AT85" s="10"/>
      <c r="AU85">
        <f t="shared" si="93"/>
        <v>92.698630450672425</v>
      </c>
      <c r="BE85" s="28"/>
      <c r="BF85" s="29"/>
    </row>
    <row r="86" spans="1:58" x14ac:dyDescent="0.25">
      <c r="G86">
        <v>77</v>
      </c>
      <c r="H86">
        <f t="shared" si="55"/>
        <v>2.31</v>
      </c>
      <c r="I86" s="407">
        <f t="shared" si="76"/>
        <v>0.21355874999999999</v>
      </c>
      <c r="J86" s="408">
        <f t="shared" si="56"/>
        <v>1.3454201249999995</v>
      </c>
      <c r="K86" s="408">
        <f t="shared" si="77"/>
        <v>2.9827100624999998</v>
      </c>
      <c r="L86" s="408">
        <f t="shared" si="78"/>
        <v>1.6372899375000003</v>
      </c>
      <c r="M86" s="63">
        <f t="shared" si="57"/>
        <v>0</v>
      </c>
      <c r="N86" s="407">
        <f t="shared" si="58"/>
        <v>2.3424231633210337</v>
      </c>
      <c r="O86" s="407">
        <f t="shared" si="79"/>
        <v>2.7495076984422485E-2</v>
      </c>
      <c r="P86">
        <f t="shared" si="59"/>
        <v>0.2</v>
      </c>
      <c r="Q86" s="407">
        <f t="shared" si="80"/>
        <v>0.22749507698442251</v>
      </c>
      <c r="R86" s="9">
        <f t="shared" si="87"/>
        <v>0.38838933567094486</v>
      </c>
      <c r="S86" s="9">
        <f t="shared" si="81"/>
        <v>1.5084627606291787E-3</v>
      </c>
      <c r="T86" s="9">
        <f t="shared" si="88"/>
        <v>1.5084627606291787E-3</v>
      </c>
      <c r="U86" s="407">
        <f t="shared" si="60"/>
        <v>1.0824903639447103</v>
      </c>
      <c r="V86" s="409">
        <f t="shared" si="82"/>
        <v>2.3435707760663029E-3</v>
      </c>
      <c r="W86" s="407">
        <f t="shared" si="89"/>
        <v>2.3435707760663029E-3</v>
      </c>
      <c r="X86" s="407">
        <f t="shared" si="61"/>
        <v>1.0824903639447103</v>
      </c>
      <c r="Y86" s="407">
        <f t="shared" si="83"/>
        <v>7.0307123281989087E-3</v>
      </c>
      <c r="Z86" s="407">
        <f t="shared" si="62"/>
        <v>0.17164289497733162</v>
      </c>
      <c r="AA86" s="407">
        <f t="shared" si="63"/>
        <v>0.14400000000000002</v>
      </c>
      <c r="AB86" s="407">
        <f t="shared" si="64"/>
        <v>0</v>
      </c>
      <c r="AC86" s="407">
        <f t="shared" si="65"/>
        <v>0.32312797126776621</v>
      </c>
      <c r="AD86" s="407">
        <f t="shared" si="66"/>
        <v>2.0772965334852329</v>
      </c>
      <c r="AE86" s="407">
        <f t="shared" si="84"/>
        <v>2.589096532817859E-2</v>
      </c>
      <c r="AF86" s="407">
        <f t="shared" si="67"/>
        <v>3.3264000000000002E-2</v>
      </c>
      <c r="AG86" s="407">
        <f t="shared" si="68"/>
        <v>5.9462875578160178E-2</v>
      </c>
      <c r="AH86" s="407">
        <f t="shared" si="69"/>
        <v>0</v>
      </c>
      <c r="AI86">
        <f t="shared" si="70"/>
        <v>0</v>
      </c>
      <c r="AJ86" s="408">
        <f t="shared" si="71"/>
        <v>0.13672099800000001</v>
      </c>
      <c r="AK86">
        <f t="shared" si="85"/>
        <v>4.8000000000000001E-2</v>
      </c>
      <c r="AL86" s="408">
        <f t="shared" si="72"/>
        <v>0.1215</v>
      </c>
      <c r="AM86" s="408">
        <f t="shared" si="86"/>
        <v>0.31645971316818772</v>
      </c>
      <c r="AN86" s="408">
        <f t="shared" si="90"/>
        <v>0.16949999999999998</v>
      </c>
      <c r="AO86" s="408">
        <f t="shared" si="73"/>
        <v>0.9201589553670444</v>
      </c>
      <c r="AP86">
        <f t="shared" si="74"/>
        <v>11.780999999999999</v>
      </c>
      <c r="AQ86" s="10">
        <f t="shared" si="91"/>
        <v>0.92755315018097462</v>
      </c>
      <c r="AR86" s="63">
        <f t="shared" si="75"/>
        <v>16.156398563388311</v>
      </c>
      <c r="AS86" s="63">
        <f t="shared" si="92"/>
        <v>2.9731437789080091</v>
      </c>
      <c r="AT86" s="10"/>
      <c r="AU86">
        <f t="shared" si="93"/>
        <v>92.755315018097463</v>
      </c>
      <c r="BE86" s="28"/>
      <c r="BF86" s="29"/>
    </row>
    <row r="87" spans="1:58" x14ac:dyDescent="0.25">
      <c r="G87">
        <v>78</v>
      </c>
      <c r="H87">
        <f t="shared" si="55"/>
        <v>2.34</v>
      </c>
      <c r="I87" s="407">
        <f t="shared" si="76"/>
        <v>0.21357249999999997</v>
      </c>
      <c r="J87" s="408">
        <f t="shared" si="56"/>
        <v>1.3455067499999993</v>
      </c>
      <c r="K87" s="408">
        <f t="shared" si="77"/>
        <v>3.0127533749999995</v>
      </c>
      <c r="L87" s="408">
        <f t="shared" si="78"/>
        <v>1.6672466250000002</v>
      </c>
      <c r="M87" s="63">
        <f t="shared" si="57"/>
        <v>0</v>
      </c>
      <c r="N87" s="407">
        <f t="shared" si="58"/>
        <v>2.3720172219423903</v>
      </c>
      <c r="O87" s="407">
        <f t="shared" si="79"/>
        <v>2.8195785554091773E-2</v>
      </c>
      <c r="P87">
        <f t="shared" si="59"/>
        <v>0.2</v>
      </c>
      <c r="Q87" s="407">
        <f t="shared" si="80"/>
        <v>0.22819578555409178</v>
      </c>
      <c r="R87" s="9">
        <f t="shared" si="87"/>
        <v>0.38841434215447906</v>
      </c>
      <c r="S87" s="9">
        <f t="shared" si="81"/>
        <v>1.5086570119129672E-3</v>
      </c>
      <c r="T87" s="9">
        <f t="shared" si="88"/>
        <v>1.5086570119129672E-3</v>
      </c>
      <c r="U87" s="407">
        <f t="shared" si="60"/>
        <v>1.0962017815930047</v>
      </c>
      <c r="V87" s="409">
        <f t="shared" si="82"/>
        <v>2.4033166919353553E-3</v>
      </c>
      <c r="W87" s="407">
        <f t="shared" si="89"/>
        <v>2.4033166919353553E-3</v>
      </c>
      <c r="X87" s="407">
        <f t="shared" si="61"/>
        <v>1.0962017815930047</v>
      </c>
      <c r="Y87" s="407">
        <f t="shared" si="83"/>
        <v>7.2099500758060668E-3</v>
      </c>
      <c r="Z87" s="407">
        <f t="shared" si="62"/>
        <v>0.17389113432735012</v>
      </c>
      <c r="AA87" s="407">
        <f t="shared" si="63"/>
        <v>0.14400000000000002</v>
      </c>
      <c r="AB87" s="407">
        <f t="shared" si="64"/>
        <v>0</v>
      </c>
      <c r="AC87" s="407">
        <f t="shared" si="65"/>
        <v>0.32557055389109768</v>
      </c>
      <c r="AD87" s="407">
        <f t="shared" si="66"/>
        <v>2.1035226063020138</v>
      </c>
      <c r="AE87" s="407">
        <f t="shared" si="84"/>
        <v>2.6548844131341703E-2</v>
      </c>
      <c r="AF87" s="407">
        <f t="shared" si="67"/>
        <v>3.3695999999999997E-2</v>
      </c>
      <c r="AG87" s="407">
        <f t="shared" si="68"/>
        <v>6.0566437915302487E-2</v>
      </c>
      <c r="AH87" s="407">
        <f t="shared" si="69"/>
        <v>0</v>
      </c>
      <c r="AI87">
        <f t="shared" si="70"/>
        <v>0</v>
      </c>
      <c r="AJ87" s="408">
        <f t="shared" si="71"/>
        <v>0.136719972</v>
      </c>
      <c r="AK87">
        <f t="shared" si="85"/>
        <v>4.8000000000000001E-2</v>
      </c>
      <c r="AL87" s="408">
        <f t="shared" si="72"/>
        <v>0.1215</v>
      </c>
      <c r="AM87" s="408">
        <f t="shared" si="86"/>
        <v>0.31645971316818772</v>
      </c>
      <c r="AN87" s="408">
        <f t="shared" si="90"/>
        <v>0.16949999999999998</v>
      </c>
      <c r="AO87" s="408">
        <f t="shared" si="73"/>
        <v>0.92446472306434024</v>
      </c>
      <c r="AP87">
        <f t="shared" si="74"/>
        <v>11.933999999999999</v>
      </c>
      <c r="AQ87" s="10">
        <f t="shared" si="91"/>
        <v>0.92810457990321982</v>
      </c>
      <c r="AR87" s="63">
        <f t="shared" si="75"/>
        <v>16.278527694554885</v>
      </c>
      <c r="AS87" s="63">
        <f t="shared" si="92"/>
        <v>3.0283218957651243</v>
      </c>
      <c r="AT87" s="10"/>
      <c r="AU87">
        <f t="shared" si="93"/>
        <v>92.810457990321979</v>
      </c>
      <c r="BE87" s="28"/>
      <c r="BF87" s="29"/>
    </row>
    <row r="88" spans="1:58" x14ac:dyDescent="0.25">
      <c r="G88">
        <v>79</v>
      </c>
      <c r="H88">
        <f t="shared" si="55"/>
        <v>2.37</v>
      </c>
      <c r="I88" s="407">
        <f t="shared" si="76"/>
        <v>0.21358624999999998</v>
      </c>
      <c r="J88" s="408">
        <f t="shared" si="56"/>
        <v>1.3455933749999995</v>
      </c>
      <c r="K88" s="408">
        <f t="shared" si="77"/>
        <v>3.0427966875000001</v>
      </c>
      <c r="L88" s="408">
        <f t="shared" si="78"/>
        <v>1.6972033125000003</v>
      </c>
      <c r="M88" s="63">
        <f t="shared" si="57"/>
        <v>0</v>
      </c>
      <c r="N88" s="407">
        <f t="shared" si="58"/>
        <v>2.4016213539128777</v>
      </c>
      <c r="O88" s="407">
        <f t="shared" si="79"/>
        <v>2.8905614186494882E-2</v>
      </c>
      <c r="P88">
        <f t="shared" si="59"/>
        <v>0.2</v>
      </c>
      <c r="Q88" s="407">
        <f t="shared" si="80"/>
        <v>0.22890561418649488</v>
      </c>
      <c r="R88" s="9">
        <f t="shared" si="87"/>
        <v>0.38843934863801344</v>
      </c>
      <c r="S88" s="9">
        <f t="shared" si="81"/>
        <v>1.5088512757032416E-3</v>
      </c>
      <c r="T88" s="9">
        <f t="shared" si="88"/>
        <v>1.5088512757032416E-3</v>
      </c>
      <c r="U88" s="407">
        <f t="shared" si="60"/>
        <v>1.1099187340537671</v>
      </c>
      <c r="V88" s="409">
        <f t="shared" si="82"/>
        <v>2.4638391924070341E-3</v>
      </c>
      <c r="W88" s="407">
        <f t="shared" si="89"/>
        <v>2.4638391924070341E-3</v>
      </c>
      <c r="X88" s="407">
        <f t="shared" si="61"/>
        <v>1.1099187340537671</v>
      </c>
      <c r="Y88" s="407">
        <f t="shared" si="83"/>
        <v>7.3915175772211019E-3</v>
      </c>
      <c r="Z88" s="407">
        <f t="shared" si="62"/>
        <v>0.17613937367736868</v>
      </c>
      <c r="AA88" s="407">
        <f t="shared" si="63"/>
        <v>0.14400000000000002</v>
      </c>
      <c r="AB88" s="407">
        <f t="shared" si="64"/>
        <v>0</v>
      </c>
      <c r="AC88" s="407">
        <f t="shared" si="65"/>
        <v>0.32801579816213411</v>
      </c>
      <c r="AD88" s="407">
        <f t="shared" si="66"/>
        <v>2.1297571531437116</v>
      </c>
      <c r="AE88" s="407">
        <f t="shared" si="84"/>
        <v>2.7215193188200842E-2</v>
      </c>
      <c r="AF88" s="407">
        <f t="shared" si="67"/>
        <v>3.4127999999999999E-2</v>
      </c>
      <c r="AG88" s="407">
        <f t="shared" si="68"/>
        <v>6.1678913899684502E-2</v>
      </c>
      <c r="AH88" s="407">
        <f t="shared" si="69"/>
        <v>0</v>
      </c>
      <c r="AI88">
        <f t="shared" si="70"/>
        <v>0</v>
      </c>
      <c r="AJ88" s="408">
        <f t="shared" si="71"/>
        <v>0.13671894600000001</v>
      </c>
      <c r="AK88">
        <f t="shared" si="85"/>
        <v>4.8000000000000001E-2</v>
      </c>
      <c r="AL88" s="408">
        <f t="shared" si="72"/>
        <v>0.1215</v>
      </c>
      <c r="AM88" s="408">
        <f t="shared" si="86"/>
        <v>0.31645971316818772</v>
      </c>
      <c r="AN88" s="408">
        <f t="shared" si="90"/>
        <v>0.16949999999999998</v>
      </c>
      <c r="AO88" s="408">
        <f t="shared" si="73"/>
        <v>0.92879196271642372</v>
      </c>
      <c r="AP88">
        <f t="shared" si="74"/>
        <v>12.087</v>
      </c>
      <c r="AQ88" s="10">
        <f t="shared" si="91"/>
        <v>0.92864114873862935</v>
      </c>
      <c r="AR88" s="63">
        <f t="shared" si="75"/>
        <v>16.400789908106706</v>
      </c>
      <c r="AS88" s="63">
        <f t="shared" si="92"/>
        <v>3.0839456949842252</v>
      </c>
      <c r="AT88" s="10"/>
      <c r="AU88">
        <f t="shared" si="93"/>
        <v>92.864114873862931</v>
      </c>
      <c r="BE88" s="28"/>
      <c r="BF88" s="29"/>
    </row>
    <row r="89" spans="1:58" x14ac:dyDescent="0.25">
      <c r="G89">
        <v>80</v>
      </c>
      <c r="H89">
        <f t="shared" si="55"/>
        <v>2.4000000000000004</v>
      </c>
      <c r="I89" s="407">
        <f t="shared" si="76"/>
        <v>0.21359999999999998</v>
      </c>
      <c r="J89" s="408">
        <f t="shared" si="56"/>
        <v>1.3456799999999995</v>
      </c>
      <c r="K89" s="408">
        <f t="shared" si="77"/>
        <v>3.0728400000000002</v>
      </c>
      <c r="L89" s="408">
        <f t="shared" si="78"/>
        <v>1.7271600000000005</v>
      </c>
      <c r="M89" s="63">
        <f t="shared" si="57"/>
        <v>0</v>
      </c>
      <c r="N89" s="407">
        <f t="shared" si="58"/>
        <v>2.4312351912556718</v>
      </c>
      <c r="O89" s="407">
        <f t="shared" si="79"/>
        <v>2.9624565968772269E-2</v>
      </c>
      <c r="P89">
        <f t="shared" si="59"/>
        <v>0.2</v>
      </c>
      <c r="Q89" s="407">
        <f t="shared" si="80"/>
        <v>0.22962456596877229</v>
      </c>
      <c r="R89" s="9">
        <f t="shared" si="87"/>
        <v>0.3884643551215477</v>
      </c>
      <c r="S89" s="9">
        <f t="shared" si="81"/>
        <v>1.5090455519999994E-3</v>
      </c>
      <c r="T89" s="9">
        <f t="shared" si="88"/>
        <v>1.5090455519999994E-3</v>
      </c>
      <c r="U89" s="407">
        <f t="shared" si="60"/>
        <v>1.1236410516667326</v>
      </c>
      <c r="V89" s="409">
        <f t="shared" si="82"/>
        <v>2.5251384259814412E-3</v>
      </c>
      <c r="W89" s="407">
        <f t="shared" si="89"/>
        <v>2.5251384259814412E-3</v>
      </c>
      <c r="X89" s="407">
        <f t="shared" si="61"/>
        <v>1.1236410516667326</v>
      </c>
      <c r="Y89" s="407">
        <f t="shared" si="83"/>
        <v>7.5754152779443241E-3</v>
      </c>
      <c r="Z89" s="407">
        <f t="shared" si="62"/>
        <v>0.1783876130273872</v>
      </c>
      <c r="AA89" s="407">
        <f t="shared" si="63"/>
        <v>0.14400000000000002</v>
      </c>
      <c r="AB89" s="407">
        <f t="shared" si="64"/>
        <v>0</v>
      </c>
      <c r="AC89" s="407">
        <f t="shared" si="65"/>
        <v>0.33046370827021881</v>
      </c>
      <c r="AD89" s="407">
        <f t="shared" si="66"/>
        <v>2.1559998474511266</v>
      </c>
      <c r="AE89" s="407">
        <f t="shared" si="84"/>
        <v>2.7890012053255687E-2</v>
      </c>
      <c r="AF89" s="407">
        <f t="shared" si="67"/>
        <v>3.4560000000000007E-2</v>
      </c>
      <c r="AG89" s="407">
        <f t="shared" si="68"/>
        <v>6.2800312346916437E-2</v>
      </c>
      <c r="AH89" s="407">
        <f t="shared" si="69"/>
        <v>0</v>
      </c>
      <c r="AI89">
        <f t="shared" si="70"/>
        <v>0</v>
      </c>
      <c r="AJ89" s="408">
        <f t="shared" si="71"/>
        <v>0.13671792000000002</v>
      </c>
      <c r="AK89">
        <f t="shared" si="85"/>
        <v>4.8000000000000001E-2</v>
      </c>
      <c r="AL89" s="408">
        <f t="shared" si="72"/>
        <v>0.1215</v>
      </c>
      <c r="AM89" s="408">
        <f t="shared" si="86"/>
        <v>0.31645971316818772</v>
      </c>
      <c r="AN89" s="408">
        <f t="shared" si="90"/>
        <v>0.16949999999999998</v>
      </c>
      <c r="AO89" s="408">
        <f t="shared" si="73"/>
        <v>0.93314069056388904</v>
      </c>
      <c r="AP89">
        <f t="shared" si="74"/>
        <v>12.24</v>
      </c>
      <c r="AQ89" s="10">
        <f t="shared" si="91"/>
        <v>0.92916338537002718</v>
      </c>
      <c r="AR89" s="63">
        <f t="shared" si="75"/>
        <v>16.523185413510941</v>
      </c>
      <c r="AS89" s="63">
        <f t="shared" si="92"/>
        <v>3.140015617345822</v>
      </c>
      <c r="AT89" s="10"/>
      <c r="AU89">
        <f t="shared" si="93"/>
        <v>92.916338537002716</v>
      </c>
      <c r="BE89" s="28"/>
      <c r="BF89" s="29"/>
    </row>
    <row r="90" spans="1:58" x14ac:dyDescent="0.25">
      <c r="G90">
        <v>81</v>
      </c>
      <c r="H90">
        <f t="shared" si="55"/>
        <v>2.4300000000000002</v>
      </c>
      <c r="I90" s="407">
        <f t="shared" si="76"/>
        <v>0.21361374999999996</v>
      </c>
      <c r="J90" s="408">
        <f t="shared" si="56"/>
        <v>1.3457666249999993</v>
      </c>
      <c r="K90" s="408">
        <f t="shared" si="77"/>
        <v>3.1028833124999999</v>
      </c>
      <c r="L90" s="408">
        <f t="shared" si="78"/>
        <v>1.7571166875000004</v>
      </c>
      <c r="M90" s="63">
        <f t="shared" si="57"/>
        <v>0</v>
      </c>
      <c r="N90" s="407">
        <f t="shared" si="58"/>
        <v>2.4608583835890121</v>
      </c>
      <c r="O90" s="407">
        <f t="shared" si="79"/>
        <v>3.0352644028276303E-2</v>
      </c>
      <c r="P90">
        <f t="shared" si="59"/>
        <v>0.2</v>
      </c>
      <c r="Q90" s="407">
        <f t="shared" si="80"/>
        <v>0.23035264402827632</v>
      </c>
      <c r="R90" s="9">
        <f t="shared" si="87"/>
        <v>0.38848936160508191</v>
      </c>
      <c r="S90" s="9">
        <f t="shared" si="81"/>
        <v>1.5092398408032409E-3</v>
      </c>
      <c r="T90" s="9">
        <f t="shared" si="88"/>
        <v>1.5092398408032409E-3</v>
      </c>
      <c r="U90" s="407">
        <f t="shared" si="60"/>
        <v>1.1373685728818685</v>
      </c>
      <c r="V90" s="409">
        <f t="shared" si="82"/>
        <v>2.5872145411586765E-3</v>
      </c>
      <c r="W90" s="407">
        <f t="shared" si="89"/>
        <v>2.5872145411586765E-3</v>
      </c>
      <c r="X90" s="407">
        <f t="shared" si="61"/>
        <v>1.1373685728818685</v>
      </c>
      <c r="Y90" s="407">
        <f t="shared" si="83"/>
        <v>7.7616436234760298E-3</v>
      </c>
      <c r="Z90" s="407">
        <f t="shared" si="62"/>
        <v>0.18063585237740568</v>
      </c>
      <c r="AA90" s="407">
        <f t="shared" si="63"/>
        <v>0.14400000000000002</v>
      </c>
      <c r="AB90" s="407">
        <f t="shared" si="64"/>
        <v>0</v>
      </c>
      <c r="AC90" s="407">
        <f t="shared" si="65"/>
        <v>0.33291428841364767</v>
      </c>
      <c r="AD90" s="407">
        <f t="shared" si="66"/>
        <v>2.1822503782794924</v>
      </c>
      <c r="AE90" s="407">
        <f t="shared" si="84"/>
        <v>2.8573300281005926E-2</v>
      </c>
      <c r="AF90" s="407">
        <f t="shared" si="67"/>
        <v>3.4992000000000002E-2</v>
      </c>
      <c r="AG90" s="407">
        <f t="shared" si="68"/>
        <v>6.3930642168171667E-2</v>
      </c>
      <c r="AH90" s="407">
        <f t="shared" si="69"/>
        <v>0</v>
      </c>
      <c r="AI90">
        <f t="shared" si="70"/>
        <v>0</v>
      </c>
      <c r="AJ90" s="408">
        <f t="shared" si="71"/>
        <v>0.13671689400000001</v>
      </c>
      <c r="AK90">
        <f t="shared" si="85"/>
        <v>4.8000000000000001E-2</v>
      </c>
      <c r="AL90" s="408">
        <f t="shared" si="72"/>
        <v>0.1215</v>
      </c>
      <c r="AM90" s="408">
        <f t="shared" si="86"/>
        <v>0.31645971316818772</v>
      </c>
      <c r="AN90" s="408">
        <f t="shared" si="90"/>
        <v>0.16949999999999998</v>
      </c>
      <c r="AO90" s="408">
        <f t="shared" si="73"/>
        <v>0.93751092299205752</v>
      </c>
      <c r="AP90">
        <f t="shared" si="74"/>
        <v>12.393000000000001</v>
      </c>
      <c r="AQ90" s="10">
        <f t="shared" si="91"/>
        <v>0.92967179364632846</v>
      </c>
      <c r="AR90" s="63">
        <f t="shared" si="75"/>
        <v>16.645714420682385</v>
      </c>
      <c r="AS90" s="63">
        <f t="shared" si="92"/>
        <v>3.1965321084085834</v>
      </c>
      <c r="AT90" s="10"/>
      <c r="AU90">
        <f t="shared" si="93"/>
        <v>92.967179364632841</v>
      </c>
      <c r="BE90" s="28"/>
      <c r="BF90" s="29"/>
    </row>
    <row r="91" spans="1:58" x14ac:dyDescent="0.25">
      <c r="G91">
        <v>82</v>
      </c>
      <c r="H91">
        <f t="shared" si="55"/>
        <v>2.46</v>
      </c>
      <c r="I91" s="407">
        <f t="shared" si="76"/>
        <v>0.21362749999999997</v>
      </c>
      <c r="J91" s="408">
        <f t="shared" si="56"/>
        <v>1.3458532499999993</v>
      </c>
      <c r="K91" s="408">
        <f t="shared" si="77"/>
        <v>3.1329266249999996</v>
      </c>
      <c r="L91" s="408">
        <f t="shared" si="78"/>
        <v>1.7870733750000003</v>
      </c>
      <c r="M91" s="63">
        <f t="shared" si="57"/>
        <v>0</v>
      </c>
      <c r="N91" s="407">
        <f t="shared" si="58"/>
        <v>2.4904905970935318</v>
      </c>
      <c r="O91" s="407">
        <f t="shared" si="79"/>
        <v>3.1089851532605434E-2</v>
      </c>
      <c r="P91">
        <f t="shared" si="59"/>
        <v>0.2</v>
      </c>
      <c r="Q91" s="407">
        <f t="shared" si="80"/>
        <v>0.23108985153260544</v>
      </c>
      <c r="R91" s="9">
        <f t="shared" si="87"/>
        <v>0.38851436808861617</v>
      </c>
      <c r="S91" s="9">
        <f t="shared" si="81"/>
        <v>1.5094341421129673E-3</v>
      </c>
      <c r="T91" s="9">
        <f t="shared" si="88"/>
        <v>1.5094341421129673E-3</v>
      </c>
      <c r="U91" s="407">
        <f t="shared" si="60"/>
        <v>1.1511011437833878</v>
      </c>
      <c r="V91" s="409">
        <f t="shared" si="82"/>
        <v>2.650067686438847E-3</v>
      </c>
      <c r="W91" s="407">
        <f t="shared" si="89"/>
        <v>2.650067686438847E-3</v>
      </c>
      <c r="X91" s="407">
        <f t="shared" si="61"/>
        <v>1.1511011437833878</v>
      </c>
      <c r="Y91" s="407">
        <f t="shared" si="83"/>
        <v>7.9502030593165407E-3</v>
      </c>
      <c r="Z91" s="407">
        <f t="shared" si="62"/>
        <v>0.18288409172742415</v>
      </c>
      <c r="AA91" s="407">
        <f t="shared" si="63"/>
        <v>0.14400000000000002</v>
      </c>
      <c r="AB91" s="407">
        <f t="shared" si="64"/>
        <v>0</v>
      </c>
      <c r="AC91" s="407">
        <f t="shared" si="65"/>
        <v>0.335367542799693</v>
      </c>
      <c r="AD91" s="407">
        <f t="shared" si="66"/>
        <v>2.2085084493820424</v>
      </c>
      <c r="AE91" s="407">
        <f t="shared" si="84"/>
        <v>2.926505742595124E-2</v>
      </c>
      <c r="AF91" s="407">
        <f t="shared" si="67"/>
        <v>3.5423999999999997E-2</v>
      </c>
      <c r="AG91" s="407">
        <f t="shared" si="68"/>
        <v>6.5069912370395486E-2</v>
      </c>
      <c r="AH91" s="407">
        <f t="shared" si="69"/>
        <v>0</v>
      </c>
      <c r="AI91">
        <f t="shared" si="70"/>
        <v>0</v>
      </c>
      <c r="AJ91" s="408">
        <f t="shared" si="71"/>
        <v>0.13671586800000002</v>
      </c>
      <c r="AK91">
        <f t="shared" si="85"/>
        <v>4.8000000000000001E-2</v>
      </c>
      <c r="AL91" s="408">
        <f t="shared" si="72"/>
        <v>0.1215</v>
      </c>
      <c r="AM91" s="408">
        <f t="shared" si="86"/>
        <v>0.31645971316818772</v>
      </c>
      <c r="AN91" s="408">
        <f t="shared" si="90"/>
        <v>0.16949999999999998</v>
      </c>
      <c r="AO91" s="408">
        <f t="shared" si="73"/>
        <v>0.94190267653124571</v>
      </c>
      <c r="AP91">
        <f t="shared" si="74"/>
        <v>12.545999999999999</v>
      </c>
      <c r="AQ91" s="10">
        <f t="shared" si="91"/>
        <v>0.93016685402318755</v>
      </c>
      <c r="AR91" s="63">
        <f t="shared" si="75"/>
        <v>16.768377139984651</v>
      </c>
      <c r="AS91" s="63">
        <f t="shared" si="92"/>
        <v>3.2534956185197741</v>
      </c>
      <c r="AT91" s="10"/>
      <c r="AU91">
        <f t="shared" si="93"/>
        <v>93.016685402318757</v>
      </c>
      <c r="BE91" s="28"/>
      <c r="BF91" s="29"/>
    </row>
    <row r="92" spans="1:58" x14ac:dyDescent="0.25">
      <c r="G92">
        <v>83</v>
      </c>
      <c r="H92">
        <f t="shared" si="55"/>
        <v>2.4899999999999998</v>
      </c>
      <c r="I92" s="407">
        <f t="shared" si="76"/>
        <v>0.21364125</v>
      </c>
      <c r="J92" s="408">
        <f t="shared" si="56"/>
        <v>1.3459398749999998</v>
      </c>
      <c r="K92" s="408">
        <f t="shared" si="77"/>
        <v>3.1629699374999998</v>
      </c>
      <c r="L92" s="408">
        <f t="shared" si="78"/>
        <v>1.8170300624999998</v>
      </c>
      <c r="M92" s="63">
        <f t="shared" si="57"/>
        <v>0</v>
      </c>
      <c r="N92" s="407">
        <f t="shared" si="58"/>
        <v>2.5201315135510125</v>
      </c>
      <c r="O92" s="407">
        <f t="shared" si="79"/>
        <v>3.1836191689638679E-2</v>
      </c>
      <c r="P92">
        <f t="shared" si="59"/>
        <v>0.2</v>
      </c>
      <c r="Q92" s="407">
        <f t="shared" si="80"/>
        <v>0.2318361916896387</v>
      </c>
      <c r="R92" s="9">
        <f t="shared" si="87"/>
        <v>0.3885393745721506</v>
      </c>
      <c r="S92" s="9">
        <f t="shared" si="81"/>
        <v>1.5096284559291794E-3</v>
      </c>
      <c r="T92" s="9">
        <f t="shared" si="88"/>
        <v>1.5096284559291794E-3</v>
      </c>
      <c r="U92" s="407">
        <f t="shared" si="60"/>
        <v>1.1648386176466798</v>
      </c>
      <c r="V92" s="409">
        <f t="shared" si="82"/>
        <v>2.7136980103220562E-3</v>
      </c>
      <c r="W92" s="407">
        <f t="shared" si="89"/>
        <v>2.7136980103220562E-3</v>
      </c>
      <c r="X92" s="407">
        <f t="shared" si="61"/>
        <v>1.1648386176466798</v>
      </c>
      <c r="Y92" s="407">
        <f t="shared" si="83"/>
        <v>8.1410940309661686E-3</v>
      </c>
      <c r="Z92" s="407">
        <f t="shared" si="62"/>
        <v>0.18513233107744265</v>
      </c>
      <c r="AA92" s="407">
        <f t="shared" si="63"/>
        <v>0.14400000000000002</v>
      </c>
      <c r="AB92" s="407">
        <f t="shared" si="64"/>
        <v>0</v>
      </c>
      <c r="AC92" s="407">
        <f t="shared" si="65"/>
        <v>0.337823475644627</v>
      </c>
      <c r="AD92" s="407">
        <f t="shared" si="66"/>
        <v>2.2347737783569701</v>
      </c>
      <c r="AE92" s="407">
        <f t="shared" si="84"/>
        <v>2.9965283042591329E-2</v>
      </c>
      <c r="AF92" s="407">
        <f t="shared" si="67"/>
        <v>3.5855999999999999E-2</v>
      </c>
      <c r="AG92" s="407">
        <f t="shared" si="68"/>
        <v>6.621813205651636E-2</v>
      </c>
      <c r="AH92" s="407">
        <f t="shared" si="69"/>
        <v>0</v>
      </c>
      <c r="AI92">
        <f t="shared" si="70"/>
        <v>0</v>
      </c>
      <c r="AJ92" s="408">
        <f t="shared" si="71"/>
        <v>0.136714842</v>
      </c>
      <c r="AK92">
        <f t="shared" si="85"/>
        <v>4.8000000000000001E-2</v>
      </c>
      <c r="AL92" s="408">
        <f t="shared" si="72"/>
        <v>0.1215</v>
      </c>
      <c r="AM92" s="408">
        <f t="shared" si="86"/>
        <v>0.31645971316818772</v>
      </c>
      <c r="AN92" s="408">
        <f t="shared" si="90"/>
        <v>0.16949999999999998</v>
      </c>
      <c r="AO92" s="408">
        <f t="shared" si="73"/>
        <v>0.94631596785703331</v>
      </c>
      <c r="AP92">
        <f t="shared" si="74"/>
        <v>12.698999999999998</v>
      </c>
      <c r="AQ92" s="10">
        <f t="shared" si="91"/>
        <v>0.93064902490450352</v>
      </c>
      <c r="AR92" s="63">
        <f t="shared" si="75"/>
        <v>16.891173782231348</v>
      </c>
      <c r="AS92" s="63">
        <f t="shared" si="92"/>
        <v>3.3109066028258178</v>
      </c>
      <c r="AT92" s="10"/>
      <c r="AU92">
        <f t="shared" si="93"/>
        <v>93.064902490450351</v>
      </c>
      <c r="BE92" s="28"/>
      <c r="BF92" s="29"/>
    </row>
    <row r="93" spans="1:58" x14ac:dyDescent="0.25">
      <c r="G93">
        <v>84</v>
      </c>
      <c r="H93">
        <f t="shared" si="55"/>
        <v>2.52</v>
      </c>
      <c r="I93" s="407">
        <f t="shared" si="76"/>
        <v>0.21365499999999996</v>
      </c>
      <c r="J93" s="408">
        <f t="shared" si="56"/>
        <v>1.3460264999999993</v>
      </c>
      <c r="K93" s="408">
        <f t="shared" si="77"/>
        <v>3.1930132499999999</v>
      </c>
      <c r="L93" s="408">
        <f t="shared" si="78"/>
        <v>1.8469867500000003</v>
      </c>
      <c r="M93" s="63">
        <f t="shared" si="57"/>
        <v>0</v>
      </c>
      <c r="N93" s="407">
        <f t="shared" si="58"/>
        <v>2.5497808294489133</v>
      </c>
      <c r="O93" s="407">
        <f t="shared" si="79"/>
        <v>3.2591667747570684E-2</v>
      </c>
      <c r="P93">
        <f t="shared" si="59"/>
        <v>0.2</v>
      </c>
      <c r="Q93" s="407">
        <f t="shared" si="80"/>
        <v>0.2325916677475707</v>
      </c>
      <c r="R93" s="9">
        <f t="shared" si="87"/>
        <v>0.38856438105568475</v>
      </c>
      <c r="S93" s="9">
        <f t="shared" si="81"/>
        <v>1.509822782251874E-3</v>
      </c>
      <c r="T93" s="9">
        <f t="shared" si="88"/>
        <v>1.509822782251874E-3</v>
      </c>
      <c r="U93" s="407">
        <f t="shared" si="60"/>
        <v>1.1785808545255612</v>
      </c>
      <c r="V93" s="409">
        <f t="shared" si="82"/>
        <v>2.7781056613084042E-3</v>
      </c>
      <c r="W93" s="407">
        <f t="shared" si="89"/>
        <v>2.7781056613084042E-3</v>
      </c>
      <c r="X93" s="407">
        <f t="shared" si="61"/>
        <v>1.1785808545255612</v>
      </c>
      <c r="Y93" s="407">
        <f t="shared" si="83"/>
        <v>8.3343169839252117E-3</v>
      </c>
      <c r="Z93" s="407">
        <f t="shared" si="62"/>
        <v>0.18738057042746117</v>
      </c>
      <c r="AA93" s="407">
        <f t="shared" si="63"/>
        <v>0.14400000000000002</v>
      </c>
      <c r="AB93" s="407">
        <f t="shared" si="64"/>
        <v>0</v>
      </c>
      <c r="AC93" s="407">
        <f t="shared" si="65"/>
        <v>0.34028209117374536</v>
      </c>
      <c r="AD93" s="407">
        <f t="shared" si="66"/>
        <v>2.261046095852755</v>
      </c>
      <c r="AE93" s="407">
        <f t="shared" si="84"/>
        <v>3.0673976685425913E-2</v>
      </c>
      <c r="AF93" s="407">
        <f t="shared" si="67"/>
        <v>3.6288000000000001E-2</v>
      </c>
      <c r="AG93" s="407">
        <f t="shared" si="68"/>
        <v>6.7375310425659918E-2</v>
      </c>
      <c r="AH93" s="407">
        <f t="shared" si="69"/>
        <v>0</v>
      </c>
      <c r="AI93">
        <f t="shared" si="70"/>
        <v>0</v>
      </c>
      <c r="AJ93" s="408">
        <f t="shared" si="71"/>
        <v>0.13671381600000002</v>
      </c>
      <c r="AK93">
        <f t="shared" si="85"/>
        <v>4.8000000000000001E-2</v>
      </c>
      <c r="AL93" s="408">
        <f t="shared" si="72"/>
        <v>0.1215</v>
      </c>
      <c r="AM93" s="408">
        <f t="shared" si="86"/>
        <v>0.31645971316818772</v>
      </c>
      <c r="AN93" s="408">
        <f t="shared" si="90"/>
        <v>0.16949999999999998</v>
      </c>
      <c r="AO93" s="408">
        <f t="shared" si="73"/>
        <v>0.95075081379053628</v>
      </c>
      <c r="AP93">
        <f t="shared" si="74"/>
        <v>12.851999999999999</v>
      </c>
      <c r="AQ93" s="10">
        <f t="shared" si="91"/>
        <v>0.93111874389265747</v>
      </c>
      <c r="AR93" s="63">
        <f t="shared" si="75"/>
        <v>17.014104558687269</v>
      </c>
      <c r="AS93" s="63">
        <f t="shared" si="92"/>
        <v>3.3687655212829961</v>
      </c>
      <c r="AT93" s="10"/>
      <c r="AU93">
        <f t="shared" si="93"/>
        <v>93.111874389265751</v>
      </c>
      <c r="BE93" s="28"/>
      <c r="BF93" s="29"/>
    </row>
    <row r="94" spans="1:58" x14ac:dyDescent="0.25">
      <c r="G94">
        <v>85</v>
      </c>
      <c r="H94">
        <f t="shared" si="55"/>
        <v>2.5499999999999998</v>
      </c>
      <c r="I94" s="407">
        <f t="shared" si="76"/>
        <v>0.21366874999999996</v>
      </c>
      <c r="J94" s="408">
        <f t="shared" si="56"/>
        <v>1.3461131249999994</v>
      </c>
      <c r="K94" s="408">
        <f t="shared" si="77"/>
        <v>3.2230565624999996</v>
      </c>
      <c r="L94" s="408">
        <f t="shared" si="78"/>
        <v>1.8769434375</v>
      </c>
      <c r="M94" s="63">
        <f t="shared" si="57"/>
        <v>0</v>
      </c>
      <c r="N94" s="407">
        <f t="shared" si="58"/>
        <v>2.5794382551455084</v>
      </c>
      <c r="O94" s="407">
        <f t="shared" si="79"/>
        <v>3.3356282994947098E-2</v>
      </c>
      <c r="P94">
        <f t="shared" si="59"/>
        <v>0.2</v>
      </c>
      <c r="Q94" s="407">
        <f t="shared" si="80"/>
        <v>0.2333562829949471</v>
      </c>
      <c r="R94" s="9">
        <f t="shared" si="87"/>
        <v>0.38858938753921901</v>
      </c>
      <c r="S94" s="9">
        <f t="shared" si="81"/>
        <v>1.5100171210810534E-3</v>
      </c>
      <c r="T94" s="9">
        <f t="shared" si="88"/>
        <v>1.5100171210810534E-3</v>
      </c>
      <c r="U94" s="407">
        <f t="shared" si="60"/>
        <v>1.192327720867463</v>
      </c>
      <c r="V94" s="409">
        <f t="shared" si="82"/>
        <v>2.8432907878979973E-3</v>
      </c>
      <c r="W94" s="407">
        <f t="shared" si="89"/>
        <v>2.8432907878979973E-3</v>
      </c>
      <c r="X94" s="407">
        <f t="shared" si="61"/>
        <v>1.192327720867463</v>
      </c>
      <c r="Y94" s="407">
        <f t="shared" si="83"/>
        <v>8.5298723636939924E-3</v>
      </c>
      <c r="Z94" s="407">
        <f t="shared" si="62"/>
        <v>0.18962880977747967</v>
      </c>
      <c r="AA94" s="407">
        <f t="shared" si="63"/>
        <v>0.14400000000000002</v>
      </c>
      <c r="AB94" s="407">
        <f t="shared" si="64"/>
        <v>0</v>
      </c>
      <c r="AC94" s="407">
        <f t="shared" si="65"/>
        <v>0.34274339362139161</v>
      </c>
      <c r="AD94" s="407">
        <f t="shared" si="66"/>
        <v>2.2873251448272729</v>
      </c>
      <c r="AE94" s="407">
        <f t="shared" si="84"/>
        <v>3.1391137908954633E-2</v>
      </c>
      <c r="AF94" s="407">
        <f t="shared" si="67"/>
        <v>3.6719999999999996E-2</v>
      </c>
      <c r="AG94" s="407">
        <f t="shared" si="68"/>
        <v>6.8541456773365303E-2</v>
      </c>
      <c r="AH94" s="407">
        <f t="shared" si="69"/>
        <v>0</v>
      </c>
      <c r="AI94">
        <f t="shared" si="70"/>
        <v>0</v>
      </c>
      <c r="AJ94" s="408">
        <f t="shared" si="71"/>
        <v>0.13671279</v>
      </c>
      <c r="AK94">
        <f t="shared" si="85"/>
        <v>4.8000000000000001E-2</v>
      </c>
      <c r="AL94" s="408">
        <f t="shared" si="72"/>
        <v>0.1215</v>
      </c>
      <c r="AM94" s="408">
        <f t="shared" si="86"/>
        <v>0.31645971316818772</v>
      </c>
      <c r="AN94" s="408">
        <f t="shared" si="90"/>
        <v>0.16949999999999998</v>
      </c>
      <c r="AO94" s="408">
        <f t="shared" si="73"/>
        <v>0.95520723129868312</v>
      </c>
      <c r="AP94">
        <f t="shared" si="74"/>
        <v>13.004999999999999</v>
      </c>
      <c r="AQ94" s="10">
        <f t="shared" si="91"/>
        <v>0.93157642895464221</v>
      </c>
      <c r="AR94" s="63">
        <f t="shared" si="75"/>
        <v>17.137169681069579</v>
      </c>
      <c r="AS94" s="63">
        <f t="shared" si="92"/>
        <v>3.427072838668265</v>
      </c>
      <c r="AT94" s="10"/>
      <c r="AU94">
        <f t="shared" si="93"/>
        <v>93.157642895464221</v>
      </c>
      <c r="BE94" s="28"/>
      <c r="BF94" s="29"/>
    </row>
    <row r="95" spans="1:58" x14ac:dyDescent="0.25">
      <c r="G95">
        <v>86</v>
      </c>
      <c r="H95">
        <f t="shared" si="55"/>
        <v>2.58</v>
      </c>
      <c r="I95" s="407">
        <f t="shared" si="76"/>
        <v>0.2136825</v>
      </c>
      <c r="J95" s="408">
        <f t="shared" si="56"/>
        <v>1.3461997499999998</v>
      </c>
      <c r="K95" s="408">
        <f t="shared" si="77"/>
        <v>3.2530998750000002</v>
      </c>
      <c r="L95" s="408">
        <f t="shared" si="78"/>
        <v>1.9069001250000002</v>
      </c>
      <c r="M95" s="63">
        <f t="shared" si="57"/>
        <v>0</v>
      </c>
      <c r="N95" s="407">
        <f t="shared" si="58"/>
        <v>2.6091035140909362</v>
      </c>
      <c r="O95" s="407">
        <f t="shared" si="79"/>
        <v>3.4130040760700607E-2</v>
      </c>
      <c r="P95">
        <f t="shared" si="59"/>
        <v>0.2</v>
      </c>
      <c r="Q95" s="407">
        <f t="shared" si="80"/>
        <v>0.23413004076070063</v>
      </c>
      <c r="R95" s="9">
        <f t="shared" si="87"/>
        <v>0.38861439402275344</v>
      </c>
      <c r="S95" s="9">
        <f t="shared" si="81"/>
        <v>1.5102114724167188E-3</v>
      </c>
      <c r="T95" s="9">
        <f t="shared" si="88"/>
        <v>1.5102114724167188E-3</v>
      </c>
      <c r="U95" s="407">
        <f t="shared" si="60"/>
        <v>1.206079089154384</v>
      </c>
      <c r="V95" s="409">
        <f t="shared" si="82"/>
        <v>2.9092535385909371E-3</v>
      </c>
      <c r="W95" s="407">
        <f t="shared" si="89"/>
        <v>2.9092535385909371E-3</v>
      </c>
      <c r="X95" s="407">
        <f t="shared" si="61"/>
        <v>1.206079089154384</v>
      </c>
      <c r="Y95" s="407">
        <f t="shared" si="83"/>
        <v>8.7277606157728123E-3</v>
      </c>
      <c r="Z95" s="407">
        <f t="shared" si="62"/>
        <v>0.1918770491274982</v>
      </c>
      <c r="AA95" s="407">
        <f t="shared" si="63"/>
        <v>0.14400000000000002</v>
      </c>
      <c r="AB95" s="407">
        <f t="shared" si="64"/>
        <v>0</v>
      </c>
      <c r="AC95" s="407">
        <f t="shared" si="65"/>
        <v>0.34520738723098066</v>
      </c>
      <c r="AD95" s="407">
        <f t="shared" si="66"/>
        <v>2.3136106798565317</v>
      </c>
      <c r="AE95" s="407">
        <f t="shared" si="84"/>
        <v>3.2116766267677219E-2</v>
      </c>
      <c r="AF95" s="407">
        <f t="shared" si="67"/>
        <v>3.7151999999999998E-2</v>
      </c>
      <c r="AG95" s="407">
        <f t="shared" si="68"/>
        <v>6.9716580491804625E-2</v>
      </c>
      <c r="AH95" s="407">
        <f t="shared" si="69"/>
        <v>0</v>
      </c>
      <c r="AI95">
        <f t="shared" si="70"/>
        <v>0</v>
      </c>
      <c r="AJ95" s="408">
        <f t="shared" si="71"/>
        <v>0.13671176400000001</v>
      </c>
      <c r="AK95">
        <f t="shared" si="85"/>
        <v>4.8000000000000001E-2</v>
      </c>
      <c r="AL95" s="408">
        <f t="shared" si="72"/>
        <v>0.1215</v>
      </c>
      <c r="AM95" s="408">
        <f t="shared" si="86"/>
        <v>0.31645971316818772</v>
      </c>
      <c r="AN95" s="408">
        <f t="shared" si="90"/>
        <v>0.16949999999999998</v>
      </c>
      <c r="AO95" s="408">
        <f t="shared" si="73"/>
        <v>0.95968523749449364</v>
      </c>
      <c r="AP95">
        <f t="shared" si="74"/>
        <v>13.157999999999999</v>
      </c>
      <c r="AQ95" s="10">
        <f t="shared" si="91"/>
        <v>0.93202247951061334</v>
      </c>
      <c r="AR95" s="63">
        <f t="shared" si="75"/>
        <v>17.260369361549031</v>
      </c>
      <c r="AS95" s="63">
        <f t="shared" si="92"/>
        <v>3.485829024590231</v>
      </c>
      <c r="AT95" s="10"/>
      <c r="AU95">
        <f t="shared" si="93"/>
        <v>93.202247951061338</v>
      </c>
      <c r="BE95" s="28"/>
      <c r="BF95" s="29"/>
    </row>
    <row r="96" spans="1:58" x14ac:dyDescent="0.25">
      <c r="G96">
        <v>87</v>
      </c>
      <c r="H96">
        <f t="shared" si="55"/>
        <v>2.61</v>
      </c>
      <c r="I96" s="407">
        <f t="shared" si="76"/>
        <v>0.21369624999999995</v>
      </c>
      <c r="J96" s="408">
        <f t="shared" si="56"/>
        <v>1.3462863749999991</v>
      </c>
      <c r="K96" s="408">
        <f t="shared" si="77"/>
        <v>3.2831431874999994</v>
      </c>
      <c r="L96" s="408">
        <f t="shared" si="78"/>
        <v>1.9368568125000003</v>
      </c>
      <c r="M96" s="63">
        <f t="shared" si="57"/>
        <v>0</v>
      </c>
      <c r="N96" s="407">
        <f t="shared" si="58"/>
        <v>2.6387763420998538</v>
      </c>
      <c r="O96" s="407">
        <f t="shared" si="79"/>
        <v>3.4912944414187144E-2</v>
      </c>
      <c r="P96">
        <f t="shared" si="59"/>
        <v>0.2</v>
      </c>
      <c r="Q96" s="407">
        <f t="shared" si="80"/>
        <v>0.23491294441418714</v>
      </c>
      <c r="R96" s="9">
        <f t="shared" si="87"/>
        <v>0.38863940050628748</v>
      </c>
      <c r="S96" s="9">
        <f t="shared" si="81"/>
        <v>1.5104058362588651E-3</v>
      </c>
      <c r="T96" s="9">
        <f t="shared" si="88"/>
        <v>1.5104058362588651E-3</v>
      </c>
      <c r="U96" s="407">
        <f t="shared" si="60"/>
        <v>1.2198348375676367</v>
      </c>
      <c r="V96" s="409">
        <f t="shared" si="82"/>
        <v>2.9759940618873252E-3</v>
      </c>
      <c r="W96" s="407">
        <f t="shared" si="89"/>
        <v>2.9759940618873252E-3</v>
      </c>
      <c r="X96" s="407">
        <f t="shared" si="61"/>
        <v>1.2198348375676367</v>
      </c>
      <c r="Y96" s="407">
        <f t="shared" si="83"/>
        <v>8.9279821856619746E-3</v>
      </c>
      <c r="Z96" s="407">
        <f t="shared" si="62"/>
        <v>0.19412528847751667</v>
      </c>
      <c r="AA96" s="407">
        <f t="shared" si="63"/>
        <v>0.14400000000000002</v>
      </c>
      <c r="AB96" s="407">
        <f t="shared" si="64"/>
        <v>0</v>
      </c>
      <c r="AC96" s="407">
        <f t="shared" si="65"/>
        <v>0.34767407625502289</v>
      </c>
      <c r="AD96" s="407">
        <f t="shared" si="66"/>
        <v>2.3399024664891956</v>
      </c>
      <c r="AE96" s="407">
        <f t="shared" si="84"/>
        <v>3.2850861316093327E-2</v>
      </c>
      <c r="AF96" s="407">
        <f t="shared" si="67"/>
        <v>3.7583999999999999E-2</v>
      </c>
      <c r="AG96" s="407">
        <f t="shared" si="68"/>
        <v>7.0900691070004518E-2</v>
      </c>
      <c r="AH96" s="407">
        <f t="shared" si="69"/>
        <v>0</v>
      </c>
      <c r="AI96">
        <f t="shared" si="70"/>
        <v>0</v>
      </c>
      <c r="AJ96" s="408">
        <f t="shared" si="71"/>
        <v>0.136710738</v>
      </c>
      <c r="AK96">
        <f t="shared" si="85"/>
        <v>4.8000000000000001E-2</v>
      </c>
      <c r="AL96" s="408">
        <f t="shared" si="72"/>
        <v>0.1215</v>
      </c>
      <c r="AM96" s="408">
        <f t="shared" si="86"/>
        <v>0.31645971316818772</v>
      </c>
      <c r="AN96" s="408">
        <f t="shared" si="90"/>
        <v>0.16949999999999998</v>
      </c>
      <c r="AO96" s="408">
        <f t="shared" si="73"/>
        <v>0.96418484963736073</v>
      </c>
      <c r="AP96">
        <f t="shared" si="74"/>
        <v>13.310999999999998</v>
      </c>
      <c r="AQ96" s="10">
        <f t="shared" si="91"/>
        <v>0.93245727745081675</v>
      </c>
      <c r="AR96" s="63">
        <f t="shared" si="75"/>
        <v>17.383703812751143</v>
      </c>
      <c r="AS96" s="63">
        <f t="shared" si="92"/>
        <v>3.5450345535002259</v>
      </c>
      <c r="AT96" s="10"/>
      <c r="AU96">
        <f t="shared" si="93"/>
        <v>93.24572774508168</v>
      </c>
      <c r="BE96" s="28"/>
      <c r="BF96" s="29"/>
    </row>
    <row r="97" spans="7:58" x14ac:dyDescent="0.25">
      <c r="G97">
        <v>88</v>
      </c>
      <c r="H97">
        <f t="shared" si="55"/>
        <v>2.64</v>
      </c>
      <c r="I97" s="407">
        <f t="shared" si="76"/>
        <v>0.21370999999999998</v>
      </c>
      <c r="J97" s="408">
        <f t="shared" si="56"/>
        <v>1.3463729999999996</v>
      </c>
      <c r="K97" s="408">
        <f t="shared" si="77"/>
        <v>3.3131865</v>
      </c>
      <c r="L97" s="408">
        <f t="shared" si="78"/>
        <v>1.9668135000000002</v>
      </c>
      <c r="M97" s="63">
        <f t="shared" si="57"/>
        <v>0</v>
      </c>
      <c r="N97" s="407">
        <f t="shared" si="58"/>
        <v>2.6684564866717895</v>
      </c>
      <c r="O97" s="407">
        <f t="shared" si="79"/>
        <v>3.5704997365222861E-2</v>
      </c>
      <c r="P97">
        <f t="shared" si="59"/>
        <v>0.2</v>
      </c>
      <c r="Q97" s="407">
        <f t="shared" si="80"/>
        <v>0.23570499736522288</v>
      </c>
      <c r="R97" s="9">
        <f t="shared" si="87"/>
        <v>0.38866440698982191</v>
      </c>
      <c r="S97" s="9">
        <f t="shared" si="81"/>
        <v>1.5106002126074995E-3</v>
      </c>
      <c r="T97" s="9">
        <f t="shared" si="88"/>
        <v>1.5106002126074995E-3</v>
      </c>
      <c r="U97" s="407">
        <f t="shared" si="60"/>
        <v>1.2335948496745741</v>
      </c>
      <c r="V97" s="409">
        <f t="shared" si="82"/>
        <v>3.0435125062872703E-3</v>
      </c>
      <c r="W97" s="407">
        <f t="shared" si="89"/>
        <v>3.0435125062872703E-3</v>
      </c>
      <c r="X97" s="407">
        <f t="shared" si="61"/>
        <v>1.2335948496745741</v>
      </c>
      <c r="Y97" s="407">
        <f t="shared" si="83"/>
        <v>9.1305375188618105E-3</v>
      </c>
      <c r="Z97" s="407">
        <f t="shared" si="62"/>
        <v>0.1963735278275352</v>
      </c>
      <c r="AA97" s="407">
        <f t="shared" si="63"/>
        <v>0.14400000000000002</v>
      </c>
      <c r="AB97" s="407">
        <f t="shared" si="64"/>
        <v>0</v>
      </c>
      <c r="AC97" s="407">
        <f t="shared" si="65"/>
        <v>0.35014346495514848</v>
      </c>
      <c r="AD97" s="407">
        <f t="shared" si="66"/>
        <v>2.3662002806434446</v>
      </c>
      <c r="AE97" s="407">
        <f t="shared" si="84"/>
        <v>3.3593422608702697E-2</v>
      </c>
      <c r="AF97" s="407">
        <f t="shared" si="67"/>
        <v>3.8016000000000001E-2</v>
      </c>
      <c r="AG97" s="407">
        <f t="shared" si="68"/>
        <v>7.2093798094070821E-2</v>
      </c>
      <c r="AH97" s="407">
        <f t="shared" si="69"/>
        <v>0</v>
      </c>
      <c r="AI97">
        <f t="shared" si="70"/>
        <v>0</v>
      </c>
      <c r="AJ97" s="408">
        <f t="shared" si="71"/>
        <v>0.13670971200000001</v>
      </c>
      <c r="AK97">
        <f t="shared" si="85"/>
        <v>4.8000000000000001E-2</v>
      </c>
      <c r="AL97" s="408">
        <f t="shared" si="72"/>
        <v>0.1215</v>
      </c>
      <c r="AM97" s="408">
        <f t="shared" si="86"/>
        <v>0.31645971316818772</v>
      </c>
      <c r="AN97" s="408">
        <f t="shared" si="90"/>
        <v>0.16949999999999998</v>
      </c>
      <c r="AO97" s="408">
        <f t="shared" si="73"/>
        <v>0.96870608513333689</v>
      </c>
      <c r="AP97">
        <f t="shared" si="74"/>
        <v>13.464</v>
      </c>
      <c r="AQ97" s="10">
        <f t="shared" si="91"/>
        <v>0.93288118808633058</v>
      </c>
      <c r="AR97" s="63">
        <f t="shared" si="75"/>
        <v>17.507173247757425</v>
      </c>
      <c r="AS97" s="63">
        <f t="shared" si="92"/>
        <v>3.604689904703541</v>
      </c>
      <c r="AT97" s="10"/>
      <c r="AU97">
        <f t="shared" si="93"/>
        <v>93.288118808633058</v>
      </c>
      <c r="BE97" s="28"/>
      <c r="BF97" s="29"/>
    </row>
    <row r="98" spans="7:58" x14ac:dyDescent="0.25">
      <c r="G98">
        <v>89</v>
      </c>
      <c r="H98">
        <f t="shared" si="55"/>
        <v>2.67</v>
      </c>
      <c r="I98" s="407">
        <f t="shared" si="76"/>
        <v>0.21372374999999999</v>
      </c>
      <c r="J98" s="408">
        <f t="shared" si="56"/>
        <v>1.3464596249999996</v>
      </c>
      <c r="K98" s="408">
        <f t="shared" si="77"/>
        <v>3.3432298124999997</v>
      </c>
      <c r="L98" s="408">
        <f t="shared" si="78"/>
        <v>1.9967701875000001</v>
      </c>
      <c r="M98" s="63">
        <f t="shared" si="57"/>
        <v>0</v>
      </c>
      <c r="N98" s="407">
        <f t="shared" si="58"/>
        <v>2.6981437063555864</v>
      </c>
      <c r="O98" s="407">
        <f t="shared" si="79"/>
        <v>3.6506203064121195E-2</v>
      </c>
      <c r="P98">
        <f t="shared" si="59"/>
        <v>0.2</v>
      </c>
      <c r="Q98" s="407">
        <f t="shared" si="80"/>
        <v>0.23650620306412121</v>
      </c>
      <c r="R98" s="9">
        <f t="shared" si="87"/>
        <v>0.38868941347335617</v>
      </c>
      <c r="S98" s="9">
        <f t="shared" si="81"/>
        <v>1.5107946014626165E-3</v>
      </c>
      <c r="T98" s="9">
        <f t="shared" si="88"/>
        <v>1.5107946014626165E-3</v>
      </c>
      <c r="U98" s="407">
        <f t="shared" si="60"/>
        <v>1.2473590141356394</v>
      </c>
      <c r="V98" s="409">
        <f t="shared" si="82"/>
        <v>3.1118090202908685E-3</v>
      </c>
      <c r="W98" s="407">
        <f t="shared" si="89"/>
        <v>3.1118090202908685E-3</v>
      </c>
      <c r="X98" s="407">
        <f t="shared" si="61"/>
        <v>1.2473590141356394</v>
      </c>
      <c r="Y98" s="407">
        <f t="shared" si="83"/>
        <v>9.3354270608726059E-3</v>
      </c>
      <c r="Z98" s="407">
        <f t="shared" si="62"/>
        <v>0.19862176717755373</v>
      </c>
      <c r="AA98" s="407">
        <f t="shared" si="63"/>
        <v>0.14400000000000002</v>
      </c>
      <c r="AB98" s="407">
        <f t="shared" si="64"/>
        <v>0</v>
      </c>
      <c r="AC98" s="407">
        <f t="shared" si="65"/>
        <v>0.35261555760213109</v>
      </c>
      <c r="AD98" s="407">
        <f t="shared" si="66"/>
        <v>2.3925039080429578</v>
      </c>
      <c r="AE98" s="407">
        <f t="shared" si="84"/>
        <v>3.4344449700004956E-2</v>
      </c>
      <c r="AF98" s="407">
        <f t="shared" si="67"/>
        <v>3.8447999999999996E-2</v>
      </c>
      <c r="AG98" s="407">
        <f t="shared" si="68"/>
        <v>7.3295911247415538E-2</v>
      </c>
      <c r="AH98" s="407">
        <f t="shared" si="69"/>
        <v>0</v>
      </c>
      <c r="AI98">
        <f t="shared" si="70"/>
        <v>0</v>
      </c>
      <c r="AJ98" s="408">
        <f t="shared" si="71"/>
        <v>0.136708686</v>
      </c>
      <c r="AK98">
        <f t="shared" si="85"/>
        <v>4.8000000000000001E-2</v>
      </c>
      <c r="AL98" s="408">
        <f t="shared" si="72"/>
        <v>0.1215</v>
      </c>
      <c r="AM98" s="408">
        <f t="shared" si="86"/>
        <v>0.31645971316818772</v>
      </c>
      <c r="AN98" s="408">
        <f t="shared" si="90"/>
        <v>0.16949999999999998</v>
      </c>
      <c r="AO98" s="408">
        <f t="shared" si="73"/>
        <v>0.97324896153542129</v>
      </c>
      <c r="AP98">
        <f t="shared" si="74"/>
        <v>13.616999999999999</v>
      </c>
      <c r="AQ98" s="10">
        <f t="shared" si="91"/>
        <v>0.93329456103859376</v>
      </c>
      <c r="AR98" s="63">
        <f t="shared" si="75"/>
        <v>17.630777880106553</v>
      </c>
      <c r="AS98" s="63">
        <f t="shared" si="92"/>
        <v>3.6647955623707769</v>
      </c>
      <c r="AT98" s="10"/>
      <c r="AU98">
        <f t="shared" si="93"/>
        <v>93.329456103859371</v>
      </c>
      <c r="BE98" s="28"/>
      <c r="BF98" s="29"/>
    </row>
    <row r="99" spans="7:58" x14ac:dyDescent="0.25">
      <c r="G99">
        <v>90</v>
      </c>
      <c r="H99">
        <f t="shared" si="55"/>
        <v>2.7</v>
      </c>
      <c r="I99" s="407">
        <f t="shared" si="76"/>
        <v>0.2137375</v>
      </c>
      <c r="J99" s="408">
        <f t="shared" si="56"/>
        <v>1.3465462499999998</v>
      </c>
      <c r="K99" s="408">
        <f t="shared" si="77"/>
        <v>3.3732731249999999</v>
      </c>
      <c r="L99" s="408">
        <f t="shared" si="78"/>
        <v>2.0267268750000005</v>
      </c>
      <c r="M99" s="63">
        <f t="shared" si="57"/>
        <v>0</v>
      </c>
      <c r="N99" s="407">
        <f t="shared" si="58"/>
        <v>2.7278377701546739</v>
      </c>
      <c r="O99" s="407">
        <f t="shared" si="79"/>
        <v>3.7316565001730799E-2</v>
      </c>
      <c r="P99">
        <f t="shared" si="59"/>
        <v>0.2</v>
      </c>
      <c r="Q99" s="407">
        <f t="shared" si="80"/>
        <v>0.23731656500173082</v>
      </c>
      <c r="R99" s="9">
        <f t="shared" si="87"/>
        <v>0.38871441995689054</v>
      </c>
      <c r="S99" s="9">
        <f t="shared" si="81"/>
        <v>1.5109890028242188E-3</v>
      </c>
      <c r="T99" s="9">
        <f t="shared" si="88"/>
        <v>1.5109890028242188E-3</v>
      </c>
      <c r="U99" s="407">
        <f t="shared" si="60"/>
        <v>1.2611272244302374</v>
      </c>
      <c r="V99" s="409">
        <f t="shared" si="82"/>
        <v>3.1808837523982286E-3</v>
      </c>
      <c r="W99" s="407">
        <f t="shared" si="89"/>
        <v>3.1808837523982286E-3</v>
      </c>
      <c r="X99" s="407">
        <f t="shared" si="61"/>
        <v>1.2611272244302374</v>
      </c>
      <c r="Y99" s="407">
        <f t="shared" si="83"/>
        <v>9.5426512571946866E-3</v>
      </c>
      <c r="Z99" s="407">
        <f t="shared" si="62"/>
        <v>0.2008700065275722</v>
      </c>
      <c r="AA99" s="407">
        <f t="shared" si="63"/>
        <v>0.14400000000000002</v>
      </c>
      <c r="AB99" s="407">
        <f t="shared" si="64"/>
        <v>0</v>
      </c>
      <c r="AC99" s="407">
        <f t="shared" si="65"/>
        <v>0.35509035847591242</v>
      </c>
      <c r="AD99" s="407">
        <f t="shared" si="66"/>
        <v>2.4188131436891336</v>
      </c>
      <c r="AE99" s="407">
        <f t="shared" si="84"/>
        <v>3.5103942144499856E-2</v>
      </c>
      <c r="AF99" s="407">
        <f t="shared" si="67"/>
        <v>3.8880000000000005E-2</v>
      </c>
      <c r="AG99" s="407">
        <f t="shared" si="68"/>
        <v>7.4507040310986816E-2</v>
      </c>
      <c r="AH99" s="407">
        <f t="shared" si="69"/>
        <v>0</v>
      </c>
      <c r="AI99">
        <f t="shared" si="70"/>
        <v>0</v>
      </c>
      <c r="AJ99" s="408">
        <f t="shared" si="71"/>
        <v>0.13670766000000001</v>
      </c>
      <c r="AK99">
        <f t="shared" si="85"/>
        <v>4.8000000000000001E-2</v>
      </c>
      <c r="AL99" s="408">
        <f t="shared" si="72"/>
        <v>0.1215</v>
      </c>
      <c r="AM99" s="408">
        <f t="shared" si="86"/>
        <v>0.31645971316818772</v>
      </c>
      <c r="AN99" s="408">
        <f t="shared" si="90"/>
        <v>0.16949999999999998</v>
      </c>
      <c r="AO99" s="408">
        <f t="shared" si="73"/>
        <v>0.97781349654385252</v>
      </c>
      <c r="AP99">
        <f t="shared" si="74"/>
        <v>13.77</v>
      </c>
      <c r="AQ99" s="10">
        <f t="shared" si="91"/>
        <v>0.93369773107227028</v>
      </c>
      <c r="AR99" s="63">
        <f t="shared" si="75"/>
        <v>17.754517923795621</v>
      </c>
      <c r="AS99" s="63">
        <f t="shared" si="92"/>
        <v>3.7253520155493409</v>
      </c>
      <c r="AT99" s="10"/>
      <c r="AU99">
        <f t="shared" si="93"/>
        <v>93.369773107227033</v>
      </c>
      <c r="BE99" s="28"/>
      <c r="BF99" s="29"/>
    </row>
    <row r="100" spans="7:58" x14ac:dyDescent="0.25">
      <c r="G100">
        <v>91</v>
      </c>
      <c r="H100">
        <f t="shared" si="55"/>
        <v>2.73</v>
      </c>
      <c r="I100" s="407">
        <f t="shared" si="76"/>
        <v>0.21375124999999998</v>
      </c>
      <c r="J100" s="408">
        <f t="shared" si="56"/>
        <v>1.3466328749999996</v>
      </c>
      <c r="K100" s="408">
        <f t="shared" si="77"/>
        <v>3.4033164375</v>
      </c>
      <c r="L100" s="408">
        <f t="shared" si="78"/>
        <v>2.0566835625</v>
      </c>
      <c r="M100" s="63">
        <f t="shared" si="57"/>
        <v>0</v>
      </c>
      <c r="N100" s="407">
        <f t="shared" si="58"/>
        <v>2.7575384569701344</v>
      </c>
      <c r="O100" s="407">
        <f t="shared" si="79"/>
        <v>3.813608670947348E-2</v>
      </c>
      <c r="P100">
        <f t="shared" si="59"/>
        <v>0.2</v>
      </c>
      <c r="Q100" s="407">
        <f t="shared" si="80"/>
        <v>0.2381360867094735</v>
      </c>
      <c r="R100" s="9">
        <f t="shared" si="87"/>
        <v>0.38873942644042475</v>
      </c>
      <c r="S100" s="9">
        <f t="shared" si="81"/>
        <v>1.5111834166923041E-3</v>
      </c>
      <c r="T100" s="9">
        <f t="shared" si="88"/>
        <v>1.5111834166923041E-3</v>
      </c>
      <c r="U100" s="407">
        <f t="shared" si="60"/>
        <v>1.2748993786000229</v>
      </c>
      <c r="V100" s="409">
        <f t="shared" si="82"/>
        <v>3.2507368511094491E-3</v>
      </c>
      <c r="W100" s="407">
        <f t="shared" si="89"/>
        <v>3.2507368511094491E-3</v>
      </c>
      <c r="X100" s="407">
        <f t="shared" si="61"/>
        <v>1.2748993786000229</v>
      </c>
      <c r="Y100" s="407">
        <f t="shared" si="83"/>
        <v>9.7522105533283474E-3</v>
      </c>
      <c r="Z100" s="407">
        <f t="shared" si="62"/>
        <v>0.2031182458775907</v>
      </c>
      <c r="AA100" s="407">
        <f t="shared" si="63"/>
        <v>0.14400000000000002</v>
      </c>
      <c r="AB100" s="407">
        <f t="shared" si="64"/>
        <v>0</v>
      </c>
      <c r="AC100" s="407">
        <f t="shared" si="65"/>
        <v>0.35756787186562689</v>
      </c>
      <c r="AD100" s="407">
        <f t="shared" si="66"/>
        <v>2.4451277913668448</v>
      </c>
      <c r="AE100" s="407">
        <f t="shared" si="84"/>
        <v>3.5871899496687024E-2</v>
      </c>
      <c r="AF100" s="407">
        <f t="shared" si="67"/>
        <v>3.9312E-2</v>
      </c>
      <c r="AG100" s="407">
        <f t="shared" si="68"/>
        <v>7.5727195163501251E-2</v>
      </c>
      <c r="AH100" s="407">
        <f t="shared" si="69"/>
        <v>0</v>
      </c>
      <c r="AI100">
        <f t="shared" si="70"/>
        <v>0</v>
      </c>
      <c r="AJ100" s="408">
        <f t="shared" si="71"/>
        <v>0.13670663399999999</v>
      </c>
      <c r="AK100">
        <f t="shared" si="85"/>
        <v>4.8000000000000001E-2</v>
      </c>
      <c r="AL100" s="408">
        <f t="shared" si="72"/>
        <v>0.1215</v>
      </c>
      <c r="AM100" s="408">
        <f t="shared" si="86"/>
        <v>0.31645971316818772</v>
      </c>
      <c r="AN100" s="408">
        <f t="shared" si="90"/>
        <v>0.16949999999999998</v>
      </c>
      <c r="AO100" s="408">
        <f t="shared" si="73"/>
        <v>0.9823997080064033</v>
      </c>
      <c r="AP100">
        <f t="shared" si="74"/>
        <v>13.922999999999998</v>
      </c>
      <c r="AQ100" s="10">
        <f t="shared" si="91"/>
        <v>0.9340910188756153</v>
      </c>
      <c r="AR100" s="63">
        <f t="shared" si="75"/>
        <v>17.878393593281345</v>
      </c>
      <c r="AS100" s="63">
        <f t="shared" si="92"/>
        <v>3.7863597581750628</v>
      </c>
      <c r="AT100" s="10"/>
      <c r="AU100">
        <f t="shared" si="93"/>
        <v>93.409101887561533</v>
      </c>
      <c r="BE100" s="28"/>
      <c r="BF100" s="29"/>
    </row>
    <row r="101" spans="7:58" x14ac:dyDescent="0.25">
      <c r="G101">
        <v>92</v>
      </c>
      <c r="H101">
        <f t="shared" si="55"/>
        <v>2.7600000000000002</v>
      </c>
      <c r="I101" s="407">
        <f t="shared" si="76"/>
        <v>0.21376499999999998</v>
      </c>
      <c r="J101" s="408">
        <f t="shared" si="56"/>
        <v>1.3467194999999996</v>
      </c>
      <c r="K101" s="408">
        <f t="shared" si="77"/>
        <v>3.4333597500000002</v>
      </c>
      <c r="L101" s="408">
        <f t="shared" si="78"/>
        <v>2.0866402500000003</v>
      </c>
      <c r="M101" s="63">
        <f t="shared" si="57"/>
        <v>0</v>
      </c>
      <c r="N101" s="407">
        <f t="shared" si="58"/>
        <v>2.7872455550788287</v>
      </c>
      <c r="O101" s="407">
        <f t="shared" si="79"/>
        <v>3.8964771759383045E-2</v>
      </c>
      <c r="P101">
        <f t="shared" si="59"/>
        <v>0.2</v>
      </c>
      <c r="Q101" s="407">
        <f t="shared" si="80"/>
        <v>0.23896477175938305</v>
      </c>
      <c r="R101" s="9">
        <f t="shared" si="87"/>
        <v>0.38876443292395901</v>
      </c>
      <c r="S101" s="9">
        <f t="shared" si="81"/>
        <v>1.5113778430668743E-3</v>
      </c>
      <c r="T101" s="9">
        <f t="shared" si="88"/>
        <v>1.5113778430668743E-3</v>
      </c>
      <c r="U101" s="407">
        <f t="shared" si="60"/>
        <v>1.2886753790083516</v>
      </c>
      <c r="V101" s="409">
        <f t="shared" si="82"/>
        <v>3.3213684649246373E-3</v>
      </c>
      <c r="W101" s="407">
        <f t="shared" si="89"/>
        <v>3.3213684649246373E-3</v>
      </c>
      <c r="X101" s="407">
        <f t="shared" si="61"/>
        <v>1.2886753790083516</v>
      </c>
      <c r="Y101" s="407">
        <f t="shared" si="83"/>
        <v>9.9641053947739124E-3</v>
      </c>
      <c r="Z101" s="407">
        <f t="shared" si="62"/>
        <v>0.20536648522760922</v>
      </c>
      <c r="AA101" s="407">
        <f t="shared" si="63"/>
        <v>0.14400000000000002</v>
      </c>
      <c r="AB101" s="407">
        <f t="shared" si="64"/>
        <v>0</v>
      </c>
      <c r="AC101" s="407">
        <f t="shared" si="65"/>
        <v>0.36004810206962523</v>
      </c>
      <c r="AD101" s="407">
        <f t="shared" si="66"/>
        <v>2.471447663181312</v>
      </c>
      <c r="AE101" s="407">
        <f t="shared" si="84"/>
        <v>3.6648321311066212E-2</v>
      </c>
      <c r="AF101" s="407">
        <f t="shared" si="67"/>
        <v>3.9744000000000002E-2</v>
      </c>
      <c r="AG101" s="407">
        <f t="shared" si="68"/>
        <v>7.6956385781679279E-2</v>
      </c>
      <c r="AH101" s="407">
        <f t="shared" si="69"/>
        <v>0</v>
      </c>
      <c r="AI101">
        <f t="shared" si="70"/>
        <v>0</v>
      </c>
      <c r="AJ101" s="408">
        <f t="shared" si="71"/>
        <v>0.13670560800000001</v>
      </c>
      <c r="AK101">
        <f t="shared" si="85"/>
        <v>4.8000000000000001E-2</v>
      </c>
      <c r="AL101" s="408">
        <f t="shared" si="72"/>
        <v>0.1215</v>
      </c>
      <c r="AM101" s="408">
        <f t="shared" si="86"/>
        <v>0.31645971316818772</v>
      </c>
      <c r="AN101" s="408">
        <f t="shared" si="90"/>
        <v>0.16949999999999998</v>
      </c>
      <c r="AO101" s="408">
        <f t="shared" si="73"/>
        <v>0.98700761391867908</v>
      </c>
      <c r="AP101">
        <f t="shared" si="74"/>
        <v>14.076000000000001</v>
      </c>
      <c r="AQ101" s="10">
        <f t="shared" si="91"/>
        <v>0.93447473179216523</v>
      </c>
      <c r="AR101" s="63">
        <f t="shared" si="75"/>
        <v>18.002405103481262</v>
      </c>
      <c r="AS101" s="63">
        <f t="shared" si="92"/>
        <v>3.8478192890839638</v>
      </c>
      <c r="AT101" s="10"/>
      <c r="AU101">
        <f t="shared" si="93"/>
        <v>93.447473179216516</v>
      </c>
      <c r="BE101" s="28"/>
      <c r="BF101" s="29"/>
    </row>
    <row r="102" spans="7:58" x14ac:dyDescent="0.25">
      <c r="G102">
        <v>93</v>
      </c>
      <c r="H102">
        <f t="shared" si="55"/>
        <v>2.79</v>
      </c>
      <c r="I102" s="407">
        <f t="shared" si="76"/>
        <v>0.21377875000000002</v>
      </c>
      <c r="J102" s="408">
        <f t="shared" si="56"/>
        <v>1.3468061249999996</v>
      </c>
      <c r="K102" s="408">
        <f t="shared" si="77"/>
        <v>3.4634030624999999</v>
      </c>
      <c r="L102" s="408">
        <f t="shared" si="78"/>
        <v>2.1165969375000002</v>
      </c>
      <c r="M102" s="63">
        <f t="shared" si="57"/>
        <v>0</v>
      </c>
      <c r="N102" s="407">
        <f t="shared" si="58"/>
        <v>2.8169588616440238</v>
      </c>
      <c r="O102" s="407">
        <f t="shared" si="79"/>
        <v>3.9802623764144195E-2</v>
      </c>
      <c r="P102">
        <f t="shared" si="59"/>
        <v>0.2</v>
      </c>
      <c r="Q102" s="407">
        <f t="shared" si="80"/>
        <v>0.23980262376414421</v>
      </c>
      <c r="R102" s="9">
        <f t="shared" si="87"/>
        <v>0.38878943940749328</v>
      </c>
      <c r="S102" s="9">
        <f t="shared" si="81"/>
        <v>1.5115722819479289E-3</v>
      </c>
      <c r="T102" s="9">
        <f t="shared" si="88"/>
        <v>1.5115722819479289E-3</v>
      </c>
      <c r="U102" s="407">
        <f t="shared" si="60"/>
        <v>1.3024551321147104</v>
      </c>
      <c r="V102" s="409">
        <f t="shared" si="82"/>
        <v>3.3927787423438955E-3</v>
      </c>
      <c r="W102" s="407">
        <f t="shared" si="89"/>
        <v>3.3927787423438955E-3</v>
      </c>
      <c r="X102" s="407">
        <f t="shared" si="61"/>
        <v>1.3024551321147104</v>
      </c>
      <c r="Y102" s="407">
        <f t="shared" si="83"/>
        <v>1.0178336227031686E-2</v>
      </c>
      <c r="Z102" s="407">
        <f t="shared" si="62"/>
        <v>0.20761472457762775</v>
      </c>
      <c r="AA102" s="407">
        <f t="shared" si="63"/>
        <v>0.14400000000000002</v>
      </c>
      <c r="AB102" s="407">
        <f t="shared" si="64"/>
        <v>0</v>
      </c>
      <c r="AC102" s="407">
        <f t="shared" si="65"/>
        <v>0.36253105339549935</v>
      </c>
      <c r="AD102" s="407">
        <f t="shared" si="66"/>
        <v>2.4977725791238172</v>
      </c>
      <c r="AE102" s="407">
        <f t="shared" si="84"/>
        <v>3.7433207142137076E-2</v>
      </c>
      <c r="AF102" s="407">
        <f t="shared" si="67"/>
        <v>4.0175999999999996E-2</v>
      </c>
      <c r="AG102" s="407">
        <f t="shared" si="68"/>
        <v>7.8194622240482889E-2</v>
      </c>
      <c r="AH102" s="407">
        <f t="shared" si="69"/>
        <v>0</v>
      </c>
      <c r="AI102">
        <f t="shared" si="70"/>
        <v>0</v>
      </c>
      <c r="AJ102" s="408">
        <f t="shared" si="71"/>
        <v>0.13670458200000002</v>
      </c>
      <c r="AK102">
        <f t="shared" si="85"/>
        <v>4.8000000000000001E-2</v>
      </c>
      <c r="AL102" s="408">
        <f t="shared" si="72"/>
        <v>0.1215</v>
      </c>
      <c r="AM102" s="408">
        <f t="shared" si="86"/>
        <v>0.31645971316818772</v>
      </c>
      <c r="AN102" s="408">
        <f t="shared" si="90"/>
        <v>0.16949999999999998</v>
      </c>
      <c r="AO102" s="408">
        <f t="shared" si="73"/>
        <v>0.99163723242441826</v>
      </c>
      <c r="AP102">
        <f t="shared" si="74"/>
        <v>14.228999999999999</v>
      </c>
      <c r="AQ102" s="10">
        <f t="shared" si="91"/>
        <v>0.93484916450725597</v>
      </c>
      <c r="AR102" s="63">
        <f t="shared" si="75"/>
        <v>18.126552669774966</v>
      </c>
      <c r="AS102" s="63">
        <f t="shared" si="92"/>
        <v>3.9097311120241445</v>
      </c>
      <c r="AT102" s="10"/>
      <c r="AU102">
        <f t="shared" si="93"/>
        <v>93.484916450725592</v>
      </c>
      <c r="BE102" s="28"/>
      <c r="BF102" s="29"/>
    </row>
    <row r="103" spans="7:58" x14ac:dyDescent="0.25">
      <c r="G103">
        <v>94</v>
      </c>
      <c r="H103">
        <f t="shared" si="55"/>
        <v>2.82</v>
      </c>
      <c r="I103" s="407">
        <f t="shared" si="76"/>
        <v>0.21379249999999997</v>
      </c>
      <c r="J103" s="408">
        <f t="shared" si="56"/>
        <v>1.3468927499999994</v>
      </c>
      <c r="K103" s="408">
        <f t="shared" si="77"/>
        <v>3.4934463749999995</v>
      </c>
      <c r="L103" s="408">
        <f t="shared" si="78"/>
        <v>2.1465536250000001</v>
      </c>
      <c r="M103" s="63">
        <f t="shared" si="57"/>
        <v>0</v>
      </c>
      <c r="N103" s="407">
        <f t="shared" si="58"/>
        <v>2.8466781822562144</v>
      </c>
      <c r="O103" s="407">
        <f t="shared" si="79"/>
        <v>4.0649646377132122E-2</v>
      </c>
      <c r="P103">
        <f t="shared" si="59"/>
        <v>0.2</v>
      </c>
      <c r="Q103" s="407">
        <f t="shared" si="80"/>
        <v>0.24064964637713213</v>
      </c>
      <c r="R103" s="9">
        <f t="shared" si="87"/>
        <v>0.38881444589102754</v>
      </c>
      <c r="S103" s="9">
        <f t="shared" si="81"/>
        <v>1.511766733335468E-3</v>
      </c>
      <c r="T103" s="9">
        <f t="shared" si="88"/>
        <v>1.511766733335468E-3</v>
      </c>
      <c r="U103" s="407">
        <f t="shared" si="60"/>
        <v>1.3162385482630654</v>
      </c>
      <c r="V103" s="409">
        <f t="shared" si="82"/>
        <v>3.4649678318673239E-3</v>
      </c>
      <c r="W103" s="407">
        <f t="shared" si="89"/>
        <v>3.4649678318673239E-3</v>
      </c>
      <c r="X103" s="407">
        <f t="shared" si="61"/>
        <v>1.3162385482630654</v>
      </c>
      <c r="Y103" s="407">
        <f t="shared" si="83"/>
        <v>1.0394903495601973E-2</v>
      </c>
      <c r="Z103" s="407">
        <f t="shared" si="62"/>
        <v>0.2098629639276462</v>
      </c>
      <c r="AA103" s="407">
        <f t="shared" si="63"/>
        <v>0.14400000000000002</v>
      </c>
      <c r="AB103" s="407">
        <f t="shared" si="64"/>
        <v>0</v>
      </c>
      <c r="AC103" s="407">
        <f t="shared" si="65"/>
        <v>0.36501673016010705</v>
      </c>
      <c r="AD103" s="407">
        <f t="shared" si="66"/>
        <v>2.5241023666642137</v>
      </c>
      <c r="AE103" s="407">
        <f t="shared" si="84"/>
        <v>3.8226556544399312E-2</v>
      </c>
      <c r="AF103" s="407">
        <f t="shared" si="67"/>
        <v>4.0607999999999998E-2</v>
      </c>
      <c r="AG103" s="407">
        <f t="shared" si="68"/>
        <v>7.9441914713356404E-2</v>
      </c>
      <c r="AH103" s="407">
        <f t="shared" si="69"/>
        <v>0</v>
      </c>
      <c r="AI103">
        <f t="shared" si="70"/>
        <v>0</v>
      </c>
      <c r="AJ103" s="408">
        <f t="shared" si="71"/>
        <v>0.136703556</v>
      </c>
      <c r="AK103">
        <f t="shared" si="85"/>
        <v>4.8000000000000001E-2</v>
      </c>
      <c r="AL103" s="408">
        <f t="shared" si="72"/>
        <v>0.1215</v>
      </c>
      <c r="AM103" s="408">
        <f t="shared" si="86"/>
        <v>0.31645971316818772</v>
      </c>
      <c r="AN103" s="408">
        <f t="shared" si="90"/>
        <v>0.16949999999999998</v>
      </c>
      <c r="AO103" s="408">
        <f t="shared" si="73"/>
        <v>0.99628858181579838</v>
      </c>
      <c r="AP103">
        <f t="shared" si="74"/>
        <v>14.381999999999998</v>
      </c>
      <c r="AQ103" s="10">
        <f t="shared" si="91"/>
        <v>0.93521459969259069</v>
      </c>
      <c r="AR103" s="63">
        <f t="shared" si="75"/>
        <v>18.250836508005353</v>
      </c>
      <c r="AS103" s="63">
        <f t="shared" si="92"/>
        <v>3.9720957356678204</v>
      </c>
      <c r="AT103" s="10"/>
      <c r="AU103">
        <f t="shared" si="93"/>
        <v>93.52145996925907</v>
      </c>
      <c r="BE103" s="28"/>
      <c r="BF103" s="29"/>
    </row>
    <row r="104" spans="7:58" x14ac:dyDescent="0.25">
      <c r="G104">
        <v>95</v>
      </c>
      <c r="H104">
        <f t="shared" si="55"/>
        <v>2.8499999999999996</v>
      </c>
      <c r="I104" s="407">
        <f t="shared" si="76"/>
        <v>0.21380624999999998</v>
      </c>
      <c r="J104" s="408">
        <f t="shared" si="56"/>
        <v>1.3469793749999996</v>
      </c>
      <c r="K104" s="408">
        <f t="shared" si="77"/>
        <v>3.5234896874999997</v>
      </c>
      <c r="L104" s="408">
        <f t="shared" si="78"/>
        <v>2.1765103124999996</v>
      </c>
      <c r="M104" s="63">
        <f t="shared" si="57"/>
        <v>0</v>
      </c>
      <c r="N104" s="407">
        <f t="shared" si="58"/>
        <v>2.8764033305019914</v>
      </c>
      <c r="O104" s="407">
        <f t="shared" si="79"/>
        <v>4.1505843292452584E-2</v>
      </c>
      <c r="P104">
        <f t="shared" si="59"/>
        <v>0.2</v>
      </c>
      <c r="Q104" s="407">
        <f t="shared" si="80"/>
        <v>0.24150584329245259</v>
      </c>
      <c r="R104" s="9">
        <f t="shared" si="87"/>
        <v>0.38883945237456186</v>
      </c>
      <c r="S104" s="9">
        <f t="shared" si="81"/>
        <v>1.5119611972294917E-3</v>
      </c>
      <c r="T104" s="9">
        <f t="shared" si="88"/>
        <v>1.5119611972294917E-3</v>
      </c>
      <c r="U104" s="407">
        <f t="shared" si="60"/>
        <v>1.3300255414831379</v>
      </c>
      <c r="V104" s="409">
        <f t="shared" si="82"/>
        <v>3.5379358819950281E-3</v>
      </c>
      <c r="W104" s="407">
        <f t="shared" si="89"/>
        <v>3.5379358819950281E-3</v>
      </c>
      <c r="X104" s="407">
        <f t="shared" si="61"/>
        <v>1.3300255414831379</v>
      </c>
      <c r="Y104" s="407">
        <f t="shared" si="83"/>
        <v>1.0613807645985084E-2</v>
      </c>
      <c r="Z104" s="407">
        <f t="shared" si="62"/>
        <v>0.21211120327766472</v>
      </c>
      <c r="AA104" s="407">
        <f t="shared" si="63"/>
        <v>0.14400000000000002</v>
      </c>
      <c r="AB104" s="407">
        <f t="shared" si="64"/>
        <v>0</v>
      </c>
      <c r="AC104" s="407">
        <f t="shared" si="65"/>
        <v>0.36750513668959678</v>
      </c>
      <c r="AD104" s="407">
        <f t="shared" si="66"/>
        <v>2.5504368603683241</v>
      </c>
      <c r="AE104" s="407">
        <f t="shared" si="84"/>
        <v>3.902836907235261E-2</v>
      </c>
      <c r="AF104" s="407">
        <f t="shared" si="67"/>
        <v>4.1039999999999993E-2</v>
      </c>
      <c r="AG104" s="407">
        <f t="shared" si="68"/>
        <v>8.0698273472469634E-2</v>
      </c>
      <c r="AH104" s="407">
        <f t="shared" si="69"/>
        <v>0</v>
      </c>
      <c r="AI104">
        <f t="shared" si="70"/>
        <v>0</v>
      </c>
      <c r="AJ104" s="408">
        <f t="shared" si="71"/>
        <v>0.13670253000000002</v>
      </c>
      <c r="AK104">
        <f t="shared" si="85"/>
        <v>4.8000000000000001E-2</v>
      </c>
      <c r="AL104" s="408">
        <f t="shared" si="72"/>
        <v>0.1215</v>
      </c>
      <c r="AM104" s="408">
        <f t="shared" si="86"/>
        <v>0.31645971316818772</v>
      </c>
      <c r="AN104" s="408">
        <f t="shared" si="90"/>
        <v>0.16949999999999998</v>
      </c>
      <c r="AO104" s="408">
        <f t="shared" si="73"/>
        <v>1.0009616805337433</v>
      </c>
      <c r="AP104">
        <f t="shared" si="74"/>
        <v>14.534999999999997</v>
      </c>
      <c r="AQ104" s="10">
        <f t="shared" si="91"/>
        <v>0.93557130861181714</v>
      </c>
      <c r="AR104" s="63">
        <f t="shared" si="75"/>
        <v>18.375256834479838</v>
      </c>
      <c r="AS104" s="63">
        <f t="shared" si="92"/>
        <v>4.0349136736234819</v>
      </c>
      <c r="AT104" s="10"/>
      <c r="AU104">
        <f t="shared" si="93"/>
        <v>93.557130861181719</v>
      </c>
      <c r="BE104" s="28"/>
      <c r="BF104" s="29"/>
    </row>
    <row r="105" spans="7:58" x14ac:dyDescent="0.25">
      <c r="G105">
        <v>96</v>
      </c>
      <c r="H105">
        <f t="shared" si="55"/>
        <v>2.88</v>
      </c>
      <c r="I105" s="407">
        <f t="shared" si="76"/>
        <v>0.21382000000000001</v>
      </c>
      <c r="J105" s="408">
        <f t="shared" si="56"/>
        <v>1.3470659999999997</v>
      </c>
      <c r="K105" s="408">
        <f t="shared" si="77"/>
        <v>3.5535329999999998</v>
      </c>
      <c r="L105" s="408">
        <f t="shared" si="78"/>
        <v>2.206467</v>
      </c>
      <c r="M105" s="63">
        <f t="shared" si="57"/>
        <v>0</v>
      </c>
      <c r="N105" s="407">
        <f t="shared" si="58"/>
        <v>2.9061341275589809</v>
      </c>
      <c r="O105" s="407">
        <f t="shared" si="79"/>
        <v>4.2371218244982176E-2</v>
      </c>
      <c r="P105">
        <f t="shared" si="59"/>
        <v>0.2</v>
      </c>
      <c r="Q105" s="407">
        <f t="shared" si="80"/>
        <v>0.2423712182449822</v>
      </c>
      <c r="R105" s="9">
        <f t="shared" si="87"/>
        <v>0.38886445885809612</v>
      </c>
      <c r="S105" s="9">
        <f t="shared" si="81"/>
        <v>1.5121556736299993E-3</v>
      </c>
      <c r="T105" s="9">
        <f t="shared" si="88"/>
        <v>1.5121556736299993E-3</v>
      </c>
      <c r="U105" s="407">
        <f t="shared" si="60"/>
        <v>1.3438160293036978</v>
      </c>
      <c r="V105" s="409">
        <f t="shared" si="82"/>
        <v>3.6116830412271134E-3</v>
      </c>
      <c r="W105" s="407">
        <f t="shared" si="89"/>
        <v>3.6116830412271134E-3</v>
      </c>
      <c r="X105" s="407">
        <f t="shared" si="61"/>
        <v>1.3438160293036978</v>
      </c>
      <c r="Y105" s="407">
        <f t="shared" si="83"/>
        <v>1.0835049123681341E-2</v>
      </c>
      <c r="Z105" s="407">
        <f t="shared" si="62"/>
        <v>0.21435944262768325</v>
      </c>
      <c r="AA105" s="407">
        <f t="shared" si="63"/>
        <v>0.14400000000000002</v>
      </c>
      <c r="AB105" s="407">
        <f t="shared" si="64"/>
        <v>0</v>
      </c>
      <c r="AC105" s="407">
        <f t="shared" ref="AC105:AC109" si="94">(AB105+AA105+Z105+Y105*(1+RdsonTopTc*Ta-RdsonTopTc*25))/(1-Y105*RdsonTopTc*ThetaJaTop)</f>
        <v>0.36999627731943163</v>
      </c>
      <c r="AD105" s="407">
        <f t="shared" si="66"/>
        <v>2.5767759015384795</v>
      </c>
      <c r="AE105" s="407">
        <f t="shared" si="84"/>
        <v>3.983864428049666E-2</v>
      </c>
      <c r="AF105" s="407">
        <f t="shared" si="67"/>
        <v>4.1471999999999995E-2</v>
      </c>
      <c r="AG105" s="407">
        <f t="shared" ref="AG105:AG109" si="95">(AF105+AE105*(1+RdsonBotTc*Ta-RdsonBotTc*25))/(1-AE105*RdsonBotTc*ThetaJaBot)</f>
        <v>8.1963708888964176E-2</v>
      </c>
      <c r="AH105" s="407">
        <f t="shared" si="69"/>
        <v>0</v>
      </c>
      <c r="AI105">
        <f t="shared" si="70"/>
        <v>0</v>
      </c>
      <c r="AJ105" s="408">
        <f t="shared" si="71"/>
        <v>0.136701504</v>
      </c>
      <c r="AK105">
        <f t="shared" si="85"/>
        <v>4.8000000000000001E-2</v>
      </c>
      <c r="AL105" s="408">
        <f t="shared" si="72"/>
        <v>0.1215</v>
      </c>
      <c r="AM105" s="408">
        <f t="shared" si="86"/>
        <v>0.31645971316818772</v>
      </c>
      <c r="AN105" s="408">
        <f t="shared" si="90"/>
        <v>0.16949999999999998</v>
      </c>
      <c r="AO105" s="408">
        <f t="shared" ref="AO105:AO109" si="96">SUM(Q105,T105,W105,AC105,AJ105,AI105,AG105,AN105, AH105)</f>
        <v>1.0056565471682353</v>
      </c>
      <c r="AP105">
        <f t="shared" si="74"/>
        <v>14.687999999999999</v>
      </c>
      <c r="AQ105" s="10">
        <f t="shared" si="91"/>
        <v>0.93591955168983887</v>
      </c>
      <c r="AR105" s="63">
        <f t="shared" si="75"/>
        <v>18.499813865971582</v>
      </c>
      <c r="AS105" s="63">
        <f t="shared" si="92"/>
        <v>4.0981854444482089</v>
      </c>
      <c r="AT105" s="10"/>
      <c r="AU105">
        <f t="shared" si="93"/>
        <v>93.591955168983887</v>
      </c>
      <c r="BE105" s="28"/>
      <c r="BF105" s="29"/>
    </row>
    <row r="106" spans="7:58" x14ac:dyDescent="0.25">
      <c r="G106">
        <v>97</v>
      </c>
      <c r="H106">
        <f t="shared" si="55"/>
        <v>2.91</v>
      </c>
      <c r="I106" s="407">
        <f t="shared" si="76"/>
        <v>0.21383374999999996</v>
      </c>
      <c r="J106" s="408">
        <f t="shared" si="56"/>
        <v>1.3471526249999994</v>
      </c>
      <c r="K106" s="408">
        <f t="shared" si="77"/>
        <v>3.5835763125</v>
      </c>
      <c r="L106" s="408">
        <f t="shared" si="78"/>
        <v>2.2364236875000003</v>
      </c>
      <c r="M106" s="63">
        <f t="shared" si="57"/>
        <v>0</v>
      </c>
      <c r="N106" s="407">
        <f t="shared" si="58"/>
        <v>2.9358704018150563</v>
      </c>
      <c r="O106" s="407">
        <f t="shared" si="79"/>
        <v>4.3245775010409396E-2</v>
      </c>
      <c r="P106">
        <f t="shared" si="59"/>
        <v>0.2</v>
      </c>
      <c r="Q106" s="407">
        <f t="shared" si="80"/>
        <v>0.24324577501040939</v>
      </c>
      <c r="R106" s="9">
        <f t="shared" si="87"/>
        <v>0.38888946534163032</v>
      </c>
      <c r="S106" s="9">
        <f t="shared" si="81"/>
        <v>1.512350162536991E-3</v>
      </c>
      <c r="T106" s="9">
        <f t="shared" si="88"/>
        <v>1.512350162536991E-3</v>
      </c>
      <c r="U106" s="407">
        <f t="shared" si="60"/>
        <v>1.3576099325770417</v>
      </c>
      <c r="V106" s="409">
        <f t="shared" si="82"/>
        <v>3.6862094580636792E-3</v>
      </c>
      <c r="W106" s="407">
        <f t="shared" si="89"/>
        <v>3.6862094580636792E-3</v>
      </c>
      <c r="X106" s="407">
        <f t="shared" si="61"/>
        <v>1.3576099325770417</v>
      </c>
      <c r="Y106" s="407">
        <f t="shared" si="83"/>
        <v>1.1058628374191038E-2</v>
      </c>
      <c r="Z106" s="407">
        <f t="shared" si="62"/>
        <v>0.21660768197770175</v>
      </c>
      <c r="AA106" s="407">
        <f t="shared" si="63"/>
        <v>0.14400000000000002</v>
      </c>
      <c r="AB106" s="407">
        <f t="shared" si="64"/>
        <v>0</v>
      </c>
      <c r="AC106" s="407">
        <f t="shared" si="94"/>
        <v>0.3724901563944148</v>
      </c>
      <c r="AD106" s="407">
        <f t="shared" si="66"/>
        <v>2.6031193378755919</v>
      </c>
      <c r="AE106" s="407">
        <f t="shared" si="84"/>
        <v>4.0657381723331158E-2</v>
      </c>
      <c r="AF106" s="407">
        <f t="shared" si="67"/>
        <v>4.1904000000000004E-2</v>
      </c>
      <c r="AG106" s="407">
        <f t="shared" si="95"/>
        <v>8.3238231433202095E-2</v>
      </c>
      <c r="AH106" s="407">
        <f t="shared" si="69"/>
        <v>0</v>
      </c>
      <c r="AI106">
        <f t="shared" si="70"/>
        <v>0</v>
      </c>
      <c r="AJ106" s="408">
        <f t="shared" si="71"/>
        <v>0.13670047800000001</v>
      </c>
      <c r="AK106">
        <f t="shared" si="85"/>
        <v>4.8000000000000001E-2</v>
      </c>
      <c r="AL106" s="408">
        <f t="shared" si="72"/>
        <v>0.1215</v>
      </c>
      <c r="AM106" s="408">
        <f t="shared" si="86"/>
        <v>0.31645971316818772</v>
      </c>
      <c r="AN106" s="408">
        <f t="shared" si="90"/>
        <v>0.16949999999999998</v>
      </c>
      <c r="AO106" s="408">
        <f t="shared" si="96"/>
        <v>1.010373200458627</v>
      </c>
      <c r="AP106">
        <f t="shared" si="74"/>
        <v>14.840999999999999</v>
      </c>
      <c r="AQ106" s="10">
        <f t="shared" si="91"/>
        <v>0.93625957904836954</v>
      </c>
      <c r="AR106" s="63">
        <f t="shared" si="75"/>
        <v>18.624507819720741</v>
      </c>
      <c r="AS106" s="63">
        <f t="shared" si="92"/>
        <v>4.1619115716601049</v>
      </c>
      <c r="AT106" s="10"/>
      <c r="AU106">
        <f t="shared" si="93"/>
        <v>93.625957904836952</v>
      </c>
      <c r="BE106" s="28"/>
      <c r="BF106" s="29"/>
    </row>
    <row r="107" spans="7:58" x14ac:dyDescent="0.25">
      <c r="G107">
        <v>98</v>
      </c>
      <c r="H107">
        <f t="shared" si="55"/>
        <v>2.94</v>
      </c>
      <c r="I107" s="407">
        <f t="shared" si="76"/>
        <v>0.2138475</v>
      </c>
      <c r="J107" s="408">
        <f t="shared" si="56"/>
        <v>1.3472392499999994</v>
      </c>
      <c r="K107" s="408">
        <f t="shared" si="77"/>
        <v>3.6136196249999997</v>
      </c>
      <c r="L107" s="408">
        <f t="shared" si="78"/>
        <v>2.2663803750000002</v>
      </c>
      <c r="M107" s="63">
        <f t="shared" si="57"/>
        <v>0</v>
      </c>
      <c r="N107" s="407">
        <f t="shared" si="58"/>
        <v>2.9656119885101364</v>
      </c>
      <c r="O107" s="407">
        <f t="shared" si="79"/>
        <v>4.4129517405275896E-2</v>
      </c>
      <c r="P107">
        <f t="shared" si="59"/>
        <v>0.2</v>
      </c>
      <c r="Q107" s="407">
        <f t="shared" si="80"/>
        <v>0.24412951740527591</v>
      </c>
      <c r="R107" s="9">
        <f t="shared" si="87"/>
        <v>0.38891447182516464</v>
      </c>
      <c r="S107" s="9">
        <f t="shared" si="81"/>
        <v>1.5125446639504677E-3</v>
      </c>
      <c r="T107" s="9">
        <f t="shared" si="88"/>
        <v>1.5125446639504677E-3</v>
      </c>
      <c r="U107" s="407">
        <f t="shared" si="60"/>
        <v>1.371407175313887</v>
      </c>
      <c r="V107" s="409">
        <f t="shared" si="82"/>
        <v>3.7615152810048288E-3</v>
      </c>
      <c r="W107" s="407">
        <f t="shared" si="89"/>
        <v>3.7615152810048288E-3</v>
      </c>
      <c r="X107" s="407">
        <f t="shared" si="61"/>
        <v>1.371407175313887</v>
      </c>
      <c r="Y107" s="407">
        <f t="shared" si="83"/>
        <v>1.1284545843014486E-2</v>
      </c>
      <c r="Z107" s="407">
        <f t="shared" si="62"/>
        <v>0.21885592132772022</v>
      </c>
      <c r="AA107" s="407">
        <f t="shared" si="63"/>
        <v>0.14400000000000002</v>
      </c>
      <c r="AB107" s="407">
        <f t="shared" si="64"/>
        <v>0</v>
      </c>
      <c r="AC107" s="407">
        <f t="shared" si="94"/>
        <v>0.37498677826871424</v>
      </c>
      <c r="AD107" s="407">
        <f t="shared" si="66"/>
        <v>2.6294670231612773</v>
      </c>
      <c r="AE107" s="407">
        <f t="shared" si="84"/>
        <v>4.1484580955355781E-2</v>
      </c>
      <c r="AF107" s="407">
        <f t="shared" si="67"/>
        <v>4.2335999999999999E-2</v>
      </c>
      <c r="AG107" s="407">
        <f t="shared" si="95"/>
        <v>8.4521851675017551E-2</v>
      </c>
      <c r="AH107" s="407">
        <f t="shared" si="69"/>
        <v>0</v>
      </c>
      <c r="AI107">
        <f t="shared" si="70"/>
        <v>0</v>
      </c>
      <c r="AJ107" s="408">
        <f t="shared" si="71"/>
        <v>0.136699452</v>
      </c>
      <c r="AK107">
        <f t="shared" si="85"/>
        <v>4.8000000000000001E-2</v>
      </c>
      <c r="AL107" s="408">
        <f t="shared" si="72"/>
        <v>0.1215</v>
      </c>
      <c r="AM107" s="408">
        <f t="shared" si="86"/>
        <v>0.31645971316818772</v>
      </c>
      <c r="AN107" s="408">
        <f t="shared" si="90"/>
        <v>0.16949999999999998</v>
      </c>
      <c r="AO107" s="408">
        <f t="shared" si="96"/>
        <v>1.0151116592939631</v>
      </c>
      <c r="AP107">
        <f t="shared" si="74"/>
        <v>14.993999999999998</v>
      </c>
      <c r="AQ107" s="10">
        <f t="shared" si="91"/>
        <v>0.93659163101004128</v>
      </c>
      <c r="AR107" s="63">
        <f t="shared" si="75"/>
        <v>18.749338913435711</v>
      </c>
      <c r="AS107" s="63">
        <f t="shared" si="92"/>
        <v>4.2260925837508774</v>
      </c>
      <c r="AT107" s="10"/>
      <c r="AU107">
        <f t="shared" si="93"/>
        <v>93.659163101004125</v>
      </c>
      <c r="BE107" s="28"/>
      <c r="BF107" s="29"/>
    </row>
    <row r="108" spans="7:58" x14ac:dyDescent="0.25">
      <c r="G108">
        <v>99</v>
      </c>
      <c r="H108">
        <f t="shared" si="55"/>
        <v>2.9699999999999998</v>
      </c>
      <c r="I108" s="407">
        <f t="shared" si="76"/>
        <v>0.21386125</v>
      </c>
      <c r="J108" s="408">
        <f t="shared" si="56"/>
        <v>1.3473258749999997</v>
      </c>
      <c r="K108" s="408">
        <f t="shared" si="77"/>
        <v>3.6436629374999994</v>
      </c>
      <c r="L108" s="408">
        <f t="shared" si="78"/>
        <v>2.2963370625000001</v>
      </c>
      <c r="M108" s="63">
        <f t="shared" si="57"/>
        <v>0</v>
      </c>
      <c r="N108" s="407">
        <f t="shared" si="58"/>
        <v>2.9953587293990416</v>
      </c>
      <c r="O108" s="407">
        <f t="shared" si="79"/>
        <v>4.5022449287018353E-2</v>
      </c>
      <c r="P108">
        <f t="shared" si="59"/>
        <v>0.2</v>
      </c>
      <c r="Q108" s="407">
        <f t="shared" si="80"/>
        <v>0.24502244928701836</v>
      </c>
      <c r="R108" s="9">
        <f t="shared" si="87"/>
        <v>0.38893947830869896</v>
      </c>
      <c r="S108" s="9">
        <f t="shared" si="81"/>
        <v>1.5127391778704292E-3</v>
      </c>
      <c r="T108" s="9">
        <f t="shared" si="88"/>
        <v>1.5127391778704292E-3</v>
      </c>
      <c r="U108" s="407">
        <f t="shared" si="60"/>
        <v>1.3852076845279677</v>
      </c>
      <c r="V108" s="409">
        <f t="shared" si="82"/>
        <v>3.8376006585506676E-3</v>
      </c>
      <c r="W108" s="407">
        <f t="shared" si="89"/>
        <v>3.8376006585506676E-3</v>
      </c>
      <c r="X108" s="407">
        <f t="shared" si="61"/>
        <v>1.3852076845279677</v>
      </c>
      <c r="Y108" s="407">
        <f t="shared" si="83"/>
        <v>1.1512801975652003E-2</v>
      </c>
      <c r="Z108" s="407">
        <f t="shared" si="62"/>
        <v>0.22110416067773872</v>
      </c>
      <c r="AA108" s="407">
        <f t="shared" si="63"/>
        <v>0.14400000000000002</v>
      </c>
      <c r="AB108" s="407">
        <f t="shared" si="64"/>
        <v>0</v>
      </c>
      <c r="AC108" s="407">
        <f t="shared" si="94"/>
        <v>0.3774861473058877</v>
      </c>
      <c r="AD108" s="407">
        <f t="shared" si="66"/>
        <v>2.6558188169586621</v>
      </c>
      <c r="AE108" s="407">
        <f t="shared" si="84"/>
        <v>4.2320241531070245E-2</v>
      </c>
      <c r="AF108" s="407">
        <f t="shared" si="67"/>
        <v>4.2767999999999994E-2</v>
      </c>
      <c r="AG108" s="407">
        <f t="shared" si="95"/>
        <v>8.5814580283971251E-2</v>
      </c>
      <c r="AH108" s="407">
        <f t="shared" si="69"/>
        <v>0</v>
      </c>
      <c r="AI108">
        <f t="shared" si="70"/>
        <v>0</v>
      </c>
      <c r="AJ108" s="408">
        <f t="shared" si="71"/>
        <v>0.13669842600000001</v>
      </c>
      <c r="AK108">
        <f t="shared" si="85"/>
        <v>4.8000000000000001E-2</v>
      </c>
      <c r="AL108" s="408">
        <f t="shared" si="72"/>
        <v>0.1215</v>
      </c>
      <c r="AM108" s="408">
        <f t="shared" si="86"/>
        <v>0.31645971316818772</v>
      </c>
      <c r="AN108" s="408">
        <f t="shared" si="90"/>
        <v>0.16949999999999998</v>
      </c>
      <c r="AO108" s="408">
        <f t="shared" si="96"/>
        <v>1.0198719427132985</v>
      </c>
      <c r="AP108">
        <f t="shared" si="74"/>
        <v>15.146999999999998</v>
      </c>
      <c r="AQ108" s="10">
        <f t="shared" si="91"/>
        <v>0.93691593857320232</v>
      </c>
      <c r="AR108" s="63">
        <f t="shared" si="75"/>
        <v>18.874307365294385</v>
      </c>
      <c r="AS108" s="63">
        <f t="shared" si="92"/>
        <v>4.2907290141985621</v>
      </c>
      <c r="AT108" s="10"/>
      <c r="AU108">
        <f t="shared" si="93"/>
        <v>93.691593857320228</v>
      </c>
      <c r="BE108" s="28"/>
      <c r="BF108" s="29"/>
    </row>
    <row r="109" spans="7:58" x14ac:dyDescent="0.25">
      <c r="G109">
        <v>100</v>
      </c>
      <c r="H109">
        <f t="shared" si="55"/>
        <v>3</v>
      </c>
      <c r="I109" s="407">
        <f t="shared" si="76"/>
        <v>0.21387499999999995</v>
      </c>
      <c r="J109" s="408">
        <f t="shared" si="56"/>
        <v>1.3474124999999995</v>
      </c>
      <c r="K109" s="408">
        <f t="shared" si="77"/>
        <v>3.6737062499999995</v>
      </c>
      <c r="L109" s="408">
        <f t="shared" si="78"/>
        <v>2.3262937500000005</v>
      </c>
      <c r="M109" s="63">
        <f t="shared" si="57"/>
        <v>0</v>
      </c>
      <c r="N109" s="407">
        <f t="shared" si="58"/>
        <v>3.0251104724339717</v>
      </c>
      <c r="O109" s="407">
        <f t="shared" si="79"/>
        <v>4.5924574554010805E-2</v>
      </c>
      <c r="P109">
        <f t="shared" si="59"/>
        <v>0.2</v>
      </c>
      <c r="Q109" s="407">
        <f t="shared" si="80"/>
        <v>0.24592457455401082</v>
      </c>
      <c r="R109" s="9">
        <f t="shared" si="87"/>
        <v>0.38896448479223317</v>
      </c>
      <c r="S109" s="9">
        <f t="shared" si="81"/>
        <v>1.5129337042968738E-3</v>
      </c>
      <c r="T109" s="9">
        <f t="shared" si="88"/>
        <v>1.5129337042968738E-3</v>
      </c>
      <c r="U109" s="407">
        <f t="shared" si="60"/>
        <v>1.3990113900896763</v>
      </c>
      <c r="V109" s="409">
        <f t="shared" si="82"/>
        <v>3.9144657392012972E-3</v>
      </c>
      <c r="W109" s="407">
        <f t="shared" si="89"/>
        <v>3.9144657392012972E-3</v>
      </c>
      <c r="X109" s="407">
        <f t="shared" si="61"/>
        <v>1.3990113900896763</v>
      </c>
      <c r="Y109" s="407">
        <f t="shared" si="83"/>
        <v>1.1743397217603891E-2</v>
      </c>
      <c r="Z109" s="407">
        <f t="shared" si="62"/>
        <v>0.22335240002775725</v>
      </c>
      <c r="AA109" s="407">
        <f t="shared" si="63"/>
        <v>0.14400000000000002</v>
      </c>
      <c r="AB109" s="407">
        <f t="shared" si="64"/>
        <v>0</v>
      </c>
      <c r="AC109" s="407">
        <f t="shared" si="94"/>
        <v>0.37998826787890738</v>
      </c>
      <c r="AD109" s="407">
        <f t="shared" si="66"/>
        <v>2.6821745843306024</v>
      </c>
      <c r="AE109" s="407">
        <f t="shared" si="84"/>
        <v>4.3164363004974241E-2</v>
      </c>
      <c r="AF109" s="407">
        <f t="shared" si="67"/>
        <v>4.3200000000000002E-2</v>
      </c>
      <c r="AG109" s="407">
        <f t="shared" si="95"/>
        <v>8.711642802960759E-2</v>
      </c>
      <c r="AH109" s="407">
        <f t="shared" si="69"/>
        <v>0</v>
      </c>
      <c r="AI109">
        <f t="shared" si="70"/>
        <v>0</v>
      </c>
      <c r="AJ109" s="408">
        <f t="shared" si="71"/>
        <v>0.1366974</v>
      </c>
      <c r="AK109">
        <f t="shared" si="85"/>
        <v>4.8000000000000001E-2</v>
      </c>
      <c r="AL109" s="408">
        <f t="shared" si="72"/>
        <v>0.1215</v>
      </c>
      <c r="AM109" s="408">
        <f t="shared" si="86"/>
        <v>0.31645971316818772</v>
      </c>
      <c r="AN109" s="408">
        <f t="shared" si="90"/>
        <v>0.16949999999999998</v>
      </c>
      <c r="AO109" s="408">
        <f t="shared" si="96"/>
        <v>1.024654069906024</v>
      </c>
      <c r="AP109">
        <f t="shared" si="74"/>
        <v>15.299999999999999</v>
      </c>
      <c r="AQ109" s="10">
        <f t="shared" si="91"/>
        <v>0.93723272385937151</v>
      </c>
      <c r="AR109" s="63">
        <f t="shared" si="75"/>
        <v>18.999413393945368</v>
      </c>
      <c r="AS109" s="63">
        <f t="shared" si="92"/>
        <v>4.3558214014803793</v>
      </c>
      <c r="AT109" s="10"/>
      <c r="AU109">
        <f t="shared" si="93"/>
        <v>93.72327238593715</v>
      </c>
      <c r="BE109" s="28"/>
      <c r="BF109" s="29"/>
    </row>
    <row r="110" spans="7:58" x14ac:dyDescent="0.25">
      <c r="G110">
        <v>101</v>
      </c>
      <c r="H110">
        <f t="shared" si="55"/>
        <v>3.0300000000000002</v>
      </c>
      <c r="I110" s="407">
        <f t="shared" ref="I110:I173" si="97">(Vout+Rdcr*H110+RdsonBot*H110)/(Vin-RdsonTop*H110+RdsonBot*H110)</f>
        <v>0.21388874999999999</v>
      </c>
      <c r="J110" s="408">
        <f t="shared" si="56"/>
        <v>1.3474991249999995</v>
      </c>
      <c r="K110" s="408">
        <f t="shared" si="77"/>
        <v>3.7037495625000001</v>
      </c>
      <c r="L110" s="408">
        <f t="shared" ref="L110:L173" si="98">H110-J110/2</f>
        <v>2.3562504375000004</v>
      </c>
      <c r="M110" s="63">
        <f t="shared" si="57"/>
        <v>0</v>
      </c>
      <c r="N110" s="407">
        <f t="shared" ref="N110:N173" si="99">SQRT(H110^2+(J110^2)/12)</f>
        <v>3.0548670714653006</v>
      </c>
      <c r="O110" s="407">
        <f t="shared" ref="O110:O173" si="100">(N110^2*Rdcr*(1+Ltc*Ta-Ltc*25))/(1-N110^2*Rdcr*Ltc*ThetaCa)</f>
        <v>4.6835897145607271E-2</v>
      </c>
      <c r="P110">
        <f t="shared" si="59"/>
        <v>0.2</v>
      </c>
      <c r="Q110" s="407">
        <f t="shared" si="80"/>
        <v>0.24683589714560727</v>
      </c>
      <c r="R110" s="9">
        <f t="shared" ref="R110:R173" si="101">J110/(2*SQRT(3))</f>
        <v>0.38898949127576743</v>
      </c>
      <c r="S110" s="9">
        <f t="shared" ref="S110:S173" si="102">RCoutEsr*R110^2</f>
        <v>1.5131282432298036E-3</v>
      </c>
      <c r="T110" s="9">
        <f t="shared" ref="T110:T173" si="103">S110</f>
        <v>1.5131282432298036E-3</v>
      </c>
      <c r="U110" s="407">
        <f t="shared" ref="U110:U173" si="104">SQRT(I110)*SQRT(H110^2+(J110^2)/12)</f>
        <v>1.41281822458815</v>
      </c>
      <c r="V110" s="409">
        <f t="shared" ref="V110:V173" si="105">RCinEsr*U110^2</f>
        <v>3.9921106714568251E-3</v>
      </c>
      <c r="W110" s="407">
        <f t="shared" ref="W110:W173" si="106">V110</f>
        <v>3.9921106714568251E-3</v>
      </c>
      <c r="X110" s="407">
        <f t="shared" ref="X110:X173" si="107">SQRT(I110)*SQRT(H110^2+(J110^2)/12)</f>
        <v>1.41281822458815</v>
      </c>
      <c r="Y110" s="407">
        <f t="shared" ref="Y110:Y173" si="108">RdsonTop*X110^2</f>
        <v>1.1976332014370475E-2</v>
      </c>
      <c r="Z110" s="407">
        <f t="shared" si="62"/>
        <v>0.22560063937777577</v>
      </c>
      <c r="AA110" s="407">
        <f t="shared" si="63"/>
        <v>0.14400000000000002</v>
      </c>
      <c r="AB110" s="407">
        <f t="shared" si="64"/>
        <v>0</v>
      </c>
      <c r="AC110" s="407">
        <f t="shared" ref="AC110:AC173" si="109">(AB110+AA110+Z110+Y110*(1+RdsonTopTc*Ta-RdsonTopTc*25))/(1-Y110*RdsonTopTc*ThetaJaTop)</f>
        <v>0.38249314437018583</v>
      </c>
      <c r="AD110" s="407">
        <f t="shared" ref="AD110:AD173" si="110">SQRT(1-I110)*SQRT(H110^2+(J110^2)/12)</f>
        <v>2.7085341955741615</v>
      </c>
      <c r="AE110" s="407">
        <f t="shared" ref="AE110:AE173" si="111">RdsonBot*AD110^2</f>
        <v>4.4016944931567423E-2</v>
      </c>
      <c r="AF110" s="407">
        <f t="shared" si="67"/>
        <v>4.3632000000000004E-2</v>
      </c>
      <c r="AG110" s="407">
        <f t="shared" ref="AG110:AG173" si="112">(AF110+AE110*(1+RdsonBotTc*Ta-RdsonBotTc*25))/(1-AE110*RdsonBotTc*ThetaJaBot)</f>
        <v>8.8427405781714444E-2</v>
      </c>
      <c r="AH110" s="407">
        <f t="shared" ref="AH110:AH173" si="113">IF(RDSON_sense=1, 0, AD110^2*Rshunt)</f>
        <v>0</v>
      </c>
      <c r="AI110">
        <f t="shared" si="70"/>
        <v>0</v>
      </c>
      <c r="AJ110" s="408">
        <f t="shared" si="71"/>
        <v>0.13669637400000001</v>
      </c>
      <c r="AK110">
        <f t="shared" si="85"/>
        <v>4.8000000000000001E-2</v>
      </c>
      <c r="AL110" s="408">
        <f t="shared" si="72"/>
        <v>0.1215</v>
      </c>
      <c r="AM110" s="408">
        <f t="shared" si="86"/>
        <v>0.31645971316818772</v>
      </c>
      <c r="AN110" s="408">
        <f t="shared" ref="AN110:AN173" si="114">SUM(AK110:AL110)</f>
        <v>0.16949999999999998</v>
      </c>
      <c r="AO110" s="408">
        <f t="shared" ref="AO110:AO173" si="115">SUM(Q110,T110,W110,AC110,AJ110,AI110,AG110,AN110, AH110)</f>
        <v>1.0294580602121943</v>
      </c>
      <c r="AP110">
        <f t="shared" si="74"/>
        <v>15.452999999999999</v>
      </c>
      <c r="AQ110" s="10">
        <f t="shared" ref="AQ110:AQ173" si="116">AP110/(AP110+AO110)</f>
        <v>0.93754220053517046</v>
      </c>
      <c r="AR110" s="63">
        <f t="shared" ref="AR110:AR173" si="117">ThetaJaTop*AC110</f>
        <v>19.124657218509292</v>
      </c>
      <c r="AS110" s="63">
        <f t="shared" ref="AS110:AS173" si="118">AG110*ThetaJaBot</f>
        <v>4.421370289085722</v>
      </c>
      <c r="AT110" s="10"/>
      <c r="AU110">
        <f t="shared" ref="AU110:AU173" si="119">AQ110*100</f>
        <v>93.754220053517045</v>
      </c>
    </row>
    <row r="111" spans="7:58" x14ac:dyDescent="0.25">
      <c r="G111">
        <v>102</v>
      </c>
      <c r="H111">
        <f t="shared" si="55"/>
        <v>3.06</v>
      </c>
      <c r="I111" s="407">
        <f t="shared" si="97"/>
        <v>0.2139025</v>
      </c>
      <c r="J111" s="408">
        <f t="shared" si="56"/>
        <v>1.3475857499999995</v>
      </c>
      <c r="K111" s="408">
        <f t="shared" si="77"/>
        <v>3.7337928749999998</v>
      </c>
      <c r="L111" s="408">
        <f t="shared" si="98"/>
        <v>2.3862071250000003</v>
      </c>
      <c r="M111" s="63">
        <f t="shared" si="57"/>
        <v>0</v>
      </c>
      <c r="N111" s="407">
        <f t="shared" si="99"/>
        <v>3.0846283859594696</v>
      </c>
      <c r="O111" s="407">
        <f t="shared" si="100"/>
        <v>4.7756421042185054E-2</v>
      </c>
      <c r="P111">
        <f t="shared" si="59"/>
        <v>0.2</v>
      </c>
      <c r="Q111" s="407">
        <f t="shared" si="80"/>
        <v>0.24775642104218507</v>
      </c>
      <c r="R111" s="9">
        <f t="shared" si="101"/>
        <v>0.38901449775930175</v>
      </c>
      <c r="S111" s="9">
        <f t="shared" si="102"/>
        <v>1.5133227946692179E-3</v>
      </c>
      <c r="T111" s="9">
        <f t="shared" si="103"/>
        <v>1.5133227946692179E-3</v>
      </c>
      <c r="U111" s="407">
        <f t="shared" si="104"/>
        <v>1.4266281232012332</v>
      </c>
      <c r="V111" s="409">
        <f t="shared" si="105"/>
        <v>4.0705356038173461E-3</v>
      </c>
      <c r="W111" s="407">
        <f t="shared" si="106"/>
        <v>4.0705356038173461E-3</v>
      </c>
      <c r="X111" s="407">
        <f t="shared" si="107"/>
        <v>1.4266281232012332</v>
      </c>
      <c r="Y111" s="407">
        <f t="shared" si="108"/>
        <v>1.2211606811452037E-2</v>
      </c>
      <c r="Z111" s="407">
        <f t="shared" si="62"/>
        <v>0.22784887872779427</v>
      </c>
      <c r="AA111" s="407">
        <f t="shared" si="63"/>
        <v>0.14400000000000002</v>
      </c>
      <c r="AB111" s="407">
        <f t="shared" si="64"/>
        <v>0</v>
      </c>
      <c r="AC111" s="407">
        <f t="shared" si="109"/>
        <v>0.38500078117160019</v>
      </c>
      <c r="AD111" s="407">
        <f t="shared" si="110"/>
        <v>2.7348975259702599</v>
      </c>
      <c r="AE111" s="407">
        <f t="shared" si="111"/>
        <v>4.4877986865349495E-2</v>
      </c>
      <c r="AF111" s="407">
        <f t="shared" si="67"/>
        <v>4.4063999999999999E-2</v>
      </c>
      <c r="AG111" s="407">
        <f t="shared" si="112"/>
        <v>8.9747524510586221E-2</v>
      </c>
      <c r="AH111" s="407">
        <f t="shared" si="113"/>
        <v>0</v>
      </c>
      <c r="AI111">
        <f t="shared" si="70"/>
        <v>0</v>
      </c>
      <c r="AJ111" s="408">
        <f t="shared" si="71"/>
        <v>0.13669534799999999</v>
      </c>
      <c r="AK111">
        <f t="shared" si="85"/>
        <v>4.8000000000000001E-2</v>
      </c>
      <c r="AL111" s="408">
        <f t="shared" si="72"/>
        <v>0.1215</v>
      </c>
      <c r="AM111" s="408">
        <f t="shared" si="86"/>
        <v>0.31645971316818772</v>
      </c>
      <c r="AN111" s="408">
        <f t="shared" si="114"/>
        <v>0.16949999999999998</v>
      </c>
      <c r="AO111" s="408">
        <f t="shared" si="115"/>
        <v>1.0342839331228579</v>
      </c>
      <c r="AP111">
        <f t="shared" si="74"/>
        <v>15.606</v>
      </c>
      <c r="AQ111" s="10">
        <f t="shared" si="116"/>
        <v>0.93784457421041389</v>
      </c>
      <c r="AR111" s="63">
        <f t="shared" si="117"/>
        <v>19.250039058580011</v>
      </c>
      <c r="AS111" s="63">
        <f t="shared" si="118"/>
        <v>4.487376225529311</v>
      </c>
      <c r="AT111" s="10"/>
      <c r="AU111">
        <f t="shared" si="119"/>
        <v>93.784457421041395</v>
      </c>
    </row>
    <row r="112" spans="7:58" x14ac:dyDescent="0.25">
      <c r="G112">
        <v>103</v>
      </c>
      <c r="H112">
        <f t="shared" si="55"/>
        <v>3.09</v>
      </c>
      <c r="I112" s="407">
        <f t="shared" si="97"/>
        <v>0.21391625</v>
      </c>
      <c r="J112" s="408">
        <f t="shared" si="56"/>
        <v>1.3476723749999997</v>
      </c>
      <c r="K112" s="408">
        <f t="shared" si="77"/>
        <v>3.7638361874999999</v>
      </c>
      <c r="L112" s="408">
        <f t="shared" si="98"/>
        <v>2.4161638124999998</v>
      </c>
      <c r="M112" s="63">
        <f t="shared" si="57"/>
        <v>0</v>
      </c>
      <c r="N112" s="407">
        <f t="shared" si="99"/>
        <v>3.1143942807328542</v>
      </c>
      <c r="O112" s="407">
        <f t="shared" si="100"/>
        <v>4.8686150265188403E-2</v>
      </c>
      <c r="P112">
        <f t="shared" si="59"/>
        <v>0.2</v>
      </c>
      <c r="Q112" s="407">
        <f t="shared" si="80"/>
        <v>0.24868615026518842</v>
      </c>
      <c r="R112" s="9">
        <f t="shared" si="101"/>
        <v>0.38903950424283607</v>
      </c>
      <c r="S112" s="9">
        <f t="shared" si="102"/>
        <v>1.5135173586151166E-3</v>
      </c>
      <c r="T112" s="9">
        <f t="shared" si="103"/>
        <v>1.5135173586151166E-3</v>
      </c>
      <c r="U112" s="407">
        <f t="shared" si="104"/>
        <v>1.4404410235728102</v>
      </c>
      <c r="V112" s="409">
        <f t="shared" si="105"/>
        <v>4.1497406847829706E-3</v>
      </c>
      <c r="W112" s="407">
        <f t="shared" si="106"/>
        <v>4.1497406847829706E-3</v>
      </c>
      <c r="X112" s="407">
        <f t="shared" si="107"/>
        <v>1.4404410235728102</v>
      </c>
      <c r="Y112" s="407">
        <f t="shared" si="108"/>
        <v>1.2449222054348912E-2</v>
      </c>
      <c r="Z112" s="407">
        <f t="shared" si="62"/>
        <v>0.23009711807781275</v>
      </c>
      <c r="AA112" s="407">
        <f t="shared" si="63"/>
        <v>0.14400000000000002</v>
      </c>
      <c r="AB112" s="407">
        <f t="shared" si="64"/>
        <v>0</v>
      </c>
      <c r="AC112" s="407">
        <f t="shared" si="109"/>
        <v>0.38751118268451823</v>
      </c>
      <c r="AD112" s="407">
        <f t="shared" si="110"/>
        <v>2.761264455547499</v>
      </c>
      <c r="AE112" s="407">
        <f t="shared" si="111"/>
        <v>4.5747488360820161E-2</v>
      </c>
      <c r="AF112" s="407">
        <f t="shared" si="67"/>
        <v>4.4495999999999994E-2</v>
      </c>
      <c r="AG112" s="407">
        <f t="shared" si="112"/>
        <v>9.1076795287289375E-2</v>
      </c>
      <c r="AH112" s="407">
        <f t="shared" si="113"/>
        <v>0</v>
      </c>
      <c r="AI112">
        <f t="shared" si="70"/>
        <v>0</v>
      </c>
      <c r="AJ112" s="408">
        <f t="shared" si="71"/>
        <v>0.13669432200000001</v>
      </c>
      <c r="AK112">
        <f t="shared" si="85"/>
        <v>4.8000000000000001E-2</v>
      </c>
      <c r="AL112" s="408">
        <f t="shared" si="72"/>
        <v>0.1215</v>
      </c>
      <c r="AM112" s="408">
        <f t="shared" si="86"/>
        <v>0.31645971316818772</v>
      </c>
      <c r="AN112" s="408">
        <f t="shared" si="114"/>
        <v>0.16949999999999998</v>
      </c>
      <c r="AO112" s="408">
        <f t="shared" si="115"/>
        <v>1.0391317082803941</v>
      </c>
      <c r="AP112">
        <f t="shared" si="74"/>
        <v>15.758999999999999</v>
      </c>
      <c r="AQ112" s="10">
        <f t="shared" si="116"/>
        <v>0.93814004281391772</v>
      </c>
      <c r="AR112" s="63">
        <f t="shared" si="117"/>
        <v>19.375559134225913</v>
      </c>
      <c r="AS112" s="63">
        <f t="shared" si="118"/>
        <v>4.5538397643644686</v>
      </c>
      <c r="AT112" s="10"/>
      <c r="AU112">
        <f t="shared" si="119"/>
        <v>93.814004281391774</v>
      </c>
    </row>
    <row r="113" spans="7:47" x14ac:dyDescent="0.25">
      <c r="G113">
        <v>104</v>
      </c>
      <c r="H113">
        <f t="shared" si="55"/>
        <v>3.12</v>
      </c>
      <c r="I113" s="407">
        <f t="shared" si="97"/>
        <v>0.21392999999999998</v>
      </c>
      <c r="J113" s="408">
        <f t="shared" si="56"/>
        <v>1.3477589999999995</v>
      </c>
      <c r="K113" s="408">
        <f t="shared" si="77"/>
        <v>3.7938795000000001</v>
      </c>
      <c r="L113" s="408">
        <f t="shared" si="98"/>
        <v>2.4461205000000001</v>
      </c>
      <c r="M113" s="63">
        <f t="shared" si="57"/>
        <v>0</v>
      </c>
      <c r="N113" s="407">
        <f t="shared" si="99"/>
        <v>3.1441646257005611</v>
      </c>
      <c r="O113" s="407">
        <f t="shared" si="100"/>
        <v>4.9625088877172624E-2</v>
      </c>
      <c r="P113">
        <f t="shared" si="59"/>
        <v>0.2</v>
      </c>
      <c r="Q113" s="407">
        <f t="shared" si="80"/>
        <v>0.24962508887717264</v>
      </c>
      <c r="R113" s="9">
        <f t="shared" si="101"/>
        <v>0.38906451072637027</v>
      </c>
      <c r="S113" s="9">
        <f t="shared" si="102"/>
        <v>1.5137119350674987E-3</v>
      </c>
      <c r="T113" s="9">
        <f t="shared" si="103"/>
        <v>1.5137119350674987E-3</v>
      </c>
      <c r="U113" s="407">
        <f t="shared" si="104"/>
        <v>1.4542568656970125</v>
      </c>
      <c r="V113" s="409">
        <f t="shared" si="105"/>
        <v>4.2297260628537973E-3</v>
      </c>
      <c r="W113" s="407">
        <f t="shared" si="106"/>
        <v>4.2297260628537973E-3</v>
      </c>
      <c r="X113" s="407">
        <f t="shared" si="107"/>
        <v>1.4542568656970125</v>
      </c>
      <c r="Y113" s="407">
        <f t="shared" si="108"/>
        <v>1.2689178188561391E-2</v>
      </c>
      <c r="Z113" s="407">
        <f t="shared" si="62"/>
        <v>0.23234535742783127</v>
      </c>
      <c r="AA113" s="407">
        <f t="shared" si="63"/>
        <v>0.14400000000000002</v>
      </c>
      <c r="AB113" s="407">
        <f t="shared" si="64"/>
        <v>0</v>
      </c>
      <c r="AC113" s="407">
        <f t="shared" si="109"/>
        <v>0.39002435331982338</v>
      </c>
      <c r="AD113" s="407">
        <f t="shared" si="110"/>
        <v>2.7876348688592363</v>
      </c>
      <c r="AE113" s="407">
        <f t="shared" si="111"/>
        <v>4.6625448972479111E-2</v>
      </c>
      <c r="AF113" s="407">
        <f t="shared" si="67"/>
        <v>4.4928000000000003E-2</v>
      </c>
      <c r="AG113" s="407">
        <f t="shared" si="112"/>
        <v>9.2415229283930686E-2</v>
      </c>
      <c r="AH113" s="407">
        <f t="shared" si="113"/>
        <v>0</v>
      </c>
      <c r="AI113">
        <f t="shared" si="70"/>
        <v>0</v>
      </c>
      <c r="AJ113" s="408">
        <f t="shared" si="71"/>
        <v>0.13669329600000002</v>
      </c>
      <c r="AK113">
        <f t="shared" si="85"/>
        <v>4.8000000000000001E-2</v>
      </c>
      <c r="AL113" s="408">
        <f t="shared" si="72"/>
        <v>0.1215</v>
      </c>
      <c r="AM113" s="408">
        <f t="shared" si="86"/>
        <v>0.31645971316818772</v>
      </c>
      <c r="AN113" s="408">
        <f t="shared" si="114"/>
        <v>0.16949999999999998</v>
      </c>
      <c r="AO113" s="408">
        <f t="shared" si="115"/>
        <v>1.044001405478848</v>
      </c>
      <c r="AP113">
        <f t="shared" si="74"/>
        <v>15.911999999999999</v>
      </c>
      <c r="AQ113" s="10">
        <f t="shared" si="116"/>
        <v>0.93842879694846515</v>
      </c>
      <c r="AR113" s="63">
        <f t="shared" si="117"/>
        <v>19.50121766599117</v>
      </c>
      <c r="AS113" s="63">
        <f t="shared" si="118"/>
        <v>4.6207614641965344</v>
      </c>
      <c r="AT113" s="10"/>
      <c r="AU113">
        <f t="shared" si="119"/>
        <v>93.842879694846516</v>
      </c>
    </row>
    <row r="114" spans="7:47" x14ac:dyDescent="0.25">
      <c r="G114">
        <v>105</v>
      </c>
      <c r="H114">
        <f t="shared" si="55"/>
        <v>3.1500000000000004</v>
      </c>
      <c r="I114" s="407">
        <f t="shared" si="97"/>
        <v>0.21394374999999999</v>
      </c>
      <c r="J114" s="408">
        <f t="shared" si="56"/>
        <v>1.3478456249999995</v>
      </c>
      <c r="K114" s="408">
        <f t="shared" si="77"/>
        <v>3.8239228125000002</v>
      </c>
      <c r="L114" s="408">
        <f t="shared" si="98"/>
        <v>2.4760771875000005</v>
      </c>
      <c r="M114" s="63">
        <f t="shared" si="57"/>
        <v>0</v>
      </c>
      <c r="N114" s="407">
        <f t="shared" si="99"/>
        <v>3.1739392956391965</v>
      </c>
      <c r="O114" s="407">
        <f t="shared" si="100"/>
        <v>5.0573240981848698E-2</v>
      </c>
      <c r="P114">
        <f t="shared" si="59"/>
        <v>0.2</v>
      </c>
      <c r="Q114" s="407">
        <f t="shared" si="80"/>
        <v>0.25057324098184869</v>
      </c>
      <c r="R114" s="9">
        <f t="shared" si="101"/>
        <v>0.38908951720990459</v>
      </c>
      <c r="S114" s="9">
        <f t="shared" si="102"/>
        <v>1.5139065240263663E-3</v>
      </c>
      <c r="T114" s="9">
        <f t="shared" si="103"/>
        <v>1.5139065240263663E-3</v>
      </c>
      <c r="U114" s="407">
        <f t="shared" si="104"/>
        <v>1.468075591808871</v>
      </c>
      <c r="V114" s="409">
        <f t="shared" si="105"/>
        <v>4.3104918865299342E-3</v>
      </c>
      <c r="W114" s="407">
        <f t="shared" si="106"/>
        <v>4.3104918865299342E-3</v>
      </c>
      <c r="X114" s="407">
        <f t="shared" si="107"/>
        <v>1.468075591808871</v>
      </c>
      <c r="Y114" s="407">
        <f t="shared" si="108"/>
        <v>1.2931475659589801E-2</v>
      </c>
      <c r="Z114" s="407">
        <f t="shared" si="62"/>
        <v>0.2345935967778498</v>
      </c>
      <c r="AA114" s="407">
        <f t="shared" si="63"/>
        <v>0.14400000000000002</v>
      </c>
      <c r="AB114" s="407">
        <f t="shared" si="64"/>
        <v>0</v>
      </c>
      <c r="AC114" s="407">
        <f t="shared" si="109"/>
        <v>0.39254029749794017</v>
      </c>
      <c r="AD114" s="407">
        <f t="shared" si="110"/>
        <v>2.8140086547730574</v>
      </c>
      <c r="AE114" s="407">
        <f t="shared" si="111"/>
        <v>4.7511868254826034E-2</v>
      </c>
      <c r="AF114" s="407">
        <f t="shared" si="67"/>
        <v>4.5360000000000004E-2</v>
      </c>
      <c r="AG114" s="407">
        <f t="shared" si="112"/>
        <v>9.3762837773928742E-2</v>
      </c>
      <c r="AH114" s="407">
        <f t="shared" si="113"/>
        <v>0</v>
      </c>
      <c r="AI114">
        <f t="shared" si="70"/>
        <v>0</v>
      </c>
      <c r="AJ114" s="408">
        <f t="shared" si="71"/>
        <v>0.13669227</v>
      </c>
      <c r="AK114">
        <f t="shared" si="85"/>
        <v>4.8000000000000001E-2</v>
      </c>
      <c r="AL114" s="408">
        <f t="shared" si="72"/>
        <v>0.1215</v>
      </c>
      <c r="AM114" s="408">
        <f t="shared" si="86"/>
        <v>0.31645971316818772</v>
      </c>
      <c r="AN114" s="408">
        <f t="shared" si="114"/>
        <v>0.16949999999999998</v>
      </c>
      <c r="AO114" s="408">
        <f t="shared" si="115"/>
        <v>1.0488930446642739</v>
      </c>
      <c r="AP114">
        <f t="shared" si="74"/>
        <v>16.065000000000001</v>
      </c>
      <c r="AQ114" s="10">
        <f t="shared" si="116"/>
        <v>0.93871102022626607</v>
      </c>
      <c r="AR114" s="63">
        <f t="shared" si="117"/>
        <v>19.627014874897007</v>
      </c>
      <c r="AS114" s="63">
        <f t="shared" si="118"/>
        <v>4.6881418886964372</v>
      </c>
      <c r="AT114" s="10"/>
      <c r="AU114">
        <f t="shared" si="119"/>
        <v>93.871102022626602</v>
      </c>
    </row>
    <row r="115" spans="7:47" x14ac:dyDescent="0.25">
      <c r="G115">
        <v>106</v>
      </c>
      <c r="H115">
        <f t="shared" si="55"/>
        <v>3.18</v>
      </c>
      <c r="I115" s="407">
        <f t="shared" si="97"/>
        <v>0.21395749999999999</v>
      </c>
      <c r="J115" s="408">
        <f t="shared" si="56"/>
        <v>1.3479322499999995</v>
      </c>
      <c r="K115" s="408">
        <f t="shared" si="77"/>
        <v>3.8539661249999999</v>
      </c>
      <c r="L115" s="408">
        <f t="shared" si="98"/>
        <v>2.5060338750000004</v>
      </c>
      <c r="M115" s="63">
        <f t="shared" si="57"/>
        <v>0</v>
      </c>
      <c r="N115" s="407">
        <f t="shared" si="99"/>
        <v>3.2037181699627033</v>
      </c>
      <c r="O115" s="407">
        <f t="shared" si="100"/>
        <v>5.1530610724128324E-2</v>
      </c>
      <c r="P115">
        <f t="shared" si="59"/>
        <v>0.2</v>
      </c>
      <c r="Q115" s="407">
        <f t="shared" si="80"/>
        <v>0.25153061072412836</v>
      </c>
      <c r="R115" s="9">
        <f t="shared" si="101"/>
        <v>0.38911452369343885</v>
      </c>
      <c r="S115" s="9">
        <f t="shared" si="102"/>
        <v>1.5141011254917178E-3</v>
      </c>
      <c r="T115" s="9">
        <f t="shared" si="103"/>
        <v>1.5141011254917178E-3</v>
      </c>
      <c r="U115" s="407">
        <f t="shared" si="104"/>
        <v>1.4818971462809891</v>
      </c>
      <c r="V115" s="409">
        <f t="shared" si="105"/>
        <v>4.3920383043114788E-3</v>
      </c>
      <c r="W115" s="407">
        <f t="shared" si="106"/>
        <v>4.3920383043114788E-3</v>
      </c>
      <c r="X115" s="407">
        <f t="shared" si="107"/>
        <v>1.4818971462809891</v>
      </c>
      <c r="Y115" s="407">
        <f t="shared" si="108"/>
        <v>1.3176114912934436E-2</v>
      </c>
      <c r="Z115" s="407">
        <f t="shared" si="62"/>
        <v>0.23684183612786833</v>
      </c>
      <c r="AA115" s="407">
        <f t="shared" si="63"/>
        <v>0.14400000000000002</v>
      </c>
      <c r="AB115" s="407">
        <f t="shared" si="64"/>
        <v>0</v>
      </c>
      <c r="AC115" s="407">
        <f t="shared" si="109"/>
        <v>0.3950590196488597</v>
      </c>
      <c r="AD115" s="407">
        <f t="shared" si="110"/>
        <v>2.8403857062718494</v>
      </c>
      <c r="AE115" s="407">
        <f t="shared" si="111"/>
        <v>4.8406745762360599E-2</v>
      </c>
      <c r="AF115" s="407">
        <f t="shared" si="67"/>
        <v>4.5791999999999999E-2</v>
      </c>
      <c r="AG115" s="407">
        <f t="shared" si="112"/>
        <v>9.5119632132287982E-2</v>
      </c>
      <c r="AH115" s="407">
        <f t="shared" si="113"/>
        <v>0</v>
      </c>
      <c r="AI115">
        <f t="shared" si="70"/>
        <v>0</v>
      </c>
      <c r="AJ115" s="408">
        <f t="shared" si="71"/>
        <v>0.13669124400000002</v>
      </c>
      <c r="AK115">
        <f t="shared" si="85"/>
        <v>4.8000000000000001E-2</v>
      </c>
      <c r="AL115" s="408">
        <f t="shared" si="72"/>
        <v>0.1215</v>
      </c>
      <c r="AM115" s="408">
        <f t="shared" si="86"/>
        <v>0.31645971316818772</v>
      </c>
      <c r="AN115" s="408">
        <f t="shared" si="114"/>
        <v>0.16949999999999998</v>
      </c>
      <c r="AO115" s="408">
        <f t="shared" si="115"/>
        <v>1.0538066459350792</v>
      </c>
      <c r="AP115">
        <f t="shared" si="74"/>
        <v>16.218</v>
      </c>
      <c r="AQ115" s="10">
        <f t="shared" si="116"/>
        <v>0.93898688958615151</v>
      </c>
      <c r="AR115" s="63">
        <f t="shared" si="117"/>
        <v>19.752950982442986</v>
      </c>
      <c r="AS115" s="63">
        <f t="shared" si="118"/>
        <v>4.7559816066143989</v>
      </c>
      <c r="AT115" s="10"/>
      <c r="AU115">
        <f t="shared" si="119"/>
        <v>93.898688958615153</v>
      </c>
    </row>
    <row r="116" spans="7:47" x14ac:dyDescent="0.25">
      <c r="G116">
        <v>107</v>
      </c>
      <c r="H116">
        <f t="shared" si="55"/>
        <v>3.21</v>
      </c>
      <c r="I116" s="407">
        <f t="shared" si="97"/>
        <v>0.21397124999999997</v>
      </c>
      <c r="J116" s="408">
        <f t="shared" si="56"/>
        <v>1.3480188749999997</v>
      </c>
      <c r="K116" s="408">
        <f t="shared" si="77"/>
        <v>3.8840094374999996</v>
      </c>
      <c r="L116" s="408">
        <f t="shared" si="98"/>
        <v>2.5359905625000003</v>
      </c>
      <c r="M116" s="63">
        <f t="shared" si="57"/>
        <v>0</v>
      </c>
      <c r="N116" s="407">
        <f t="shared" si="99"/>
        <v>3.2335011325104488</v>
      </c>
      <c r="O116" s="407">
        <f t="shared" si="100"/>
        <v>5.2497202290169499E-2</v>
      </c>
      <c r="P116">
        <f t="shared" si="59"/>
        <v>0.2</v>
      </c>
      <c r="Q116" s="407">
        <f t="shared" si="80"/>
        <v>0.25249720229016953</v>
      </c>
      <c r="R116" s="9">
        <f t="shared" si="101"/>
        <v>0.38913953017697317</v>
      </c>
      <c r="S116" s="9">
        <f t="shared" si="102"/>
        <v>1.5142957394635543E-3</v>
      </c>
      <c r="T116" s="9">
        <f t="shared" si="103"/>
        <v>1.5142957394635543E-3</v>
      </c>
      <c r="U116" s="407">
        <f t="shared" si="104"/>
        <v>1.4957214755258643</v>
      </c>
      <c r="V116" s="409">
        <f t="shared" si="105"/>
        <v>4.4743654646985376E-3</v>
      </c>
      <c r="W116" s="407">
        <f t="shared" si="106"/>
        <v>4.4743654646985376E-3</v>
      </c>
      <c r="X116" s="407">
        <f t="shared" si="107"/>
        <v>1.4957214755258643</v>
      </c>
      <c r="Y116" s="407">
        <f t="shared" si="108"/>
        <v>1.3423096394095611E-2</v>
      </c>
      <c r="Z116" s="407">
        <f t="shared" si="62"/>
        <v>0.23909007547788677</v>
      </c>
      <c r="AA116" s="407">
        <f t="shared" si="63"/>
        <v>0.14400000000000002</v>
      </c>
      <c r="AB116" s="407">
        <f t="shared" si="64"/>
        <v>0</v>
      </c>
      <c r="AC116" s="407">
        <f t="shared" si="109"/>
        <v>0.39758052421216539</v>
      </c>
      <c r="AD116" s="407">
        <f t="shared" si="110"/>
        <v>2.8667659202657418</v>
      </c>
      <c r="AE116" s="407">
        <f t="shared" si="111"/>
        <v>4.9310081049582517E-2</v>
      </c>
      <c r="AF116" s="407">
        <f t="shared" si="67"/>
        <v>4.6224000000000001E-2</v>
      </c>
      <c r="AG116" s="407">
        <f t="shared" si="112"/>
        <v>9.6485623835875847E-2</v>
      </c>
      <c r="AH116" s="407">
        <f t="shared" si="113"/>
        <v>0</v>
      </c>
      <c r="AI116">
        <f t="shared" si="70"/>
        <v>0</v>
      </c>
      <c r="AJ116" s="408">
        <f t="shared" si="71"/>
        <v>0.136690218</v>
      </c>
      <c r="AK116">
        <f t="shared" si="85"/>
        <v>4.8000000000000001E-2</v>
      </c>
      <c r="AL116" s="408">
        <f t="shared" si="72"/>
        <v>0.1215</v>
      </c>
      <c r="AM116" s="408">
        <f t="shared" si="86"/>
        <v>0.31645971316818772</v>
      </c>
      <c r="AN116" s="408">
        <f t="shared" si="114"/>
        <v>0.16949999999999998</v>
      </c>
      <c r="AO116" s="408">
        <f t="shared" si="115"/>
        <v>1.0587422295423727</v>
      </c>
      <c r="AP116">
        <f t="shared" si="74"/>
        <v>16.370999999999999</v>
      </c>
      <c r="AQ116" s="10">
        <f t="shared" si="116"/>
        <v>0.93925657559365006</v>
      </c>
      <c r="AR116" s="63">
        <f t="shared" si="117"/>
        <v>19.87902621060827</v>
      </c>
      <c r="AS116" s="63">
        <f t="shared" si="118"/>
        <v>4.8242811917937924</v>
      </c>
      <c r="AT116" s="10"/>
      <c r="AU116">
        <f t="shared" si="119"/>
        <v>93.925657559365007</v>
      </c>
    </row>
    <row r="117" spans="7:47" x14ac:dyDescent="0.25">
      <c r="G117">
        <v>108</v>
      </c>
      <c r="H117">
        <f t="shared" si="55"/>
        <v>3.24</v>
      </c>
      <c r="I117" s="407">
        <f t="shared" si="97"/>
        <v>0.21398500000000001</v>
      </c>
      <c r="J117" s="408">
        <f t="shared" si="56"/>
        <v>1.3481054999999997</v>
      </c>
      <c r="K117" s="408">
        <f t="shared" si="77"/>
        <v>3.9140527500000002</v>
      </c>
      <c r="L117" s="408">
        <f t="shared" si="98"/>
        <v>2.5659472500000002</v>
      </c>
      <c r="M117" s="63">
        <f t="shared" si="57"/>
        <v>0</v>
      </c>
      <c r="N117" s="407">
        <f t="shared" si="99"/>
        <v>3.2632880713467802</v>
      </c>
      <c r="O117" s="407">
        <f t="shared" si="100"/>
        <v>5.3473019907422516E-2</v>
      </c>
      <c r="P117">
        <f t="shared" si="59"/>
        <v>0.2</v>
      </c>
      <c r="Q117" s="407">
        <f t="shared" si="80"/>
        <v>0.25347301990742255</v>
      </c>
      <c r="R117" s="9">
        <f t="shared" si="101"/>
        <v>0.38916453666050749</v>
      </c>
      <c r="S117" s="9">
        <f t="shared" si="102"/>
        <v>1.514490365941875E-3</v>
      </c>
      <c r="T117" s="9">
        <f t="shared" si="103"/>
        <v>1.514490365941875E-3</v>
      </c>
      <c r="U117" s="407">
        <f t="shared" si="104"/>
        <v>1.5095485279034946</v>
      </c>
      <c r="V117" s="409">
        <f t="shared" si="105"/>
        <v>4.557473516191215E-3</v>
      </c>
      <c r="W117" s="407">
        <f t="shared" si="106"/>
        <v>4.557473516191215E-3</v>
      </c>
      <c r="X117" s="407">
        <f t="shared" si="107"/>
        <v>1.5095485279034946</v>
      </c>
      <c r="Y117" s="407">
        <f t="shared" si="108"/>
        <v>1.3672420548573646E-2</v>
      </c>
      <c r="Z117" s="407">
        <f t="shared" si="62"/>
        <v>0.2413383148279053</v>
      </c>
      <c r="AA117" s="407">
        <f t="shared" si="63"/>
        <v>0.14400000000000002</v>
      </c>
      <c r="AB117" s="407">
        <f t="shared" si="64"/>
        <v>0</v>
      </c>
      <c r="AC117" s="407">
        <f t="shared" si="109"/>
        <v>0.40010481563705885</v>
      </c>
      <c r="AD117" s="407">
        <f t="shared" si="110"/>
        <v>2.893149197414226</v>
      </c>
      <c r="AE117" s="407">
        <f t="shared" si="111"/>
        <v>5.0221873670991485E-2</v>
      </c>
      <c r="AF117" s="407">
        <f t="shared" si="67"/>
        <v>4.6656000000000003E-2</v>
      </c>
      <c r="AG117" s="407">
        <f t="shared" si="112"/>
        <v>9.786082446370252E-2</v>
      </c>
      <c r="AH117" s="407">
        <f t="shared" si="113"/>
        <v>0</v>
      </c>
      <c r="AI117">
        <f t="shared" si="70"/>
        <v>0</v>
      </c>
      <c r="AJ117" s="408">
        <f t="shared" si="71"/>
        <v>0.13668919200000001</v>
      </c>
      <c r="AK117">
        <f t="shared" si="85"/>
        <v>4.8000000000000001E-2</v>
      </c>
      <c r="AL117" s="408">
        <f t="shared" si="72"/>
        <v>0.1215</v>
      </c>
      <c r="AM117" s="408">
        <f t="shared" si="86"/>
        <v>0.31645971316818772</v>
      </c>
      <c r="AN117" s="408">
        <f t="shared" si="114"/>
        <v>0.16949999999999998</v>
      </c>
      <c r="AO117" s="408">
        <f t="shared" si="115"/>
        <v>1.063699815890317</v>
      </c>
      <c r="AP117">
        <f t="shared" si="74"/>
        <v>16.524000000000001</v>
      </c>
      <c r="AQ117" s="10">
        <f t="shared" si="116"/>
        <v>0.93952024272501655</v>
      </c>
      <c r="AR117" s="63">
        <f t="shared" si="117"/>
        <v>20.005240781852944</v>
      </c>
      <c r="AS117" s="63">
        <f t="shared" si="118"/>
        <v>4.8930412231851257</v>
      </c>
      <c r="AT117" s="10"/>
      <c r="AU117">
        <f t="shared" si="119"/>
        <v>93.95202427250166</v>
      </c>
    </row>
    <row r="118" spans="7:47" x14ac:dyDescent="0.25">
      <c r="G118">
        <v>109</v>
      </c>
      <c r="H118">
        <f t="shared" si="55"/>
        <v>3.2700000000000005</v>
      </c>
      <c r="I118" s="407">
        <f t="shared" si="97"/>
        <v>0.21399874999999999</v>
      </c>
      <c r="J118" s="408">
        <f t="shared" si="56"/>
        <v>1.3481921249999995</v>
      </c>
      <c r="K118" s="408">
        <f t="shared" si="77"/>
        <v>3.9440960625000003</v>
      </c>
      <c r="L118" s="408">
        <f t="shared" si="98"/>
        <v>2.5959039375000006</v>
      </c>
      <c r="M118" s="63">
        <f t="shared" si="57"/>
        <v>0</v>
      </c>
      <c r="N118" s="407">
        <f t="shared" si="99"/>
        <v>3.2930788785713396</v>
      </c>
      <c r="O118" s="407">
        <f t="shared" si="100"/>
        <v>5.4458067844676362E-2</v>
      </c>
      <c r="P118">
        <f t="shared" si="59"/>
        <v>0.2</v>
      </c>
      <c r="Q118" s="407">
        <f t="shared" si="80"/>
        <v>0.25445806784467639</v>
      </c>
      <c r="R118" s="9">
        <f t="shared" si="101"/>
        <v>0.38918954314404169</v>
      </c>
      <c r="S118" s="9">
        <f t="shared" si="102"/>
        <v>1.5146850049266788E-3</v>
      </c>
      <c r="T118" s="9">
        <f t="shared" si="103"/>
        <v>1.5146850049266788E-3</v>
      </c>
      <c r="U118" s="407">
        <f t="shared" si="104"/>
        <v>1.5233782536339442</v>
      </c>
      <c r="V118" s="409">
        <f t="shared" si="105"/>
        <v>4.6413626072896114E-3</v>
      </c>
      <c r="W118" s="407">
        <f t="shared" si="106"/>
        <v>4.6413626072896114E-3</v>
      </c>
      <c r="X118" s="407">
        <f t="shared" si="107"/>
        <v>1.5233782536339442</v>
      </c>
      <c r="Y118" s="407">
        <f t="shared" si="108"/>
        <v>1.3924087821868835E-2</v>
      </c>
      <c r="Z118" s="407">
        <f t="shared" si="62"/>
        <v>0.24358655417792383</v>
      </c>
      <c r="AA118" s="407">
        <f t="shared" si="63"/>
        <v>0.14400000000000002</v>
      </c>
      <c r="AB118" s="407">
        <f t="shared" si="64"/>
        <v>0</v>
      </c>
      <c r="AC118" s="407">
        <f t="shared" si="109"/>
        <v>0.40263189838238511</v>
      </c>
      <c r="AD118" s="407">
        <f t="shared" si="110"/>
        <v>2.9195354419578239</v>
      </c>
      <c r="AE118" s="407">
        <f t="shared" si="111"/>
        <v>5.1142123181087198E-2</v>
      </c>
      <c r="AF118" s="407">
        <f t="shared" si="67"/>
        <v>4.7088000000000005E-2</v>
      </c>
      <c r="AG118" s="407">
        <f t="shared" si="112"/>
        <v>9.9245245697203929E-2</v>
      </c>
      <c r="AH118" s="407">
        <f t="shared" si="113"/>
        <v>0</v>
      </c>
      <c r="AI118">
        <f t="shared" si="70"/>
        <v>0</v>
      </c>
      <c r="AJ118" s="408">
        <f t="shared" si="71"/>
        <v>0.136688166</v>
      </c>
      <c r="AK118">
        <f t="shared" si="85"/>
        <v>4.8000000000000001E-2</v>
      </c>
      <c r="AL118" s="408">
        <f t="shared" si="72"/>
        <v>0.1215</v>
      </c>
      <c r="AM118" s="408">
        <f t="shared" si="86"/>
        <v>0.31645971316818772</v>
      </c>
      <c r="AN118" s="408">
        <f t="shared" si="114"/>
        <v>0.16949999999999998</v>
      </c>
      <c r="AO118" s="408">
        <f t="shared" si="115"/>
        <v>1.0686794255364815</v>
      </c>
      <c r="AP118">
        <f t="shared" si="74"/>
        <v>16.677</v>
      </c>
      <c r="AQ118" s="10">
        <f t="shared" si="116"/>
        <v>0.93977804963620482</v>
      </c>
      <c r="AR118" s="63">
        <f t="shared" si="117"/>
        <v>20.131594919119255</v>
      </c>
      <c r="AS118" s="63">
        <f t="shared" si="118"/>
        <v>4.9622622848601967</v>
      </c>
      <c r="AT118" s="10"/>
      <c r="AU118">
        <f t="shared" si="119"/>
        <v>93.977804963620486</v>
      </c>
    </row>
    <row r="119" spans="7:47" x14ac:dyDescent="0.25">
      <c r="G119">
        <v>110</v>
      </c>
      <c r="H119">
        <f t="shared" si="55"/>
        <v>3.3000000000000003</v>
      </c>
      <c r="I119" s="407">
        <f t="shared" si="97"/>
        <v>0.21401249999999997</v>
      </c>
      <c r="J119" s="408">
        <f t="shared" si="56"/>
        <v>1.3482787499999995</v>
      </c>
      <c r="K119" s="408">
        <f t="shared" si="77"/>
        <v>3.974139375</v>
      </c>
      <c r="L119" s="408">
        <f t="shared" si="98"/>
        <v>2.6258606250000005</v>
      </c>
      <c r="M119" s="63">
        <f t="shared" si="57"/>
        <v>0</v>
      </c>
      <c r="N119" s="407">
        <f t="shared" si="99"/>
        <v>3.3228734501394723</v>
      </c>
      <c r="O119" s="407">
        <f t="shared" si="100"/>
        <v>5.5452350412105722E-2</v>
      </c>
      <c r="P119">
        <f t="shared" si="59"/>
        <v>0.2</v>
      </c>
      <c r="Q119" s="407">
        <f t="shared" si="80"/>
        <v>0.25545235041210573</v>
      </c>
      <c r="R119" s="9">
        <f t="shared" si="101"/>
        <v>0.38921454962757596</v>
      </c>
      <c r="S119" s="9">
        <f t="shared" si="102"/>
        <v>1.5148796564179679E-3</v>
      </c>
      <c r="T119" s="9">
        <f t="shared" si="103"/>
        <v>1.5148796564179679E-3</v>
      </c>
      <c r="U119" s="407">
        <f t="shared" si="104"/>
        <v>1.5372106047145639</v>
      </c>
      <c r="V119" s="409">
        <f t="shared" si="105"/>
        <v>4.7260328864938304E-3</v>
      </c>
      <c r="W119" s="407">
        <f t="shared" si="106"/>
        <v>4.7260328864938304E-3</v>
      </c>
      <c r="X119" s="407">
        <f t="shared" si="107"/>
        <v>1.5372106047145639</v>
      </c>
      <c r="Y119" s="407">
        <f t="shared" si="108"/>
        <v>1.4178098659481492E-2</v>
      </c>
      <c r="Z119" s="407">
        <f t="shared" si="62"/>
        <v>0.24583479352794235</v>
      </c>
      <c r="AA119" s="407">
        <f t="shared" si="63"/>
        <v>0.14400000000000002</v>
      </c>
      <c r="AB119" s="407">
        <f t="shared" si="64"/>
        <v>0</v>
      </c>
      <c r="AC119" s="407">
        <f t="shared" si="109"/>
        <v>0.40516177691665889</v>
      </c>
      <c r="AD119" s="407">
        <f t="shared" si="110"/>
        <v>2.9459245615587113</v>
      </c>
      <c r="AE119" s="407">
        <f t="shared" si="111"/>
        <v>5.2070829134369306E-2</v>
      </c>
      <c r="AF119" s="407">
        <f t="shared" si="67"/>
        <v>4.752E-2</v>
      </c>
      <c r="AG119" s="407">
        <f t="shared" si="112"/>
        <v>0.10063889932052734</v>
      </c>
      <c r="AH119" s="407">
        <f t="shared" si="113"/>
        <v>0</v>
      </c>
      <c r="AI119">
        <f t="shared" si="70"/>
        <v>0</v>
      </c>
      <c r="AJ119" s="408">
        <f t="shared" si="71"/>
        <v>0.13668714000000001</v>
      </c>
      <c r="AK119">
        <f t="shared" si="85"/>
        <v>4.8000000000000001E-2</v>
      </c>
      <c r="AL119" s="408">
        <f t="shared" si="72"/>
        <v>0.1215</v>
      </c>
      <c r="AM119" s="408">
        <f t="shared" si="86"/>
        <v>0.31645971316818772</v>
      </c>
      <c r="AN119" s="408">
        <f t="shared" si="114"/>
        <v>0.16949999999999998</v>
      </c>
      <c r="AO119" s="408">
        <f t="shared" si="115"/>
        <v>1.0736810791922038</v>
      </c>
      <c r="AP119">
        <f t="shared" si="74"/>
        <v>16.830000000000002</v>
      </c>
      <c r="AQ119" s="10">
        <f t="shared" si="116"/>
        <v>0.9400301494177058</v>
      </c>
      <c r="AR119" s="63">
        <f t="shared" si="117"/>
        <v>20.258088845832944</v>
      </c>
      <c r="AS119" s="63">
        <f t="shared" si="118"/>
        <v>5.0319449660263675</v>
      </c>
      <c r="AT119" s="10"/>
      <c r="AU119">
        <f t="shared" si="119"/>
        <v>94.003014941770573</v>
      </c>
    </row>
    <row r="120" spans="7:47" x14ac:dyDescent="0.25">
      <c r="G120">
        <v>111</v>
      </c>
      <c r="H120">
        <f t="shared" si="55"/>
        <v>3.33</v>
      </c>
      <c r="I120" s="407">
        <f t="shared" si="97"/>
        <v>0.21402625</v>
      </c>
      <c r="J120" s="408">
        <f t="shared" si="56"/>
        <v>1.3483653749999998</v>
      </c>
      <c r="K120" s="408">
        <f t="shared" si="77"/>
        <v>4.0041826875000002</v>
      </c>
      <c r="L120" s="408">
        <f t="shared" si="98"/>
        <v>2.6558173125</v>
      </c>
      <c r="M120" s="63">
        <f t="shared" si="57"/>
        <v>0</v>
      </c>
      <c r="N120" s="407">
        <f t="shared" si="99"/>
        <v>3.3526716856921102</v>
      </c>
      <c r="O120" s="407">
        <f t="shared" si="100"/>
        <v>5.6455871961318432E-2</v>
      </c>
      <c r="P120">
        <f t="shared" si="59"/>
        <v>0.2</v>
      </c>
      <c r="Q120" s="407">
        <f t="shared" si="80"/>
        <v>0.25645587196131847</v>
      </c>
      <c r="R120" s="9">
        <f t="shared" si="101"/>
        <v>0.38923955611111027</v>
      </c>
      <c r="S120" s="9">
        <f t="shared" si="102"/>
        <v>1.5150743204157416E-3</v>
      </c>
      <c r="T120" s="9">
        <f t="shared" si="103"/>
        <v>1.5150743204157416E-3</v>
      </c>
      <c r="U120" s="407">
        <f t="shared" si="104"/>
        <v>1.5510455348415753</v>
      </c>
      <c r="V120" s="409">
        <f t="shared" si="105"/>
        <v>4.8114845023039766E-3</v>
      </c>
      <c r="W120" s="407">
        <f t="shared" si="106"/>
        <v>4.8114845023039766E-3</v>
      </c>
      <c r="X120" s="407">
        <f t="shared" si="107"/>
        <v>1.5510455348415753</v>
      </c>
      <c r="Y120" s="407">
        <f t="shared" si="108"/>
        <v>1.4434453506911929E-2</v>
      </c>
      <c r="Z120" s="407">
        <f t="shared" si="62"/>
        <v>0.2480830328779608</v>
      </c>
      <c r="AA120" s="407">
        <f t="shared" si="63"/>
        <v>0.14400000000000002</v>
      </c>
      <c r="AB120" s="407">
        <f t="shared" si="64"/>
        <v>0</v>
      </c>
      <c r="AC120" s="407">
        <f t="shared" si="109"/>
        <v>0.40769445571809043</v>
      </c>
      <c r="AD120" s="407">
        <f t="shared" si="110"/>
        <v>2.9723164671497528</v>
      </c>
      <c r="AE120" s="407">
        <f t="shared" si="111"/>
        <v>5.3007991085337526E-2</v>
      </c>
      <c r="AF120" s="407">
        <f t="shared" si="67"/>
        <v>4.7952000000000002E-2</v>
      </c>
      <c r="AG120" s="407">
        <f t="shared" si="112"/>
        <v>0.10204179722082014</v>
      </c>
      <c r="AH120" s="407">
        <f t="shared" si="113"/>
        <v>0</v>
      </c>
      <c r="AI120">
        <f t="shared" si="70"/>
        <v>0</v>
      </c>
      <c r="AJ120" s="408">
        <f t="shared" si="71"/>
        <v>0.136686114</v>
      </c>
      <c r="AK120">
        <f t="shared" si="85"/>
        <v>4.8000000000000001E-2</v>
      </c>
      <c r="AL120" s="408">
        <f t="shared" si="72"/>
        <v>0.1215</v>
      </c>
      <c r="AM120" s="408">
        <f t="shared" si="86"/>
        <v>0.31645971316818772</v>
      </c>
      <c r="AN120" s="408">
        <f t="shared" si="114"/>
        <v>0.16949999999999998</v>
      </c>
      <c r="AO120" s="408">
        <f t="shared" si="115"/>
        <v>1.0787047977229487</v>
      </c>
      <c r="AP120">
        <f t="shared" si="74"/>
        <v>16.983000000000001</v>
      </c>
      <c r="AQ120" s="10">
        <f t="shared" si="116"/>
        <v>0.94027668983611434</v>
      </c>
      <c r="AR120" s="63">
        <f t="shared" si="117"/>
        <v>20.384722785904522</v>
      </c>
      <c r="AS120" s="63">
        <f t="shared" si="118"/>
        <v>5.1020898610410068</v>
      </c>
      <c r="AT120" s="10"/>
      <c r="AU120">
        <f t="shared" si="119"/>
        <v>94.027668983611434</v>
      </c>
    </row>
    <row r="121" spans="7:47" x14ac:dyDescent="0.25">
      <c r="G121">
        <v>112</v>
      </c>
      <c r="H121">
        <f t="shared" si="55"/>
        <v>3.3600000000000003</v>
      </c>
      <c r="I121" s="407">
        <f t="shared" si="97"/>
        <v>0.21403999999999998</v>
      </c>
      <c r="J121" s="408">
        <f t="shared" si="56"/>
        <v>1.3484519999999995</v>
      </c>
      <c r="K121" s="408">
        <f t="shared" si="77"/>
        <v>4.0342260000000003</v>
      </c>
      <c r="L121" s="408">
        <f t="shared" si="98"/>
        <v>2.6857740000000003</v>
      </c>
      <c r="M121" s="63">
        <f t="shared" si="57"/>
        <v>0</v>
      </c>
      <c r="N121" s="407">
        <f t="shared" si="99"/>
        <v>3.3824734883945506</v>
      </c>
      <c r="O121" s="407">
        <f t="shared" si="100"/>
        <v>5.7468636885403289E-2</v>
      </c>
      <c r="P121">
        <f t="shared" si="59"/>
        <v>0.2</v>
      </c>
      <c r="Q121" s="407">
        <f t="shared" si="80"/>
        <v>0.25746863688540328</v>
      </c>
      <c r="R121" s="9">
        <f t="shared" si="101"/>
        <v>0.38926456259464454</v>
      </c>
      <c r="S121" s="9">
        <f t="shared" si="102"/>
        <v>1.5152689969199992E-3</v>
      </c>
      <c r="T121" s="9">
        <f t="shared" si="103"/>
        <v>1.5152689969199992E-3</v>
      </c>
      <c r="U121" s="407">
        <f t="shared" si="104"/>
        <v>1.5648829993357571</v>
      </c>
      <c r="V121" s="409">
        <f t="shared" si="105"/>
        <v>4.8977176032201503E-3</v>
      </c>
      <c r="W121" s="407">
        <f t="shared" si="106"/>
        <v>4.8977176032201503E-3</v>
      </c>
      <c r="X121" s="407">
        <f t="shared" si="107"/>
        <v>1.5648829993357571</v>
      </c>
      <c r="Y121" s="407">
        <f t="shared" si="108"/>
        <v>1.4693152809660451E-2</v>
      </c>
      <c r="Z121" s="407">
        <f t="shared" si="62"/>
        <v>0.2503312722279793</v>
      </c>
      <c r="AA121" s="407">
        <f t="shared" si="63"/>
        <v>0.14400000000000002</v>
      </c>
      <c r="AB121" s="407">
        <f t="shared" si="64"/>
        <v>0</v>
      </c>
      <c r="AC121" s="407">
        <f t="shared" si="109"/>
        <v>0.41022993927461165</v>
      </c>
      <c r="AD121" s="407">
        <f t="shared" si="110"/>
        <v>2.9987110727914295</v>
      </c>
      <c r="AE121" s="407">
        <f t="shared" si="111"/>
        <v>5.3953608588491554E-2</v>
      </c>
      <c r="AF121" s="407">
        <f t="shared" si="67"/>
        <v>4.8384000000000003E-2</v>
      </c>
      <c r="AG121" s="407">
        <f t="shared" si="112"/>
        <v>0.10345395138852138</v>
      </c>
      <c r="AH121" s="407">
        <f t="shared" si="113"/>
        <v>0</v>
      </c>
      <c r="AI121">
        <f t="shared" si="70"/>
        <v>0</v>
      </c>
      <c r="AJ121" s="408">
        <f t="shared" si="71"/>
        <v>0.13668508800000001</v>
      </c>
      <c r="AK121">
        <f t="shared" si="85"/>
        <v>4.8000000000000001E-2</v>
      </c>
      <c r="AL121" s="408">
        <f t="shared" si="72"/>
        <v>0.1215</v>
      </c>
      <c r="AM121" s="408">
        <f t="shared" si="86"/>
        <v>0.31645971316818772</v>
      </c>
      <c r="AN121" s="408">
        <f t="shared" si="114"/>
        <v>0.16949999999999998</v>
      </c>
      <c r="AO121" s="408">
        <f t="shared" si="115"/>
        <v>1.0837506021486765</v>
      </c>
      <c r="AP121">
        <f t="shared" si="74"/>
        <v>17.135999999999999</v>
      </c>
      <c r="AQ121" s="10">
        <f t="shared" si="116"/>
        <v>0.94051781356321817</v>
      </c>
      <c r="AR121" s="63">
        <f t="shared" si="117"/>
        <v>20.511496963730583</v>
      </c>
      <c r="AS121" s="63">
        <f t="shared" si="118"/>
        <v>5.1726975694260693</v>
      </c>
      <c r="AT121" s="10"/>
      <c r="AU121">
        <f t="shared" si="119"/>
        <v>94.051781356321811</v>
      </c>
    </row>
    <row r="122" spans="7:47" x14ac:dyDescent="0.25">
      <c r="G122">
        <v>113</v>
      </c>
      <c r="H122">
        <f t="shared" si="55"/>
        <v>3.3899999999999997</v>
      </c>
      <c r="I122" s="407">
        <f t="shared" si="97"/>
        <v>0.21405374999999996</v>
      </c>
      <c r="J122" s="408">
        <f t="shared" si="56"/>
        <v>1.3485386249999995</v>
      </c>
      <c r="K122" s="408">
        <f t="shared" si="77"/>
        <v>4.0642693124999996</v>
      </c>
      <c r="L122" s="408">
        <f t="shared" si="98"/>
        <v>2.7157306874999998</v>
      </c>
      <c r="M122" s="63">
        <f t="shared" si="57"/>
        <v>0</v>
      </c>
      <c r="N122" s="407">
        <f t="shared" si="99"/>
        <v>3.412278764783597</v>
      </c>
      <c r="O122" s="407">
        <f t="shared" si="100"/>
        <v>5.849064961897843E-2</v>
      </c>
      <c r="P122">
        <f t="shared" si="59"/>
        <v>0.2</v>
      </c>
      <c r="Q122" s="407">
        <f t="shared" si="80"/>
        <v>0.25849064961897844</v>
      </c>
      <c r="R122" s="9">
        <f t="shared" si="101"/>
        <v>0.3892895690781788</v>
      </c>
      <c r="S122" s="9">
        <f t="shared" si="102"/>
        <v>1.5154636859307413E-3</v>
      </c>
      <c r="T122" s="9">
        <f t="shared" si="103"/>
        <v>1.5154636859307413E-3</v>
      </c>
      <c r="U122" s="407">
        <f t="shared" si="104"/>
        <v>1.5787229550719875</v>
      </c>
      <c r="V122" s="409">
        <f t="shared" si="105"/>
        <v>4.9847323377424577E-3</v>
      </c>
      <c r="W122" s="407">
        <f t="shared" si="106"/>
        <v>4.9847323377424577E-3</v>
      </c>
      <c r="X122" s="407">
        <f t="shared" si="107"/>
        <v>1.5787229550719875</v>
      </c>
      <c r="Y122" s="407">
        <f t="shared" si="108"/>
        <v>1.4954197013227373E-2</v>
      </c>
      <c r="Z122" s="407">
        <f t="shared" si="62"/>
        <v>0.25257951157799785</v>
      </c>
      <c r="AA122" s="407">
        <f t="shared" si="63"/>
        <v>0.14400000000000002</v>
      </c>
      <c r="AB122" s="407">
        <f t="shared" si="64"/>
        <v>0</v>
      </c>
      <c r="AC122" s="407">
        <f t="shared" si="109"/>
        <v>0.41276823208390206</v>
      </c>
      <c r="AD122" s="407">
        <f t="shared" si="110"/>
        <v>3.0251082955361852</v>
      </c>
      <c r="AE122" s="407">
        <f t="shared" si="111"/>
        <v>5.4907681198331067E-2</v>
      </c>
      <c r="AF122" s="407">
        <f t="shared" si="67"/>
        <v>4.8815999999999991E-2</v>
      </c>
      <c r="AG122" s="407">
        <f t="shared" si="112"/>
        <v>0.10487537391765635</v>
      </c>
      <c r="AH122" s="407">
        <f t="shared" si="113"/>
        <v>0</v>
      </c>
      <c r="AI122">
        <f t="shared" si="70"/>
        <v>0</v>
      </c>
      <c r="AJ122" s="408">
        <f t="shared" si="71"/>
        <v>0.136684062</v>
      </c>
      <c r="AK122">
        <f t="shared" si="85"/>
        <v>4.8000000000000001E-2</v>
      </c>
      <c r="AL122" s="408">
        <f t="shared" si="72"/>
        <v>0.1215</v>
      </c>
      <c r="AM122" s="408">
        <f t="shared" si="86"/>
        <v>0.31645971316818772</v>
      </c>
      <c r="AN122" s="408">
        <f t="shared" si="114"/>
        <v>0.16949999999999998</v>
      </c>
      <c r="AO122" s="408">
        <f t="shared" si="115"/>
        <v>1.0888185136442101</v>
      </c>
      <c r="AP122">
        <f t="shared" si="74"/>
        <v>17.288999999999998</v>
      </c>
      <c r="AQ122" s="10">
        <f t="shared" si="116"/>
        <v>0.94075365839335934</v>
      </c>
      <c r="AR122" s="63">
        <f t="shared" si="117"/>
        <v>20.638411604195102</v>
      </c>
      <c r="AS122" s="63">
        <f t="shared" si="118"/>
        <v>5.2437686958828174</v>
      </c>
      <c r="AT122" s="10"/>
      <c r="AU122">
        <f t="shared" si="119"/>
        <v>94.07536583933593</v>
      </c>
    </row>
    <row r="123" spans="7:47" x14ac:dyDescent="0.25">
      <c r="G123">
        <v>114</v>
      </c>
      <c r="H123">
        <f t="shared" si="55"/>
        <v>3.42</v>
      </c>
      <c r="I123" s="407">
        <f t="shared" si="97"/>
        <v>0.21406749999999999</v>
      </c>
      <c r="J123" s="408">
        <f t="shared" si="56"/>
        <v>1.3486252499999996</v>
      </c>
      <c r="K123" s="408">
        <f t="shared" si="77"/>
        <v>4.0943126249999997</v>
      </c>
      <c r="L123" s="408">
        <f t="shared" si="98"/>
        <v>2.7456873750000002</v>
      </c>
      <c r="M123" s="63">
        <f t="shared" si="57"/>
        <v>0</v>
      </c>
      <c r="N123" s="407">
        <f t="shared" si="99"/>
        <v>3.4420874246225641</v>
      </c>
      <c r="O123" s="407">
        <f t="shared" si="100"/>
        <v>5.9521914638240206E-2</v>
      </c>
      <c r="P123">
        <f t="shared" si="59"/>
        <v>0.2</v>
      </c>
      <c r="Q123" s="407">
        <f t="shared" si="80"/>
        <v>0.2595219146382402</v>
      </c>
      <c r="R123" s="9">
        <f t="shared" si="101"/>
        <v>0.38931457556171306</v>
      </c>
      <c r="S123" s="9">
        <f t="shared" si="102"/>
        <v>1.5156583874479678E-3</v>
      </c>
      <c r="T123" s="9">
        <f t="shared" si="103"/>
        <v>1.5156583874479678E-3</v>
      </c>
      <c r="U123" s="407">
        <f t="shared" si="104"/>
        <v>1.5925653604124075</v>
      </c>
      <c r="V123" s="409">
        <f t="shared" si="105"/>
        <v>5.0725288543710025E-3</v>
      </c>
      <c r="W123" s="407">
        <f t="shared" si="106"/>
        <v>5.0725288543710025E-3</v>
      </c>
      <c r="X123" s="407">
        <f t="shared" si="107"/>
        <v>1.5925653604124075</v>
      </c>
      <c r="Y123" s="407">
        <f t="shared" si="108"/>
        <v>1.5217586563113008E-2</v>
      </c>
      <c r="Z123" s="407">
        <f t="shared" si="62"/>
        <v>0.25482775092801635</v>
      </c>
      <c r="AA123" s="407">
        <f t="shared" si="63"/>
        <v>0.14400000000000002</v>
      </c>
      <c r="AB123" s="407">
        <f t="shared" si="64"/>
        <v>0</v>
      </c>
      <c r="AC123" s="407">
        <f t="shared" si="109"/>
        <v>0.41530933865341491</v>
      </c>
      <c r="AD123" s="407">
        <f t="shared" si="110"/>
        <v>3.0515080552997551</v>
      </c>
      <c r="AE123" s="407">
        <f t="shared" si="111"/>
        <v>5.587020846935576E-2</v>
      </c>
      <c r="AF123" s="407">
        <f t="shared" si="67"/>
        <v>4.9248E-2</v>
      </c>
      <c r="AG123" s="407">
        <f t="shared" si="112"/>
        <v>0.10630607700613419</v>
      </c>
      <c r="AH123" s="407">
        <f t="shared" si="113"/>
        <v>0</v>
      </c>
      <c r="AI123">
        <f t="shared" si="70"/>
        <v>0</v>
      </c>
      <c r="AJ123" s="408">
        <f t="shared" si="71"/>
        <v>0.13668303600000001</v>
      </c>
      <c r="AK123">
        <f t="shared" si="85"/>
        <v>4.8000000000000001E-2</v>
      </c>
      <c r="AL123" s="408">
        <f t="shared" si="72"/>
        <v>0.1215</v>
      </c>
      <c r="AM123" s="408">
        <f t="shared" si="86"/>
        <v>0.31645971316818772</v>
      </c>
      <c r="AN123" s="408">
        <f t="shared" si="114"/>
        <v>0.16949999999999998</v>
      </c>
      <c r="AO123" s="408">
        <f t="shared" si="115"/>
        <v>1.0939085535396083</v>
      </c>
      <c r="AP123">
        <f t="shared" si="74"/>
        <v>17.442</v>
      </c>
      <c r="AQ123" s="10">
        <f t="shared" si="116"/>
        <v>0.94098435744976106</v>
      </c>
      <c r="AR123" s="63">
        <f t="shared" si="117"/>
        <v>20.765466932670744</v>
      </c>
      <c r="AS123" s="63">
        <f t="shared" si="118"/>
        <v>5.3153038503067096</v>
      </c>
      <c r="AT123" s="10"/>
      <c r="AU123">
        <f t="shared" si="119"/>
        <v>94.098435744976101</v>
      </c>
    </row>
    <row r="124" spans="7:47" x14ac:dyDescent="0.25">
      <c r="G124">
        <v>115</v>
      </c>
      <c r="H124">
        <f t="shared" si="55"/>
        <v>3.4499999999999997</v>
      </c>
      <c r="I124" s="407">
        <f t="shared" si="97"/>
        <v>0.21408124999999997</v>
      </c>
      <c r="J124" s="408">
        <f t="shared" si="56"/>
        <v>1.3487118749999993</v>
      </c>
      <c r="K124" s="408">
        <f t="shared" si="77"/>
        <v>4.124355937499999</v>
      </c>
      <c r="L124" s="408">
        <f t="shared" si="98"/>
        <v>2.7756440625000001</v>
      </c>
      <c r="M124" s="63">
        <f t="shared" si="57"/>
        <v>0</v>
      </c>
      <c r="N124" s="407">
        <f t="shared" si="99"/>
        <v>3.4718993807636713</v>
      </c>
      <c r="O124" s="407">
        <f t="shared" si="100"/>
        <v>6.0562436461012385E-2</v>
      </c>
      <c r="P124">
        <f t="shared" si="59"/>
        <v>0.2</v>
      </c>
      <c r="Q124" s="407">
        <f t="shared" si="80"/>
        <v>0.2605624364610124</v>
      </c>
      <c r="R124" s="9">
        <f t="shared" si="101"/>
        <v>0.38933958204524727</v>
      </c>
      <c r="S124" s="9">
        <f t="shared" si="102"/>
        <v>1.5158531014716784E-3</v>
      </c>
      <c r="T124" s="9">
        <f t="shared" si="103"/>
        <v>1.5158531014716784E-3</v>
      </c>
      <c r="U124" s="407">
        <f t="shared" si="104"/>
        <v>1.6064101751429933</v>
      </c>
      <c r="V124" s="409">
        <f t="shared" si="105"/>
        <v>5.1611073016058851E-3</v>
      </c>
      <c r="W124" s="407">
        <f t="shared" si="106"/>
        <v>5.1611073016058851E-3</v>
      </c>
      <c r="X124" s="407">
        <f t="shared" si="107"/>
        <v>1.6064101751429933</v>
      </c>
      <c r="Y124" s="407">
        <f t="shared" si="108"/>
        <v>1.5483321904817654E-2</v>
      </c>
      <c r="Z124" s="407">
        <f t="shared" si="62"/>
        <v>0.25707599027803479</v>
      </c>
      <c r="AA124" s="407">
        <f t="shared" si="63"/>
        <v>0.14400000000000002</v>
      </c>
      <c r="AB124" s="407">
        <f t="shared" si="64"/>
        <v>0</v>
      </c>
      <c r="AC124" s="407">
        <f t="shared" si="109"/>
        <v>0.41785326350040353</v>
      </c>
      <c r="AD124" s="407">
        <f t="shared" si="110"/>
        <v>3.0779102747390512</v>
      </c>
      <c r="AE124" s="407">
        <f t="shared" si="111"/>
        <v>5.6841189956065331E-2</v>
      </c>
      <c r="AF124" s="407">
        <f t="shared" si="67"/>
        <v>4.9679999999999988E-2</v>
      </c>
      <c r="AG124" s="407">
        <f t="shared" si="112"/>
        <v>0.10774607295604829</v>
      </c>
      <c r="AH124" s="407">
        <f t="shared" si="113"/>
        <v>0</v>
      </c>
      <c r="AI124">
        <f t="shared" si="70"/>
        <v>0</v>
      </c>
      <c r="AJ124" s="408">
        <f t="shared" si="71"/>
        <v>0.13668200999999999</v>
      </c>
      <c r="AK124">
        <f t="shared" si="85"/>
        <v>4.8000000000000001E-2</v>
      </c>
      <c r="AL124" s="408">
        <f t="shared" si="72"/>
        <v>0.1215</v>
      </c>
      <c r="AM124" s="408">
        <f t="shared" si="86"/>
        <v>0.31645971316818772</v>
      </c>
      <c r="AN124" s="408">
        <f t="shared" si="114"/>
        <v>0.16949999999999998</v>
      </c>
      <c r="AO124" s="408">
        <f t="shared" si="115"/>
        <v>1.0990207433205419</v>
      </c>
      <c r="AP124">
        <f t="shared" si="74"/>
        <v>17.594999999999999</v>
      </c>
      <c r="AQ124" s="10">
        <f t="shared" si="116"/>
        <v>0.94121003938046732</v>
      </c>
      <c r="AR124" s="63">
        <f t="shared" si="117"/>
        <v>20.892663175020175</v>
      </c>
      <c r="AS124" s="63">
        <f t="shared" si="118"/>
        <v>5.3873036478024146</v>
      </c>
      <c r="AT124" s="10"/>
      <c r="AU124">
        <f t="shared" si="119"/>
        <v>94.121003938046726</v>
      </c>
    </row>
    <row r="125" spans="7:47" x14ac:dyDescent="0.25">
      <c r="G125">
        <v>116</v>
      </c>
      <c r="H125">
        <f t="shared" si="55"/>
        <v>3.4799999999999995</v>
      </c>
      <c r="I125" s="407">
        <f t="shared" si="97"/>
        <v>0.21409500000000001</v>
      </c>
      <c r="J125" s="408">
        <f t="shared" si="56"/>
        <v>1.3487984999999998</v>
      </c>
      <c r="K125" s="408">
        <f t="shared" si="77"/>
        <v>4.1543992499999991</v>
      </c>
      <c r="L125" s="408">
        <f t="shared" si="98"/>
        <v>2.8056007499999995</v>
      </c>
      <c r="M125" s="63">
        <f t="shared" si="57"/>
        <v>0</v>
      </c>
      <c r="N125" s="407">
        <f t="shared" si="99"/>
        <v>3.5017145490174073</v>
      </c>
      <c r="O125" s="407">
        <f t="shared" si="100"/>
        <v>6.1612219646796106E-2</v>
      </c>
      <c r="P125">
        <f t="shared" si="59"/>
        <v>0.2</v>
      </c>
      <c r="Q125" s="407">
        <f t="shared" si="80"/>
        <v>0.2616122196467961</v>
      </c>
      <c r="R125" s="9">
        <f t="shared" si="101"/>
        <v>0.3893645885287817</v>
      </c>
      <c r="S125" s="9">
        <f t="shared" si="102"/>
        <v>1.5160478280018747E-3</v>
      </c>
      <c r="T125" s="9">
        <f t="shared" si="103"/>
        <v>1.5160478280018747E-3</v>
      </c>
      <c r="U125" s="407">
        <f t="shared" si="104"/>
        <v>1.6202573604133403</v>
      </c>
      <c r="V125" s="409">
        <f t="shared" si="105"/>
        <v>5.2504678279472099E-3</v>
      </c>
      <c r="W125" s="407">
        <f t="shared" si="106"/>
        <v>5.2504678279472099E-3</v>
      </c>
      <c r="X125" s="407">
        <f t="shared" si="107"/>
        <v>1.6202573604133403</v>
      </c>
      <c r="Y125" s="407">
        <f t="shared" si="108"/>
        <v>1.5751403483841631E-2</v>
      </c>
      <c r="Z125" s="407">
        <f t="shared" si="62"/>
        <v>0.25932422962805329</v>
      </c>
      <c r="AA125" s="407">
        <f t="shared" si="63"/>
        <v>0.14400000000000002</v>
      </c>
      <c r="AB125" s="407">
        <f t="shared" si="64"/>
        <v>0</v>
      </c>
      <c r="AC125" s="407">
        <f t="shared" si="109"/>
        <v>0.42040001115194814</v>
      </c>
      <c r="AD125" s="407">
        <f t="shared" si="110"/>
        <v>3.1043148791362287</v>
      </c>
      <c r="AE125" s="407">
        <f t="shared" si="111"/>
        <v>5.7820625212959477E-2</v>
      </c>
      <c r="AF125" s="407">
        <f t="shared" si="67"/>
        <v>5.011199999999999E-2</v>
      </c>
      <c r="AG125" s="407">
        <f t="shared" si="112"/>
        <v>0.10919537417397997</v>
      </c>
      <c r="AH125" s="407">
        <f t="shared" si="113"/>
        <v>0</v>
      </c>
      <c r="AI125">
        <f t="shared" si="70"/>
        <v>0</v>
      </c>
      <c r="AJ125" s="408">
        <f t="shared" si="71"/>
        <v>0.13668098400000001</v>
      </c>
      <c r="AK125">
        <f t="shared" si="85"/>
        <v>4.8000000000000001E-2</v>
      </c>
      <c r="AL125" s="408">
        <f t="shared" si="72"/>
        <v>0.1215</v>
      </c>
      <c r="AM125" s="408">
        <f t="shared" si="86"/>
        <v>0.31645971316818772</v>
      </c>
      <c r="AN125" s="408">
        <f t="shared" si="114"/>
        <v>0.16949999999999998</v>
      </c>
      <c r="AO125" s="408">
        <f t="shared" si="115"/>
        <v>1.1041551046286733</v>
      </c>
      <c r="AP125">
        <f t="shared" si="74"/>
        <v>17.747999999999998</v>
      </c>
      <c r="AQ125" s="10">
        <f t="shared" si="116"/>
        <v>0.94143082854450011</v>
      </c>
      <c r="AR125" s="63">
        <f t="shared" si="117"/>
        <v>21.020000557597406</v>
      </c>
      <c r="AS125" s="63">
        <f t="shared" si="118"/>
        <v>5.4597687086989986</v>
      </c>
      <c r="AT125" s="10"/>
      <c r="AU125">
        <f t="shared" si="119"/>
        <v>94.143082854450014</v>
      </c>
    </row>
    <row r="126" spans="7:47" x14ac:dyDescent="0.25">
      <c r="G126">
        <v>117</v>
      </c>
      <c r="H126">
        <f t="shared" si="55"/>
        <v>3.51</v>
      </c>
      <c r="I126" s="407">
        <f t="shared" si="97"/>
        <v>0.21410874999999999</v>
      </c>
      <c r="J126" s="408">
        <f t="shared" si="56"/>
        <v>1.3488851249999996</v>
      </c>
      <c r="K126" s="408">
        <f t="shared" si="77"/>
        <v>4.1844425624999992</v>
      </c>
      <c r="L126" s="408">
        <f t="shared" si="98"/>
        <v>2.8355574374999999</v>
      </c>
      <c r="M126" s="63">
        <f t="shared" si="57"/>
        <v>0</v>
      </c>
      <c r="N126" s="407">
        <f t="shared" si="99"/>
        <v>3.5315328480284385</v>
      </c>
      <c r="O126" s="407">
        <f t="shared" si="100"/>
        <v>6.2671268796819959E-2</v>
      </c>
      <c r="P126">
        <f t="shared" si="59"/>
        <v>0.2</v>
      </c>
      <c r="Q126" s="407">
        <f t="shared" si="80"/>
        <v>0.26267126879681996</v>
      </c>
      <c r="R126" s="9">
        <f t="shared" si="101"/>
        <v>0.3893895950123159</v>
      </c>
      <c r="S126" s="9">
        <f t="shared" si="102"/>
        <v>1.516242567038554E-3</v>
      </c>
      <c r="T126" s="9">
        <f t="shared" si="103"/>
        <v>1.516242567038554E-3</v>
      </c>
      <c r="U126" s="407">
        <f t="shared" si="104"/>
        <v>1.6341068786794641</v>
      </c>
      <c r="V126" s="409">
        <f t="shared" si="105"/>
        <v>5.3406105818950824E-3</v>
      </c>
      <c r="W126" s="407">
        <f t="shared" si="106"/>
        <v>5.3406105818950824E-3</v>
      </c>
      <c r="X126" s="407">
        <f t="shared" si="107"/>
        <v>1.6341068786794641</v>
      </c>
      <c r="Y126" s="407">
        <f t="shared" si="108"/>
        <v>1.6021831745685246E-2</v>
      </c>
      <c r="Z126" s="407">
        <f t="shared" si="62"/>
        <v>0.26157246897807179</v>
      </c>
      <c r="AA126" s="407">
        <f t="shared" si="63"/>
        <v>0.14400000000000002</v>
      </c>
      <c r="AB126" s="407">
        <f t="shared" si="64"/>
        <v>0</v>
      </c>
      <c r="AC126" s="407">
        <f t="shared" si="109"/>
        <v>0.42294958614498146</v>
      </c>
      <c r="AD126" s="407">
        <f t="shared" si="110"/>
        <v>3.1307217962885674</v>
      </c>
      <c r="AE126" s="407">
        <f t="shared" si="111"/>
        <v>5.8808513794537887E-2</v>
      </c>
      <c r="AF126" s="407">
        <f t="shared" si="67"/>
        <v>5.0543999999999999E-2</v>
      </c>
      <c r="AG126" s="407">
        <f t="shared" si="112"/>
        <v>0.11065399317130496</v>
      </c>
      <c r="AH126" s="407">
        <f t="shared" si="113"/>
        <v>0</v>
      </c>
      <c r="AI126">
        <f t="shared" si="70"/>
        <v>0</v>
      </c>
      <c r="AJ126" s="408">
        <f t="shared" si="71"/>
        <v>0.13667995800000002</v>
      </c>
      <c r="AK126">
        <f t="shared" si="85"/>
        <v>4.8000000000000001E-2</v>
      </c>
      <c r="AL126" s="408">
        <f t="shared" si="72"/>
        <v>0.1215</v>
      </c>
      <c r="AM126" s="408">
        <f t="shared" si="86"/>
        <v>0.31645971316818772</v>
      </c>
      <c r="AN126" s="408">
        <f t="shared" si="114"/>
        <v>0.16949999999999998</v>
      </c>
      <c r="AO126" s="408">
        <f t="shared" si="115"/>
        <v>1.10931165926204</v>
      </c>
      <c r="AP126">
        <f t="shared" si="74"/>
        <v>17.900999999999996</v>
      </c>
      <c r="AQ126" s="10">
        <f t="shared" si="116"/>
        <v>0.94164684518880193</v>
      </c>
      <c r="AR126" s="63">
        <f t="shared" si="117"/>
        <v>21.147479307249071</v>
      </c>
      <c r="AS126" s="63">
        <f t="shared" si="118"/>
        <v>5.5326996585652477</v>
      </c>
      <c r="AT126" s="10"/>
      <c r="AU126">
        <f t="shared" si="119"/>
        <v>94.164684518880193</v>
      </c>
    </row>
    <row r="127" spans="7:47" x14ac:dyDescent="0.25">
      <c r="G127">
        <v>118</v>
      </c>
      <c r="H127">
        <f t="shared" si="55"/>
        <v>3.54</v>
      </c>
      <c r="I127" s="407">
        <f t="shared" si="97"/>
        <v>0.21412249999999997</v>
      </c>
      <c r="J127" s="408">
        <f t="shared" si="56"/>
        <v>1.3489717499999994</v>
      </c>
      <c r="K127" s="408">
        <f t="shared" si="77"/>
        <v>4.2144858749999994</v>
      </c>
      <c r="L127" s="408">
        <f t="shared" si="98"/>
        <v>2.8655141250000002</v>
      </c>
      <c r="M127" s="63">
        <f t="shared" si="57"/>
        <v>0</v>
      </c>
      <c r="N127" s="407">
        <f t="shared" si="99"/>
        <v>3.5613541991576985</v>
      </c>
      <c r="O127" s="407">
        <f t="shared" si="100"/>
        <v>6.3739588554090815E-2</v>
      </c>
      <c r="P127">
        <f t="shared" si="59"/>
        <v>0.2</v>
      </c>
      <c r="Q127" s="407">
        <f t="shared" si="80"/>
        <v>0.26373958855409085</v>
      </c>
      <c r="R127" s="9">
        <f t="shared" si="101"/>
        <v>0.38941460149585011</v>
      </c>
      <c r="S127" s="9">
        <f t="shared" si="102"/>
        <v>1.5164373185817177E-3</v>
      </c>
      <c r="T127" s="9">
        <f t="shared" si="103"/>
        <v>1.5164373185817177E-3</v>
      </c>
      <c r="U127" s="407">
        <f t="shared" si="104"/>
        <v>1.6479586936494497</v>
      </c>
      <c r="V127" s="409">
        <f t="shared" si="105"/>
        <v>5.4315357119496021E-3</v>
      </c>
      <c r="W127" s="407">
        <f t="shared" si="106"/>
        <v>5.4315357119496021E-3</v>
      </c>
      <c r="X127" s="407">
        <f t="shared" si="107"/>
        <v>1.6479586936494497</v>
      </c>
      <c r="Y127" s="407">
        <f t="shared" si="108"/>
        <v>1.6294607135848807E-2</v>
      </c>
      <c r="Z127" s="407">
        <f t="shared" si="62"/>
        <v>0.26382070832809029</v>
      </c>
      <c r="AA127" s="407">
        <f t="shared" si="63"/>
        <v>0.14400000000000002</v>
      </c>
      <c r="AB127" s="407">
        <f t="shared" si="64"/>
        <v>0</v>
      </c>
      <c r="AC127" s="407">
        <f t="shared" si="109"/>
        <v>0.42550199302631603</v>
      </c>
      <c r="AD127" s="407">
        <f t="shared" si="110"/>
        <v>3.1571309564038312</v>
      </c>
      <c r="AE127" s="407">
        <f t="shared" si="111"/>
        <v>5.9804855255300222E-2</v>
      </c>
      <c r="AF127" s="407">
        <f t="shared" si="67"/>
        <v>5.0976E-2</v>
      </c>
      <c r="AG127" s="407">
        <f t="shared" si="112"/>
        <v>0.11212194256450286</v>
      </c>
      <c r="AH127" s="407">
        <f t="shared" si="113"/>
        <v>0</v>
      </c>
      <c r="AI127">
        <f t="shared" si="70"/>
        <v>0</v>
      </c>
      <c r="AJ127" s="408">
        <f t="shared" si="71"/>
        <v>0.136678932</v>
      </c>
      <c r="AK127">
        <f t="shared" si="85"/>
        <v>4.8000000000000001E-2</v>
      </c>
      <c r="AL127" s="408">
        <f t="shared" si="72"/>
        <v>0.1215</v>
      </c>
      <c r="AM127" s="408">
        <f t="shared" si="86"/>
        <v>0.31645971316818772</v>
      </c>
      <c r="AN127" s="408">
        <f t="shared" si="114"/>
        <v>0.16949999999999998</v>
      </c>
      <c r="AO127" s="408">
        <f t="shared" si="115"/>
        <v>1.1144904291754412</v>
      </c>
      <c r="AP127">
        <f t="shared" si="74"/>
        <v>18.053999999999998</v>
      </c>
      <c r="AQ127" s="10">
        <f t="shared" si="116"/>
        <v>0.94185820561648781</v>
      </c>
      <c r="AR127" s="63">
        <f t="shared" si="117"/>
        <v>21.275099651315802</v>
      </c>
      <c r="AS127" s="63">
        <f t="shared" si="118"/>
        <v>5.6060971282251435</v>
      </c>
      <c r="AT127" s="10"/>
      <c r="AU127">
        <f t="shared" si="119"/>
        <v>94.185820561648782</v>
      </c>
    </row>
    <row r="128" spans="7:47" x14ac:dyDescent="0.25">
      <c r="G128">
        <v>119</v>
      </c>
      <c r="H128">
        <f t="shared" si="55"/>
        <v>3.57</v>
      </c>
      <c r="I128" s="407">
        <f t="shared" si="97"/>
        <v>0.21413625</v>
      </c>
      <c r="J128" s="408">
        <f t="shared" si="56"/>
        <v>1.3490583749999998</v>
      </c>
      <c r="K128" s="408">
        <f t="shared" si="77"/>
        <v>4.2445291874999995</v>
      </c>
      <c r="L128" s="408">
        <f t="shared" si="98"/>
        <v>2.8954708125000002</v>
      </c>
      <c r="M128" s="63">
        <f t="shared" si="57"/>
        <v>0</v>
      </c>
      <c r="N128" s="407">
        <f t="shared" si="99"/>
        <v>3.5911785263702969</v>
      </c>
      <c r="O128" s="407">
        <f t="shared" si="100"/>
        <v>6.4817183603445058E-2</v>
      </c>
      <c r="P128">
        <f t="shared" si="59"/>
        <v>0.2</v>
      </c>
      <c r="Q128" s="407">
        <f t="shared" si="80"/>
        <v>0.26481718360344508</v>
      </c>
      <c r="R128" s="9">
        <f t="shared" si="101"/>
        <v>0.38943960797938454</v>
      </c>
      <c r="S128" s="9">
        <f t="shared" si="102"/>
        <v>1.516632082631367E-3</v>
      </c>
      <c r="T128" s="9">
        <f t="shared" si="103"/>
        <v>1.516632082631367E-3</v>
      </c>
      <c r="U128" s="407">
        <f t="shared" si="104"/>
        <v>1.6618127702317842</v>
      </c>
      <c r="V128" s="409">
        <f t="shared" si="105"/>
        <v>5.5232433666108733E-3</v>
      </c>
      <c r="W128" s="407">
        <f t="shared" si="106"/>
        <v>5.5232433666108733E-3</v>
      </c>
      <c r="X128" s="407">
        <f t="shared" si="107"/>
        <v>1.6618127702317842</v>
      </c>
      <c r="Y128" s="407">
        <f t="shared" si="108"/>
        <v>1.6569730099832619E-2</v>
      </c>
      <c r="Z128" s="407">
        <f t="shared" si="62"/>
        <v>0.26606894767810879</v>
      </c>
      <c r="AA128" s="407">
        <f t="shared" si="63"/>
        <v>0.14400000000000002</v>
      </c>
      <c r="AB128" s="407">
        <f t="shared" si="64"/>
        <v>0</v>
      </c>
      <c r="AC128" s="407">
        <f t="shared" si="109"/>
        <v>0.42805723635267018</v>
      </c>
      <c r="AD128" s="407">
        <f t="shared" si="110"/>
        <v>3.1835422920007992</v>
      </c>
      <c r="AE128" s="407">
        <f t="shared" si="111"/>
        <v>6.0809649149746209E-2</v>
      </c>
      <c r="AF128" s="407">
        <f t="shared" si="67"/>
        <v>5.1407999999999995E-2</v>
      </c>
      <c r="AG128" s="407">
        <f t="shared" si="112"/>
        <v>0.11359923507546998</v>
      </c>
      <c r="AH128" s="407">
        <f t="shared" si="113"/>
        <v>0</v>
      </c>
      <c r="AI128">
        <f t="shared" si="70"/>
        <v>0</v>
      </c>
      <c r="AJ128" s="408">
        <f t="shared" si="71"/>
        <v>0.13667790600000002</v>
      </c>
      <c r="AK128">
        <f t="shared" si="85"/>
        <v>4.8000000000000001E-2</v>
      </c>
      <c r="AL128" s="408">
        <f t="shared" si="72"/>
        <v>0.1215</v>
      </c>
      <c r="AM128" s="408">
        <f t="shared" si="86"/>
        <v>0.31645971316818772</v>
      </c>
      <c r="AN128" s="408">
        <f t="shared" si="114"/>
        <v>0.16949999999999998</v>
      </c>
      <c r="AO128" s="408">
        <f t="shared" si="115"/>
        <v>1.1196914364808275</v>
      </c>
      <c r="AP128">
        <f t="shared" si="74"/>
        <v>18.206999999999997</v>
      </c>
      <c r="AQ128" s="10">
        <f t="shared" si="116"/>
        <v>0.94206502234690248</v>
      </c>
      <c r="AR128" s="63">
        <f t="shared" si="117"/>
        <v>21.402861817633507</v>
      </c>
      <c r="AS128" s="63">
        <f t="shared" si="118"/>
        <v>5.6799617537734992</v>
      </c>
      <c r="AT128" s="10"/>
      <c r="AU128">
        <f t="shared" si="119"/>
        <v>94.206502234690248</v>
      </c>
    </row>
    <row r="129" spans="7:47" x14ac:dyDescent="0.25">
      <c r="G129">
        <v>120</v>
      </c>
      <c r="H129">
        <f t="shared" si="55"/>
        <v>3.5999999999999996</v>
      </c>
      <c r="I129" s="407">
        <f t="shared" si="97"/>
        <v>0.21414999999999998</v>
      </c>
      <c r="J129" s="408">
        <f t="shared" si="56"/>
        <v>1.3491449999999996</v>
      </c>
      <c r="K129" s="408">
        <f t="shared" si="77"/>
        <v>4.2745724999999997</v>
      </c>
      <c r="L129" s="408">
        <f t="shared" si="98"/>
        <v>2.9254274999999996</v>
      </c>
      <c r="M129" s="63">
        <f t="shared" si="57"/>
        <v>0</v>
      </c>
      <c r="N129" s="407">
        <f t="shared" si="99"/>
        <v>3.6210057561289166</v>
      </c>
      <c r="O129" s="407">
        <f t="shared" si="100"/>
        <v>6.5904058671600221E-2</v>
      </c>
      <c r="P129">
        <f t="shared" si="59"/>
        <v>0.2</v>
      </c>
      <c r="Q129" s="407">
        <f t="shared" si="80"/>
        <v>0.26590405867160022</v>
      </c>
      <c r="R129" s="9">
        <f t="shared" si="101"/>
        <v>0.38946461446291875</v>
      </c>
      <c r="S129" s="9">
        <f t="shared" si="102"/>
        <v>1.5168268591874996E-3</v>
      </c>
      <c r="T129" s="9">
        <f t="shared" si="103"/>
        <v>1.5168268591874996E-3</v>
      </c>
      <c r="U129" s="407">
        <f t="shared" si="104"/>
        <v>1.6756690744862182</v>
      </c>
      <c r="V129" s="409">
        <f t="shared" si="105"/>
        <v>5.6157336943789974E-3</v>
      </c>
      <c r="W129" s="407">
        <f t="shared" si="106"/>
        <v>5.6157336943789974E-3</v>
      </c>
      <c r="X129" s="407">
        <f t="shared" si="107"/>
        <v>1.6756690744862182</v>
      </c>
      <c r="Y129" s="407">
        <f t="shared" si="108"/>
        <v>1.6847201083136993E-2</v>
      </c>
      <c r="Z129" s="407">
        <f t="shared" si="62"/>
        <v>0.26831718702812735</v>
      </c>
      <c r="AA129" s="407">
        <f t="shared" si="63"/>
        <v>0.14400000000000002</v>
      </c>
      <c r="AB129" s="407">
        <f t="shared" si="64"/>
        <v>0</v>
      </c>
      <c r="AC129" s="407">
        <f t="shared" si="109"/>
        <v>0.43061532069069547</v>
      </c>
      <c r="AD129" s="407">
        <f t="shared" si="110"/>
        <v>3.2099557378146586</v>
      </c>
      <c r="AE129" s="407">
        <f t="shared" si="111"/>
        <v>6.1822895032375501E-2</v>
      </c>
      <c r="AF129" s="407">
        <f t="shared" si="67"/>
        <v>5.183999999999999E-2</v>
      </c>
      <c r="AG129" s="407">
        <f t="shared" si="112"/>
        <v>0.11508588353183485</v>
      </c>
      <c r="AH129" s="407">
        <f t="shared" si="113"/>
        <v>0</v>
      </c>
      <c r="AI129">
        <f t="shared" si="70"/>
        <v>0</v>
      </c>
      <c r="AJ129" s="408">
        <f t="shared" si="71"/>
        <v>0.13667688</v>
      </c>
      <c r="AK129">
        <f t="shared" si="85"/>
        <v>4.8000000000000001E-2</v>
      </c>
      <c r="AL129" s="408">
        <f t="shared" si="72"/>
        <v>0.1215</v>
      </c>
      <c r="AM129" s="408">
        <f t="shared" si="86"/>
        <v>0.31645971316818772</v>
      </c>
      <c r="AN129" s="408">
        <f t="shared" si="114"/>
        <v>0.16949999999999998</v>
      </c>
      <c r="AO129" s="408">
        <f t="shared" si="115"/>
        <v>1.1249147034476972</v>
      </c>
      <c r="AP129">
        <f t="shared" si="74"/>
        <v>18.359999999999996</v>
      </c>
      <c r="AQ129" s="10">
        <f t="shared" si="116"/>
        <v>0.9422674042679462</v>
      </c>
      <c r="AR129" s="63">
        <f t="shared" si="117"/>
        <v>21.530766034534775</v>
      </c>
      <c r="AS129" s="63">
        <f t="shared" si="118"/>
        <v>5.7542941765917428</v>
      </c>
      <c r="AT129" s="10"/>
      <c r="AU129">
        <f t="shared" si="119"/>
        <v>94.22674042679462</v>
      </c>
    </row>
    <row r="130" spans="7:47" x14ac:dyDescent="0.25">
      <c r="G130">
        <v>121</v>
      </c>
      <c r="H130">
        <f t="shared" si="55"/>
        <v>3.63</v>
      </c>
      <c r="I130" s="407">
        <f t="shared" si="97"/>
        <v>0.21416374999999999</v>
      </c>
      <c r="J130" s="408">
        <f t="shared" si="56"/>
        <v>1.3492316249999996</v>
      </c>
      <c r="K130" s="408">
        <f t="shared" si="77"/>
        <v>4.3046158124999998</v>
      </c>
      <c r="L130" s="408">
        <f t="shared" si="98"/>
        <v>2.9553841875</v>
      </c>
      <c r="M130" s="63">
        <f t="shared" si="57"/>
        <v>0</v>
      </c>
      <c r="N130" s="407">
        <f t="shared" si="99"/>
        <v>3.6508358172923923</v>
      </c>
      <c r="O130" s="407">
        <f t="shared" si="100"/>
        <v>6.7000218527207236E-2</v>
      </c>
      <c r="P130">
        <f t="shared" si="59"/>
        <v>0.2</v>
      </c>
      <c r="Q130" s="407">
        <f t="shared" si="80"/>
        <v>0.26700021852720723</v>
      </c>
      <c r="R130" s="9">
        <f t="shared" si="101"/>
        <v>0.38948962094645301</v>
      </c>
      <c r="S130" s="9">
        <f t="shared" si="102"/>
        <v>1.5170216482501165E-3</v>
      </c>
      <c r="T130" s="9">
        <f t="shared" si="103"/>
        <v>1.5170216482501165E-3</v>
      </c>
      <c r="U130" s="407">
        <f t="shared" si="104"/>
        <v>1.6895275735770168</v>
      </c>
      <c r="V130" s="409">
        <f t="shared" si="105"/>
        <v>5.7090068437540839E-3</v>
      </c>
      <c r="W130" s="407">
        <f t="shared" si="106"/>
        <v>5.7090068437540839E-3</v>
      </c>
      <c r="X130" s="407">
        <f t="shared" si="107"/>
        <v>1.6895275735770168</v>
      </c>
      <c r="Y130" s="407">
        <f t="shared" si="108"/>
        <v>1.7127020531262253E-2</v>
      </c>
      <c r="Z130" s="407">
        <f t="shared" si="62"/>
        <v>0.2705654263781459</v>
      </c>
      <c r="AA130" s="407">
        <f t="shared" si="63"/>
        <v>0.14400000000000002</v>
      </c>
      <c r="AB130" s="407">
        <f t="shared" si="64"/>
        <v>0</v>
      </c>
      <c r="AC130" s="407">
        <f t="shared" si="109"/>
        <v>0.43317625061700271</v>
      </c>
      <c r="AD130" s="407">
        <f t="shared" si="110"/>
        <v>3.2363712307070043</v>
      </c>
      <c r="AE130" s="407">
        <f t="shared" si="111"/>
        <v>6.2844592457687823E-2</v>
      </c>
      <c r="AF130" s="407">
        <f t="shared" si="67"/>
        <v>5.2271999999999999E-2</v>
      </c>
      <c r="AG130" s="407">
        <f t="shared" si="112"/>
        <v>0.11658190086727714</v>
      </c>
      <c r="AH130" s="407">
        <f t="shared" si="113"/>
        <v>0</v>
      </c>
      <c r="AI130">
        <f t="shared" si="70"/>
        <v>0</v>
      </c>
      <c r="AJ130" s="408">
        <f t="shared" si="71"/>
        <v>0.13667585400000001</v>
      </c>
      <c r="AK130">
        <f t="shared" si="85"/>
        <v>4.8000000000000001E-2</v>
      </c>
      <c r="AL130" s="408">
        <f t="shared" si="72"/>
        <v>0.1215</v>
      </c>
      <c r="AM130" s="408">
        <f t="shared" si="86"/>
        <v>0.31645971316818772</v>
      </c>
      <c r="AN130" s="408">
        <f t="shared" si="114"/>
        <v>0.16949999999999998</v>
      </c>
      <c r="AO130" s="408">
        <f t="shared" si="115"/>
        <v>1.1301602525034913</v>
      </c>
      <c r="AP130">
        <f t="shared" si="74"/>
        <v>18.512999999999998</v>
      </c>
      <c r="AQ130" s="10">
        <f t="shared" si="116"/>
        <v>0.9424654567810975</v>
      </c>
      <c r="AR130" s="63">
        <f t="shared" si="117"/>
        <v>21.658812530850135</v>
      </c>
      <c r="AS130" s="63">
        <f t="shared" si="118"/>
        <v>5.8290950433638571</v>
      </c>
      <c r="AT130" s="10"/>
      <c r="AU130">
        <f t="shared" si="119"/>
        <v>94.246545678109754</v>
      </c>
    </row>
    <row r="131" spans="7:47" x14ac:dyDescent="0.25">
      <c r="G131">
        <v>122</v>
      </c>
      <c r="H131">
        <f t="shared" si="55"/>
        <v>3.66</v>
      </c>
      <c r="I131" s="407">
        <f t="shared" si="97"/>
        <v>0.21417749999999999</v>
      </c>
      <c r="J131" s="408">
        <f t="shared" si="56"/>
        <v>1.3493182499999996</v>
      </c>
      <c r="K131" s="408">
        <f t="shared" si="77"/>
        <v>4.3346591249999999</v>
      </c>
      <c r="L131" s="408">
        <f t="shared" si="98"/>
        <v>2.9853408750000003</v>
      </c>
      <c r="M131" s="63">
        <f t="shared" si="57"/>
        <v>0</v>
      </c>
      <c r="N131" s="407">
        <f t="shared" si="99"/>
        <v>3.6806686410191727</v>
      </c>
      <c r="O131" s="407">
        <f t="shared" si="100"/>
        <v>6.8105667980903076E-2</v>
      </c>
      <c r="P131">
        <f t="shared" si="59"/>
        <v>0.2</v>
      </c>
      <c r="Q131" s="407">
        <f t="shared" si="80"/>
        <v>0.26810566798090307</v>
      </c>
      <c r="R131" s="9">
        <f t="shared" si="101"/>
        <v>0.38951462742998727</v>
      </c>
      <c r="S131" s="9">
        <f t="shared" si="102"/>
        <v>1.5172164498192179E-3</v>
      </c>
      <c r="T131" s="9">
        <f t="shared" si="103"/>
        <v>1.5172164498192179E-3</v>
      </c>
      <c r="U131" s="407">
        <f t="shared" si="104"/>
        <v>1.70338823572846</v>
      </c>
      <c r="V131" s="409">
        <f t="shared" si="105"/>
        <v>5.8030629632362307E-3</v>
      </c>
      <c r="W131" s="407">
        <f t="shared" si="106"/>
        <v>5.8030629632362307E-3</v>
      </c>
      <c r="X131" s="407">
        <f t="shared" si="107"/>
        <v>1.70338823572846</v>
      </c>
      <c r="Y131" s="407">
        <f t="shared" si="108"/>
        <v>1.7409188889708695E-2</v>
      </c>
      <c r="Z131" s="407">
        <f t="shared" si="62"/>
        <v>0.27281366572816435</v>
      </c>
      <c r="AA131" s="407">
        <f t="shared" si="63"/>
        <v>0.14400000000000002</v>
      </c>
      <c r="AB131" s="407">
        <f t="shared" si="64"/>
        <v>0</v>
      </c>
      <c r="AC131" s="407">
        <f t="shared" si="109"/>
        <v>0.43574003071818918</v>
      </c>
      <c r="AD131" s="407">
        <f t="shared" si="110"/>
        <v>3.2627887095801662</v>
      </c>
      <c r="AE131" s="407">
        <f t="shared" si="111"/>
        <v>6.3874740980182837E-2</v>
      </c>
      <c r="AF131" s="407">
        <f t="shared" si="67"/>
        <v>5.2704000000000001E-2</v>
      </c>
      <c r="AG131" s="407">
        <f t="shared" si="112"/>
        <v>0.11808730012184929</v>
      </c>
      <c r="AH131" s="407">
        <f t="shared" si="113"/>
        <v>0</v>
      </c>
      <c r="AI131">
        <f t="shared" si="70"/>
        <v>0</v>
      </c>
      <c r="AJ131" s="408">
        <f t="shared" si="71"/>
        <v>0.136674828</v>
      </c>
      <c r="AK131">
        <f t="shared" si="85"/>
        <v>4.8000000000000001E-2</v>
      </c>
      <c r="AL131" s="408">
        <f t="shared" si="72"/>
        <v>0.1215</v>
      </c>
      <c r="AM131" s="408">
        <f t="shared" si="86"/>
        <v>0.31645971316818772</v>
      </c>
      <c r="AN131" s="408">
        <f t="shared" si="114"/>
        <v>0.16949999999999998</v>
      </c>
      <c r="AO131" s="408">
        <f t="shared" si="115"/>
        <v>1.135428106233997</v>
      </c>
      <c r="AP131">
        <f t="shared" si="74"/>
        <v>18.666</v>
      </c>
      <c r="AQ131" s="10">
        <f t="shared" si="116"/>
        <v>0.94265928193954174</v>
      </c>
      <c r="AR131" s="63">
        <f t="shared" si="117"/>
        <v>21.787001535909457</v>
      </c>
      <c r="AS131" s="63">
        <f t="shared" si="118"/>
        <v>5.9043650060924646</v>
      </c>
      <c r="AT131" s="10"/>
      <c r="AU131">
        <f t="shared" si="119"/>
        <v>94.265928193954167</v>
      </c>
    </row>
    <row r="132" spans="7:47" x14ac:dyDescent="0.25">
      <c r="G132">
        <v>123</v>
      </c>
      <c r="H132">
        <f t="shared" si="55"/>
        <v>3.69</v>
      </c>
      <c r="I132" s="407">
        <f t="shared" si="97"/>
        <v>0.21419124999999997</v>
      </c>
      <c r="J132" s="408">
        <f t="shared" si="56"/>
        <v>1.3494048749999994</v>
      </c>
      <c r="K132" s="408">
        <f t="shared" si="77"/>
        <v>4.3647024375000001</v>
      </c>
      <c r="L132" s="408">
        <f t="shared" si="98"/>
        <v>3.0152975625000003</v>
      </c>
      <c r="M132" s="63">
        <f t="shared" si="57"/>
        <v>0</v>
      </c>
      <c r="N132" s="407">
        <f t="shared" si="99"/>
        <v>3.7105041606754035</v>
      </c>
      <c r="O132" s="407">
        <f t="shared" si="100"/>
        <v>6.9220411885363778E-2</v>
      </c>
      <c r="P132">
        <f t="shared" si="59"/>
        <v>0.2</v>
      </c>
      <c r="Q132" s="407">
        <f t="shared" si="80"/>
        <v>0.26922041188536378</v>
      </c>
      <c r="R132" s="9">
        <f t="shared" si="101"/>
        <v>0.38953963391352148</v>
      </c>
      <c r="S132" s="9">
        <f t="shared" si="102"/>
        <v>1.5174112638948033E-3</v>
      </c>
      <c r="T132" s="9">
        <f t="shared" si="103"/>
        <v>1.5174112638948033E-3</v>
      </c>
      <c r="U132" s="407">
        <f t="shared" si="104"/>
        <v>1.7172510301824746</v>
      </c>
      <c r="V132" s="409">
        <f t="shared" si="105"/>
        <v>5.8979022013255404E-3</v>
      </c>
      <c r="W132" s="407">
        <f t="shared" si="106"/>
        <v>5.8979022013255404E-3</v>
      </c>
      <c r="X132" s="407">
        <f t="shared" si="107"/>
        <v>1.7172510301824746</v>
      </c>
      <c r="Y132" s="407">
        <f t="shared" si="108"/>
        <v>1.7693706603976622E-2</v>
      </c>
      <c r="Z132" s="407">
        <f t="shared" si="62"/>
        <v>0.27506190507818284</v>
      </c>
      <c r="AA132" s="407">
        <f t="shared" si="63"/>
        <v>0.14400000000000002</v>
      </c>
      <c r="AB132" s="407">
        <f t="shared" si="64"/>
        <v>0</v>
      </c>
      <c r="AC132" s="407">
        <f t="shared" si="109"/>
        <v>0.4383066655908659</v>
      </c>
      <c r="AD132" s="407">
        <f t="shared" si="110"/>
        <v>3.2892081152956423</v>
      </c>
      <c r="AE132" s="407">
        <f t="shared" si="111"/>
        <v>6.4913340154360274E-2</v>
      </c>
      <c r="AF132" s="407">
        <f t="shared" si="67"/>
        <v>5.3136000000000003E-2</v>
      </c>
      <c r="AG132" s="407">
        <f t="shared" si="112"/>
        <v>0.11960209444230169</v>
      </c>
      <c r="AH132" s="407">
        <f t="shared" si="113"/>
        <v>0</v>
      </c>
      <c r="AI132">
        <f t="shared" si="70"/>
        <v>0</v>
      </c>
      <c r="AJ132" s="408">
        <f t="shared" si="71"/>
        <v>0.13667380200000001</v>
      </c>
      <c r="AK132">
        <f t="shared" si="85"/>
        <v>4.8000000000000001E-2</v>
      </c>
      <c r="AL132" s="408">
        <f t="shared" si="72"/>
        <v>0.1215</v>
      </c>
      <c r="AM132" s="408">
        <f t="shared" si="86"/>
        <v>0.31645971316818772</v>
      </c>
      <c r="AN132" s="408">
        <f t="shared" si="114"/>
        <v>0.16949999999999998</v>
      </c>
      <c r="AO132" s="408">
        <f t="shared" si="115"/>
        <v>1.1407182873837518</v>
      </c>
      <c r="AP132">
        <f t="shared" si="74"/>
        <v>18.818999999999999</v>
      </c>
      <c r="AQ132" s="10">
        <f t="shared" si="116"/>
        <v>0.94284897857978367</v>
      </c>
      <c r="AR132" s="63">
        <f t="shared" si="117"/>
        <v>21.915333279543294</v>
      </c>
      <c r="AS132" s="63">
        <f t="shared" si="118"/>
        <v>5.980104722115084</v>
      </c>
      <c r="AT132" s="10"/>
      <c r="AU132">
        <f t="shared" si="119"/>
        <v>94.284897857978365</v>
      </c>
    </row>
    <row r="133" spans="7:47" x14ac:dyDescent="0.25">
      <c r="G133">
        <v>124</v>
      </c>
      <c r="H133">
        <f t="shared" si="55"/>
        <v>3.7199999999999998</v>
      </c>
      <c r="I133" s="407">
        <f t="shared" si="97"/>
        <v>0.21420499999999998</v>
      </c>
      <c r="J133" s="408">
        <f t="shared" si="56"/>
        <v>1.3494914999999996</v>
      </c>
      <c r="K133" s="408">
        <f t="shared" si="77"/>
        <v>4.3947457499999993</v>
      </c>
      <c r="L133" s="408">
        <f t="shared" si="98"/>
        <v>3.0452542500000002</v>
      </c>
      <c r="M133" s="63">
        <f t="shared" si="57"/>
        <v>0</v>
      </c>
      <c r="N133" s="407">
        <f t="shared" si="99"/>
        <v>3.7403423117473737</v>
      </c>
      <c r="O133" s="407">
        <f t="shared" si="100"/>
        <v>7.034445513535828E-2</v>
      </c>
      <c r="P133">
        <f t="shared" si="59"/>
        <v>0.2</v>
      </c>
      <c r="Q133" s="407">
        <f t="shared" si="80"/>
        <v>0.27034445513535832</v>
      </c>
      <c r="R133" s="9">
        <f t="shared" si="101"/>
        <v>0.38956464039705585</v>
      </c>
      <c r="S133" s="9">
        <f t="shared" si="102"/>
        <v>1.5176060904768744E-3</v>
      </c>
      <c r="T133" s="9">
        <f t="shared" si="103"/>
        <v>1.5176060904768744E-3</v>
      </c>
      <c r="U133" s="407">
        <f t="shared" si="104"/>
        <v>1.7311159271582766</v>
      </c>
      <c r="V133" s="409">
        <f t="shared" si="105"/>
        <v>5.9935247065221187E-3</v>
      </c>
      <c r="W133" s="407">
        <f t="shared" si="106"/>
        <v>5.9935247065221187E-3</v>
      </c>
      <c r="X133" s="407">
        <f t="shared" si="107"/>
        <v>1.7311159271582766</v>
      </c>
      <c r="Y133" s="407">
        <f t="shared" si="108"/>
        <v>1.7980574119566356E-2</v>
      </c>
      <c r="Z133" s="407">
        <f t="shared" si="62"/>
        <v>0.2773101444282014</v>
      </c>
      <c r="AA133" s="407">
        <f t="shared" si="63"/>
        <v>0.14400000000000002</v>
      </c>
      <c r="AB133" s="407">
        <f t="shared" si="64"/>
        <v>0</v>
      </c>
      <c r="AC133" s="407">
        <f t="shared" si="109"/>
        <v>0.44087615984168443</v>
      </c>
      <c r="AD133" s="407">
        <f t="shared" si="110"/>
        <v>3.3156293905963961</v>
      </c>
      <c r="AE133" s="407">
        <f t="shared" si="111"/>
        <v>6.5960389534719777E-2</v>
      </c>
      <c r="AF133" s="407">
        <f t="shared" si="67"/>
        <v>5.3567999999999998E-2</v>
      </c>
      <c r="AG133" s="407">
        <f t="shared" si="112"/>
        <v>0.12112629708241059</v>
      </c>
      <c r="AH133" s="407">
        <f t="shared" si="113"/>
        <v>0</v>
      </c>
      <c r="AI133">
        <f t="shared" si="70"/>
        <v>0</v>
      </c>
      <c r="AJ133" s="408">
        <f t="shared" si="71"/>
        <v>0.136672776</v>
      </c>
      <c r="AK133">
        <f t="shared" si="85"/>
        <v>4.8000000000000001E-2</v>
      </c>
      <c r="AL133" s="408">
        <f t="shared" si="72"/>
        <v>0.1215</v>
      </c>
      <c r="AM133" s="408">
        <f t="shared" si="86"/>
        <v>0.31645971316818772</v>
      </c>
      <c r="AN133" s="408">
        <f t="shared" si="114"/>
        <v>0.16949999999999998</v>
      </c>
      <c r="AO133" s="408">
        <f t="shared" si="115"/>
        <v>1.1460308188564521</v>
      </c>
      <c r="AP133">
        <f t="shared" si="74"/>
        <v>18.971999999999998</v>
      </c>
      <c r="AQ133" s="10">
        <f t="shared" si="116"/>
        <v>0.94303464244709834</v>
      </c>
      <c r="AR133" s="63">
        <f t="shared" si="117"/>
        <v>22.043807992084222</v>
      </c>
      <c r="AS133" s="63">
        <f t="shared" si="118"/>
        <v>6.0563148541205294</v>
      </c>
      <c r="AT133" s="10"/>
      <c r="AU133">
        <f t="shared" si="119"/>
        <v>94.303464244709829</v>
      </c>
    </row>
    <row r="134" spans="7:47" x14ac:dyDescent="0.25">
      <c r="G134">
        <v>125</v>
      </c>
      <c r="H134">
        <f t="shared" si="55"/>
        <v>3.75</v>
      </c>
      <c r="I134" s="407">
        <f t="shared" si="97"/>
        <v>0.21421874999999999</v>
      </c>
      <c r="J134" s="408">
        <f t="shared" si="56"/>
        <v>1.3495781249999996</v>
      </c>
      <c r="K134" s="408">
        <f t="shared" si="77"/>
        <v>4.4247890624999995</v>
      </c>
      <c r="L134" s="408">
        <f t="shared" si="98"/>
        <v>3.0752109375000001</v>
      </c>
      <c r="M134" s="63">
        <f t="shared" si="57"/>
        <v>0</v>
      </c>
      <c r="N134" s="407">
        <f t="shared" si="99"/>
        <v>3.7701830317580791</v>
      </c>
      <c r="O134" s="407">
        <f t="shared" si="100"/>
        <v>7.147780266780239E-2</v>
      </c>
      <c r="P134">
        <f t="shared" si="59"/>
        <v>0.2</v>
      </c>
      <c r="Q134" s="407">
        <f t="shared" si="80"/>
        <v>0.27147780266780241</v>
      </c>
      <c r="R134" s="9">
        <f t="shared" si="101"/>
        <v>0.38958964688059011</v>
      </c>
      <c r="S134" s="9">
        <f t="shared" si="102"/>
        <v>1.5178009295654291E-3</v>
      </c>
      <c r="T134" s="9">
        <f t="shared" si="103"/>
        <v>1.5178009295654291E-3</v>
      </c>
      <c r="U134" s="407">
        <f t="shared" si="104"/>
        <v>1.7449828978139108</v>
      </c>
      <c r="V134" s="409">
        <f t="shared" si="105"/>
        <v>6.0899306273260673E-3</v>
      </c>
      <c r="W134" s="407">
        <f t="shared" si="106"/>
        <v>6.0899306273260673E-3</v>
      </c>
      <c r="X134" s="407">
        <f t="shared" si="107"/>
        <v>1.7449828978139108</v>
      </c>
      <c r="Y134" s="407">
        <f t="shared" si="108"/>
        <v>1.8269791881978203E-2</v>
      </c>
      <c r="Z134" s="407">
        <f t="shared" si="62"/>
        <v>0.27955838377821984</v>
      </c>
      <c r="AA134" s="407">
        <f t="shared" si="63"/>
        <v>0.14400000000000002</v>
      </c>
      <c r="AB134" s="407">
        <f t="shared" si="64"/>
        <v>0</v>
      </c>
      <c r="AC134" s="407">
        <f t="shared" si="109"/>
        <v>0.44344851808736357</v>
      </c>
      <c r="AD134" s="407">
        <f t="shared" si="110"/>
        <v>3.3420524800328177</v>
      </c>
      <c r="AE134" s="407">
        <f t="shared" si="111"/>
        <v>6.7015888675761054E-2</v>
      </c>
      <c r="AF134" s="407">
        <f t="shared" si="67"/>
        <v>5.3999999999999999E-2</v>
      </c>
      <c r="AG134" s="407">
        <f t="shared" si="112"/>
        <v>0.1226599214033094</v>
      </c>
      <c r="AH134" s="407">
        <f t="shared" si="113"/>
        <v>0</v>
      </c>
      <c r="AI134">
        <f t="shared" si="70"/>
        <v>0</v>
      </c>
      <c r="AJ134" s="408">
        <f t="shared" si="71"/>
        <v>0.13667175000000001</v>
      </c>
      <c r="AK134">
        <f t="shared" si="85"/>
        <v>4.8000000000000001E-2</v>
      </c>
      <c r="AL134" s="408">
        <f t="shared" si="72"/>
        <v>0.1215</v>
      </c>
      <c r="AM134" s="408">
        <f t="shared" si="86"/>
        <v>0.31645971316818772</v>
      </c>
      <c r="AN134" s="408">
        <f t="shared" si="114"/>
        <v>0.16949999999999998</v>
      </c>
      <c r="AO134" s="408">
        <f t="shared" si="115"/>
        <v>1.1513657237153669</v>
      </c>
      <c r="AP134">
        <f t="shared" si="74"/>
        <v>19.125</v>
      </c>
      <c r="AQ134" s="10">
        <f t="shared" si="116"/>
        <v>0.94321636631515671</v>
      </c>
      <c r="AR134" s="63">
        <f t="shared" si="117"/>
        <v>22.172425904368179</v>
      </c>
      <c r="AS134" s="63">
        <f t="shared" si="118"/>
        <v>6.1329960701654702</v>
      </c>
      <c r="AT134" s="10"/>
      <c r="AU134">
        <f t="shared" si="119"/>
        <v>94.321636631515673</v>
      </c>
    </row>
    <row r="135" spans="7:47" x14ac:dyDescent="0.25">
      <c r="G135">
        <v>126</v>
      </c>
      <c r="H135">
        <f t="shared" si="55"/>
        <v>3.7800000000000002</v>
      </c>
      <c r="I135" s="407">
        <f t="shared" si="97"/>
        <v>0.21423250000000002</v>
      </c>
      <c r="J135" s="408">
        <f t="shared" si="56"/>
        <v>1.3496647499999996</v>
      </c>
      <c r="K135" s="408">
        <f t="shared" si="77"/>
        <v>4.4548323750000005</v>
      </c>
      <c r="L135" s="408">
        <f t="shared" si="98"/>
        <v>3.1051676250000004</v>
      </c>
      <c r="M135" s="63">
        <f t="shared" si="57"/>
        <v>0</v>
      </c>
      <c r="N135" s="407">
        <f t="shared" si="99"/>
        <v>3.8000262601876909</v>
      </c>
      <c r="O135" s="407">
        <f t="shared" si="100"/>
        <v>7.2620459461813461E-2</v>
      </c>
      <c r="P135">
        <f t="shared" si="59"/>
        <v>0.2</v>
      </c>
      <c r="Q135" s="407">
        <f t="shared" si="80"/>
        <v>0.27262045946181346</v>
      </c>
      <c r="R135" s="9">
        <f t="shared" si="101"/>
        <v>0.38961465336412437</v>
      </c>
      <c r="S135" s="9">
        <f t="shared" si="102"/>
        <v>1.517995781160468E-3</v>
      </c>
      <c r="T135" s="9">
        <f t="shared" si="103"/>
        <v>1.517995781160468E-3</v>
      </c>
      <c r="U135" s="407">
        <f t="shared" si="104"/>
        <v>1.7588519142095922</v>
      </c>
      <c r="V135" s="409">
        <f t="shared" si="105"/>
        <v>6.1871201122374936E-3</v>
      </c>
      <c r="W135" s="407">
        <f t="shared" si="106"/>
        <v>6.1871201122374936E-3</v>
      </c>
      <c r="X135" s="407">
        <f t="shared" si="107"/>
        <v>1.7588519142095922</v>
      </c>
      <c r="Y135" s="407">
        <f t="shared" si="108"/>
        <v>1.856136033671248E-2</v>
      </c>
      <c r="Z135" s="407">
        <f t="shared" si="62"/>
        <v>0.2818066231282384</v>
      </c>
      <c r="AA135" s="407">
        <f t="shared" si="63"/>
        <v>0.14400000000000002</v>
      </c>
      <c r="AB135" s="407">
        <f t="shared" si="64"/>
        <v>0</v>
      </c>
      <c r="AC135" s="407">
        <f t="shared" si="109"/>
        <v>0.44602374495471775</v>
      </c>
      <c r="AD135" s="407">
        <f t="shared" si="110"/>
        <v>3.3684773298921429</v>
      </c>
      <c r="AE135" s="407">
        <f t="shared" si="111"/>
        <v>6.8079837131983803E-2</v>
      </c>
      <c r="AF135" s="407">
        <f t="shared" si="67"/>
        <v>5.4432000000000001E-2</v>
      </c>
      <c r="AG135" s="407">
        <f t="shared" si="112"/>
        <v>0.12420298087382316</v>
      </c>
      <c r="AH135" s="407">
        <f t="shared" si="113"/>
        <v>0</v>
      </c>
      <c r="AI135">
        <f t="shared" si="70"/>
        <v>0</v>
      </c>
      <c r="AJ135" s="408">
        <f t="shared" si="71"/>
        <v>0.13667072399999999</v>
      </c>
      <c r="AK135">
        <f t="shared" si="85"/>
        <v>4.8000000000000001E-2</v>
      </c>
      <c r="AL135" s="408">
        <f t="shared" si="72"/>
        <v>0.1215</v>
      </c>
      <c r="AM135" s="408">
        <f t="shared" si="86"/>
        <v>0.31645971316818772</v>
      </c>
      <c r="AN135" s="408">
        <f t="shared" si="114"/>
        <v>0.16949999999999998</v>
      </c>
      <c r="AO135" s="408">
        <f t="shared" si="115"/>
        <v>1.1567230251837524</v>
      </c>
      <c r="AP135">
        <f t="shared" si="74"/>
        <v>19.277999999999999</v>
      </c>
      <c r="AQ135" s="10">
        <f t="shared" si="116"/>
        <v>0.94339424010013706</v>
      </c>
      <c r="AR135" s="63">
        <f t="shared" si="117"/>
        <v>22.301187247735889</v>
      </c>
      <c r="AS135" s="63">
        <f t="shared" si="118"/>
        <v>6.2101490436911577</v>
      </c>
      <c r="AT135" s="10"/>
      <c r="AU135">
        <f t="shared" si="119"/>
        <v>94.339424010013701</v>
      </c>
    </row>
    <row r="136" spans="7:47" x14ac:dyDescent="0.25">
      <c r="G136">
        <v>127</v>
      </c>
      <c r="H136">
        <f t="shared" si="55"/>
        <v>3.81</v>
      </c>
      <c r="I136" s="407">
        <f t="shared" si="97"/>
        <v>0.21424624999999997</v>
      </c>
      <c r="J136" s="408">
        <f t="shared" si="56"/>
        <v>1.3497513749999994</v>
      </c>
      <c r="K136" s="408">
        <f t="shared" si="77"/>
        <v>4.4848756874999998</v>
      </c>
      <c r="L136" s="408">
        <f t="shared" si="98"/>
        <v>3.1351243125000003</v>
      </c>
      <c r="M136" s="63">
        <f t="shared" si="57"/>
        <v>0</v>
      </c>
      <c r="N136" s="407">
        <f t="shared" si="99"/>
        <v>3.8298719383977056</v>
      </c>
      <c r="O136" s="407">
        <f t="shared" si="100"/>
        <v>7.3772430538765393E-2</v>
      </c>
      <c r="P136">
        <f t="shared" si="59"/>
        <v>0.2</v>
      </c>
      <c r="Q136" s="407">
        <f t="shared" si="80"/>
        <v>0.27377243053876543</v>
      </c>
      <c r="R136" s="9">
        <f t="shared" si="101"/>
        <v>0.38963965984765864</v>
      </c>
      <c r="S136" s="9">
        <f t="shared" si="102"/>
        <v>1.5181906452619912E-3</v>
      </c>
      <c r="T136" s="9">
        <f t="shared" si="103"/>
        <v>1.5181906452619912E-3</v>
      </c>
      <c r="U136" s="407">
        <f t="shared" si="104"/>
        <v>1.7727229492727412</v>
      </c>
      <c r="V136" s="409">
        <f t="shared" si="105"/>
        <v>6.2850933097564916E-3</v>
      </c>
      <c r="W136" s="407">
        <f t="shared" si="106"/>
        <v>6.2850933097564916E-3</v>
      </c>
      <c r="X136" s="407">
        <f t="shared" si="107"/>
        <v>1.7727229492727412</v>
      </c>
      <c r="Y136" s="407">
        <f t="shared" si="108"/>
        <v>1.8855279929269473E-2</v>
      </c>
      <c r="Z136" s="407">
        <f t="shared" si="62"/>
        <v>0.2840548624782569</v>
      </c>
      <c r="AA136" s="407">
        <f t="shared" si="63"/>
        <v>0.14400000000000002</v>
      </c>
      <c r="AB136" s="407">
        <f t="shared" si="64"/>
        <v>0</v>
      </c>
      <c r="AC136" s="407">
        <f t="shared" si="109"/>
        <v>0.44860184508068301</v>
      </c>
      <c r="AD136" s="407">
        <f t="shared" si="110"/>
        <v>3.3949038881311431</v>
      </c>
      <c r="AE136" s="407">
        <f t="shared" si="111"/>
        <v>6.9152234457887707E-2</v>
      </c>
      <c r="AF136" s="407">
        <f t="shared" si="67"/>
        <v>5.4863999999999996E-2</v>
      </c>
      <c r="AG136" s="407">
        <f t="shared" si="112"/>
        <v>0.12575548907080583</v>
      </c>
      <c r="AH136" s="407">
        <f t="shared" si="113"/>
        <v>0</v>
      </c>
      <c r="AI136">
        <f t="shared" si="70"/>
        <v>0</v>
      </c>
      <c r="AJ136" s="408">
        <f t="shared" si="71"/>
        <v>0.13666969800000001</v>
      </c>
      <c r="AK136">
        <f t="shared" si="85"/>
        <v>4.8000000000000001E-2</v>
      </c>
      <c r="AL136" s="408">
        <f t="shared" si="72"/>
        <v>0.1215</v>
      </c>
      <c r="AM136" s="408">
        <f t="shared" si="86"/>
        <v>0.31645971316818772</v>
      </c>
      <c r="AN136" s="408">
        <f t="shared" si="114"/>
        <v>0.16949999999999998</v>
      </c>
      <c r="AO136" s="408">
        <f t="shared" si="115"/>
        <v>1.1621027466452727</v>
      </c>
      <c r="AP136">
        <f t="shared" si="74"/>
        <v>19.430999999999997</v>
      </c>
      <c r="AQ136" s="10">
        <f t="shared" si="116"/>
        <v>0.94356835096961833</v>
      </c>
      <c r="AR136" s="63">
        <f t="shared" si="117"/>
        <v>22.43009225403415</v>
      </c>
      <c r="AS136" s="63">
        <f t="shared" si="118"/>
        <v>6.2877744535402913</v>
      </c>
      <c r="AT136" s="10"/>
      <c r="AU136">
        <f t="shared" si="119"/>
        <v>94.356835096961831</v>
      </c>
    </row>
    <row r="137" spans="7:47" x14ac:dyDescent="0.25">
      <c r="G137">
        <v>128</v>
      </c>
      <c r="H137">
        <f t="shared" ref="H137:H200" si="120">Iout*(G137/200)</f>
        <v>3.84</v>
      </c>
      <c r="I137" s="407">
        <f t="shared" si="97"/>
        <v>0.21425999999999998</v>
      </c>
      <c r="J137" s="408">
        <f t="shared" ref="J137:J200" si="121">(Vin-Vout)*I137/(Fsw*Lout2)</f>
        <v>1.3498379999999996</v>
      </c>
      <c r="K137" s="408">
        <f t="shared" si="77"/>
        <v>4.5149189999999999</v>
      </c>
      <c r="L137" s="408">
        <f t="shared" si="98"/>
        <v>3.1650809999999998</v>
      </c>
      <c r="M137" s="63">
        <f t="shared" ref="M137:M200" si="122">IF(MIN(Vin, -L137/(CossTop+CossBot)*0.00000002)&lt;0, 0, MIN(Vin, -L137/(CossTop+CossBot)*0.00000002))</f>
        <v>0</v>
      </c>
      <c r="N137" s="407">
        <f t="shared" si="99"/>
        <v>3.8597200095585946</v>
      </c>
      <c r="O137" s="407">
        <f t="shared" si="100"/>
        <v>7.4933720962344283E-2</v>
      </c>
      <c r="P137">
        <f t="shared" ref="P137:P200" si="123">Core_Loss</f>
        <v>0.2</v>
      </c>
      <c r="Q137" s="407">
        <f t="shared" si="80"/>
        <v>0.27493372096234431</v>
      </c>
      <c r="R137" s="9">
        <f t="shared" si="101"/>
        <v>0.38966466633119295</v>
      </c>
      <c r="S137" s="9">
        <f t="shared" si="102"/>
        <v>1.5183855218699994E-3</v>
      </c>
      <c r="T137" s="9">
        <f t="shared" si="103"/>
        <v>1.5183855218699994E-3</v>
      </c>
      <c r="U137" s="407">
        <f t="shared" si="104"/>
        <v>1.7865959767646367</v>
      </c>
      <c r="V137" s="409">
        <f t="shared" si="105"/>
        <v>6.3838503683831729E-3</v>
      </c>
      <c r="W137" s="407">
        <f t="shared" si="106"/>
        <v>6.3838503683831729E-3</v>
      </c>
      <c r="X137" s="407">
        <f t="shared" si="107"/>
        <v>1.7865959767646367</v>
      </c>
      <c r="Y137" s="407">
        <f t="shared" si="108"/>
        <v>1.9151551105149517E-2</v>
      </c>
      <c r="Z137" s="407">
        <f t="shared" ref="Z137:Z200" si="124">IF(L137&lt;0, (Vin*K137*Tf/2)*Fsw, (Vin*L137*Tr/2+Vin*K137*Tf/2)*Fsw)</f>
        <v>0.2863031018282754</v>
      </c>
      <c r="AA137" s="407">
        <f t="shared" ref="AA137:AA200" si="125">(0.5*CossTop*(Vin-M137)^2-0.5*CossBot*(Vin-M137)^2+(QossBot*(Vin-M137)/Vin)*Vin)*Fsw</f>
        <v>0.14400000000000002</v>
      </c>
      <c r="AB137" s="407">
        <f t="shared" ref="AB137:AB200" si="126">IF(L137&gt;0,0,-L137*VsdTop*Deadtime*Fsw)</f>
        <v>0</v>
      </c>
      <c r="AC137" s="407">
        <f t="shared" si="109"/>
        <v>0.45118282311234525</v>
      </c>
      <c r="AD137" s="407">
        <f t="shared" si="110"/>
        <v>3.4213321043119174</v>
      </c>
      <c r="AE137" s="407">
        <f t="shared" si="111"/>
        <v>7.0233080207972476E-2</v>
      </c>
      <c r="AF137" s="407">
        <f t="shared" ref="AF137:AF200" si="127">IF(L137&lt;0, Deadtime*Fsw*IF(VfdSky&gt;0,0,VsdBot)*K137, Deadtime*Fsw*IF(VfdSky&gt;0,0,VsdBot)*(K137+L137))</f>
        <v>5.5295999999999998E-2</v>
      </c>
      <c r="AG137" s="407">
        <f t="shared" si="112"/>
        <v>0.12731745967948135</v>
      </c>
      <c r="AH137" s="407">
        <f t="shared" si="113"/>
        <v>0</v>
      </c>
      <c r="AI137">
        <f t="shared" ref="AI137:AI200" si="128">2*Deadtime*Fsw*IF(VfdSky&gt;0,VfdSky,0)*H137</f>
        <v>0</v>
      </c>
      <c r="AJ137" s="408">
        <f t="shared" ref="AJ137:AJ200" si="129">IF(QrrSky&gt;0,QrrSky,QrrBot)*Fsw*(Vin-H137*RdsonTop)</f>
        <v>0.13666867199999999</v>
      </c>
      <c r="AK137">
        <f t="shared" si="85"/>
        <v>4.8000000000000001E-2</v>
      </c>
      <c r="AL137" s="408">
        <f t="shared" ref="AL137:AL200" si="130">IF(Ext_VCC=1, Vdd*(QgTop+QgBot)*Fsw, Vin*(QgTop+QgBot)*Fsw)</f>
        <v>0.1215</v>
      </c>
      <c r="AM137" s="408">
        <f t="shared" si="86"/>
        <v>0.31645971316818772</v>
      </c>
      <c r="AN137" s="408">
        <f t="shared" si="114"/>
        <v>0.16949999999999998</v>
      </c>
      <c r="AO137" s="408">
        <f t="shared" si="115"/>
        <v>1.167504911644424</v>
      </c>
      <c r="AP137">
        <f t="shared" ref="AP137:AP200" si="131">Vout*H137</f>
        <v>19.584</v>
      </c>
      <c r="AQ137" s="10">
        <f t="shared" si="116"/>
        <v>0.94373878344652995</v>
      </c>
      <c r="AR137" s="63">
        <f t="shared" si="117"/>
        <v>22.559141155617262</v>
      </c>
      <c r="AS137" s="63">
        <f t="shared" si="118"/>
        <v>6.365872983974068</v>
      </c>
      <c r="AT137" s="10"/>
      <c r="AU137">
        <f t="shared" si="119"/>
        <v>94.373878344652994</v>
      </c>
    </row>
    <row r="138" spans="7:47" x14ac:dyDescent="0.25">
      <c r="G138">
        <v>129</v>
      </c>
      <c r="H138">
        <f t="shared" si="120"/>
        <v>3.87</v>
      </c>
      <c r="I138" s="407">
        <f t="shared" si="97"/>
        <v>0.21427375000000001</v>
      </c>
      <c r="J138" s="408">
        <f t="shared" si="121"/>
        <v>1.3499246249999997</v>
      </c>
      <c r="K138" s="408">
        <f t="shared" ref="K138:K201" si="132">H138+J138/2</f>
        <v>4.5449623125</v>
      </c>
      <c r="L138" s="408">
        <f t="shared" si="98"/>
        <v>3.1950376875000002</v>
      </c>
      <c r="M138" s="63">
        <f t="shared" si="122"/>
        <v>0</v>
      </c>
      <c r="N138" s="407">
        <f t="shared" si="99"/>
        <v>3.8895704185807527</v>
      </c>
      <c r="O138" s="407">
        <f t="shared" si="100"/>
        <v>7.610433583860457E-2</v>
      </c>
      <c r="P138">
        <f t="shared" si="123"/>
        <v>0.2</v>
      </c>
      <c r="Q138" s="407">
        <f t="shared" ref="Q138:Q201" si="133">O138+P138</f>
        <v>0.27610433583860461</v>
      </c>
      <c r="R138" s="9">
        <f t="shared" si="101"/>
        <v>0.38968967281472722</v>
      </c>
      <c r="S138" s="9">
        <f t="shared" si="102"/>
        <v>1.5185804109844915E-3</v>
      </c>
      <c r="T138" s="9">
        <f t="shared" si="103"/>
        <v>1.5185804109844915E-3</v>
      </c>
      <c r="U138" s="407">
        <f t="shared" si="104"/>
        <v>1.8004709712485842</v>
      </c>
      <c r="V138" s="409">
        <f t="shared" si="105"/>
        <v>6.4833914366176412E-3</v>
      </c>
      <c r="W138" s="407">
        <f t="shared" si="106"/>
        <v>6.4833914366176412E-3</v>
      </c>
      <c r="X138" s="407">
        <f t="shared" si="107"/>
        <v>1.8004709712485842</v>
      </c>
      <c r="Y138" s="407">
        <f t="shared" si="108"/>
        <v>1.9450174309852922E-2</v>
      </c>
      <c r="Z138" s="407">
        <f t="shared" si="124"/>
        <v>0.28855134117829384</v>
      </c>
      <c r="AA138" s="407">
        <f t="shared" si="125"/>
        <v>0.14400000000000002</v>
      </c>
      <c r="AB138" s="407">
        <f t="shared" si="126"/>
        <v>0</v>
      </c>
      <c r="AC138" s="407">
        <f t="shared" si="109"/>
        <v>0.45376668370696766</v>
      </c>
      <c r="AD138" s="407">
        <f t="shared" si="110"/>
        <v>3.4477619295406159</v>
      </c>
      <c r="AE138" s="407">
        <f t="shared" si="111"/>
        <v>7.1322373936737779E-2</v>
      </c>
      <c r="AF138" s="407">
        <f t="shared" si="127"/>
        <v>5.5728E-2</v>
      </c>
      <c r="AG138" s="407">
        <f t="shared" si="112"/>
        <v>0.12888890649378723</v>
      </c>
      <c r="AH138" s="407">
        <f t="shared" si="113"/>
        <v>0</v>
      </c>
      <c r="AI138">
        <f t="shared" si="128"/>
        <v>0</v>
      </c>
      <c r="AJ138" s="408">
        <f t="shared" si="129"/>
        <v>0.136667646</v>
      </c>
      <c r="AK138">
        <f t="shared" ref="AK138:AK201" si="134">Iq*Vin</f>
        <v>4.8000000000000001E-2</v>
      </c>
      <c r="AL138" s="408">
        <f t="shared" si="130"/>
        <v>0.1215</v>
      </c>
      <c r="AM138" s="408">
        <f t="shared" ref="AM138:AM201" si="135">(Vin-Vdd)*Fsw*(QgTop+QgBot)+(RdsonDRT+RdsonDRT2)*Fsw*QgTop*Vdd/(RdsonDRT+2*RGateTop+RdsonDRT2)+(RdsonDRB+RdsonDRB2)*Fsw*QgBot*Vdd/(RdsonDRB+2*RGateBot+RdsonDRB2)</f>
        <v>0.31645971316818772</v>
      </c>
      <c r="AN138" s="408">
        <f t="shared" si="114"/>
        <v>0.16949999999999998</v>
      </c>
      <c r="AO138" s="408">
        <f t="shared" si="115"/>
        <v>1.1729295438869616</v>
      </c>
      <c r="AP138">
        <f t="shared" si="131"/>
        <v>19.736999999999998</v>
      </c>
      <c r="AQ138" s="10">
        <f t="shared" si="116"/>
        <v>0.94390561950841823</v>
      </c>
      <c r="AR138" s="63">
        <f t="shared" si="117"/>
        <v>22.688334185348381</v>
      </c>
      <c r="AS138" s="63">
        <f t="shared" si="118"/>
        <v>6.4444453246893616</v>
      </c>
      <c r="AT138" s="10"/>
      <c r="AU138">
        <f t="shared" si="119"/>
        <v>94.390561950841828</v>
      </c>
    </row>
    <row r="139" spans="7:47" x14ac:dyDescent="0.25">
      <c r="G139">
        <v>130</v>
      </c>
      <c r="H139">
        <f t="shared" si="120"/>
        <v>3.9000000000000004</v>
      </c>
      <c r="I139" s="407">
        <f t="shared" si="97"/>
        <v>0.21428749999999996</v>
      </c>
      <c r="J139" s="408">
        <f t="shared" si="121"/>
        <v>1.3500112499999994</v>
      </c>
      <c r="K139" s="408">
        <f t="shared" si="132"/>
        <v>4.5750056250000002</v>
      </c>
      <c r="L139" s="408">
        <f t="shared" si="98"/>
        <v>3.2249943750000005</v>
      </c>
      <c r="M139" s="63">
        <f t="shared" si="122"/>
        <v>0</v>
      </c>
      <c r="N139" s="407">
        <f t="shared" si="99"/>
        <v>3.9194231120485767</v>
      </c>
      <c r="O139" s="407">
        <f t="shared" si="100"/>
        <v>7.7284280316025314E-2</v>
      </c>
      <c r="P139">
        <f t="shared" si="123"/>
        <v>0.2</v>
      </c>
      <c r="Q139" s="407">
        <f t="shared" si="133"/>
        <v>0.27728428031602531</v>
      </c>
      <c r="R139" s="9">
        <f t="shared" si="101"/>
        <v>0.38971467929826142</v>
      </c>
      <c r="S139" s="9">
        <f t="shared" si="102"/>
        <v>1.5187753126054675E-3</v>
      </c>
      <c r="T139" s="9">
        <f t="shared" si="103"/>
        <v>1.5187753126054675E-3</v>
      </c>
      <c r="U139" s="407">
        <f t="shared" si="104"/>
        <v>1.8143479080595306</v>
      </c>
      <c r="V139" s="409">
        <f t="shared" si="105"/>
        <v>6.5837166629599897E-3</v>
      </c>
      <c r="W139" s="407">
        <f t="shared" si="106"/>
        <v>6.5837166629599897E-3</v>
      </c>
      <c r="X139" s="407">
        <f t="shared" si="107"/>
        <v>1.8143479080595306</v>
      </c>
      <c r="Y139" s="407">
        <f t="shared" si="108"/>
        <v>1.975114998887997E-2</v>
      </c>
      <c r="Z139" s="407">
        <f t="shared" si="124"/>
        <v>0.29079958052831245</v>
      </c>
      <c r="AA139" s="407">
        <f t="shared" si="125"/>
        <v>0.14400000000000002</v>
      </c>
      <c r="AB139" s="407">
        <f t="shared" si="126"/>
        <v>0</v>
      </c>
      <c r="AC139" s="407">
        <f t="shared" si="109"/>
        <v>0.45635343153201818</v>
      </c>
      <c r="AD139" s="407">
        <f t="shared" si="110"/>
        <v>3.4741933164089409</v>
      </c>
      <c r="AE139" s="407">
        <f t="shared" si="111"/>
        <v>7.2420115198683327E-2</v>
      </c>
      <c r="AF139" s="407">
        <f t="shared" si="127"/>
        <v>5.6160000000000002E-2</v>
      </c>
      <c r="AG139" s="407">
        <f t="shared" si="112"/>
        <v>0.13046984341672196</v>
      </c>
      <c r="AH139" s="407">
        <f t="shared" si="113"/>
        <v>0</v>
      </c>
      <c r="AI139">
        <f t="shared" si="128"/>
        <v>0</v>
      </c>
      <c r="AJ139" s="408">
        <f t="shared" si="129"/>
        <v>0.13666662000000002</v>
      </c>
      <c r="AK139">
        <f t="shared" si="134"/>
        <v>4.8000000000000001E-2</v>
      </c>
      <c r="AL139" s="408">
        <f t="shared" si="130"/>
        <v>0.1215</v>
      </c>
      <c r="AM139" s="408">
        <f t="shared" si="135"/>
        <v>0.31645971316818772</v>
      </c>
      <c r="AN139" s="408">
        <f t="shared" si="114"/>
        <v>0.16949999999999998</v>
      </c>
      <c r="AO139" s="408">
        <f t="shared" si="115"/>
        <v>1.1783766672403309</v>
      </c>
      <c r="AP139">
        <f t="shared" si="131"/>
        <v>19.89</v>
      </c>
      <c r="AQ139" s="10">
        <f t="shared" si="116"/>
        <v>0.94406893868227559</v>
      </c>
      <c r="AR139" s="63">
        <f t="shared" si="117"/>
        <v>22.817671576600908</v>
      </c>
      <c r="AS139" s="63">
        <f t="shared" si="118"/>
        <v>6.5234921708360982</v>
      </c>
      <c r="AT139" s="10"/>
      <c r="AU139">
        <f t="shared" si="119"/>
        <v>94.406893868227556</v>
      </c>
    </row>
    <row r="140" spans="7:47" x14ac:dyDescent="0.25">
      <c r="G140">
        <v>131</v>
      </c>
      <c r="H140">
        <f t="shared" si="120"/>
        <v>3.93</v>
      </c>
      <c r="I140" s="407">
        <f t="shared" si="97"/>
        <v>0.21430125</v>
      </c>
      <c r="J140" s="408">
        <f t="shared" si="121"/>
        <v>1.3500978749999994</v>
      </c>
      <c r="K140" s="408">
        <f t="shared" si="132"/>
        <v>4.6050489374999994</v>
      </c>
      <c r="L140" s="408">
        <f t="shared" si="98"/>
        <v>3.2549510625000004</v>
      </c>
      <c r="M140" s="63">
        <f t="shared" si="122"/>
        <v>0</v>
      </c>
      <c r="N140" s="407">
        <f t="shared" si="99"/>
        <v>3.9492780381575177</v>
      </c>
      <c r="O140" s="407">
        <f t="shared" si="100"/>
        <v>7.8473559585567565E-2</v>
      </c>
      <c r="P140">
        <f t="shared" si="123"/>
        <v>0.2</v>
      </c>
      <c r="Q140" s="407">
        <f t="shared" si="133"/>
        <v>0.27847355958556758</v>
      </c>
      <c r="R140" s="9">
        <f t="shared" si="101"/>
        <v>0.38973968578179574</v>
      </c>
      <c r="S140" s="9">
        <f t="shared" si="102"/>
        <v>1.518970226732929E-3</v>
      </c>
      <c r="T140" s="9">
        <f t="shared" si="103"/>
        <v>1.518970226732929E-3</v>
      </c>
      <c r="U140" s="407">
        <f t="shared" si="104"/>
        <v>1.8282267632750497</v>
      </c>
      <c r="V140" s="409">
        <f t="shared" si="105"/>
        <v>6.6848261959103301E-3</v>
      </c>
      <c r="W140" s="407">
        <f t="shared" si="106"/>
        <v>6.6848261959103301E-3</v>
      </c>
      <c r="X140" s="407">
        <f t="shared" si="107"/>
        <v>1.8282267632750497</v>
      </c>
      <c r="Y140" s="407">
        <f t="shared" si="108"/>
        <v>2.0054478587730989E-2</v>
      </c>
      <c r="Z140" s="407">
        <f t="shared" si="124"/>
        <v>0.2930478198783309</v>
      </c>
      <c r="AA140" s="407">
        <f t="shared" si="125"/>
        <v>0.14400000000000002</v>
      </c>
      <c r="AB140" s="407">
        <f t="shared" si="126"/>
        <v>0</v>
      </c>
      <c r="AC140" s="407">
        <f t="shared" si="109"/>
        <v>0.45894307126519696</v>
      </c>
      <c r="AD140" s="407">
        <f t="shared" si="110"/>
        <v>3.5006262189382813</v>
      </c>
      <c r="AE140" s="407">
        <f t="shared" si="111"/>
        <v>7.3526303548308775E-2</v>
      </c>
      <c r="AF140" s="407">
        <f t="shared" si="127"/>
        <v>5.6591999999999996E-2</v>
      </c>
      <c r="AG140" s="407">
        <f t="shared" si="112"/>
        <v>0.1320602844606954</v>
      </c>
      <c r="AH140" s="407">
        <f t="shared" si="113"/>
        <v>0</v>
      </c>
      <c r="AI140">
        <f t="shared" si="128"/>
        <v>0</v>
      </c>
      <c r="AJ140" s="408">
        <f t="shared" si="129"/>
        <v>0.136665594</v>
      </c>
      <c r="AK140">
        <f t="shared" si="134"/>
        <v>4.8000000000000001E-2</v>
      </c>
      <c r="AL140" s="408">
        <f t="shared" si="130"/>
        <v>0.1215</v>
      </c>
      <c r="AM140" s="408">
        <f t="shared" si="135"/>
        <v>0.31645971316818772</v>
      </c>
      <c r="AN140" s="408">
        <f t="shared" si="114"/>
        <v>0.16949999999999998</v>
      </c>
      <c r="AO140" s="408">
        <f t="shared" si="115"/>
        <v>1.1838463057341031</v>
      </c>
      <c r="AP140">
        <f t="shared" si="131"/>
        <v>20.042999999999999</v>
      </c>
      <c r="AQ140" s="10">
        <f t="shared" si="116"/>
        <v>0.94422881813516002</v>
      </c>
      <c r="AR140" s="63">
        <f t="shared" si="117"/>
        <v>22.947153563259846</v>
      </c>
      <c r="AS140" s="63">
        <f t="shared" si="118"/>
        <v>6.6030142230347701</v>
      </c>
      <c r="AT140" s="10"/>
      <c r="AU140">
        <f t="shared" si="119"/>
        <v>94.422881813516</v>
      </c>
    </row>
    <row r="141" spans="7:47" x14ac:dyDescent="0.25">
      <c r="G141">
        <v>132</v>
      </c>
      <c r="H141">
        <f t="shared" si="120"/>
        <v>3.96</v>
      </c>
      <c r="I141" s="407">
        <f t="shared" si="97"/>
        <v>0.21431500000000001</v>
      </c>
      <c r="J141" s="408">
        <f t="shared" si="121"/>
        <v>1.3501844999999997</v>
      </c>
      <c r="K141" s="408">
        <f t="shared" si="132"/>
        <v>4.6350922499999996</v>
      </c>
      <c r="L141" s="408">
        <f t="shared" si="98"/>
        <v>3.2849077500000003</v>
      </c>
      <c r="M141" s="63">
        <f t="shared" si="122"/>
        <v>0</v>
      </c>
      <c r="N141" s="407">
        <f t="shared" si="99"/>
        <v>3.9791351466539417</v>
      </c>
      <c r="O141" s="407">
        <f t="shared" si="100"/>
        <v>7.9672178880731803E-2</v>
      </c>
      <c r="P141">
        <f t="shared" si="123"/>
        <v>0.2</v>
      </c>
      <c r="Q141" s="407">
        <f t="shared" si="133"/>
        <v>0.27967217888073181</v>
      </c>
      <c r="R141" s="9">
        <f t="shared" si="101"/>
        <v>0.38976469226533006</v>
      </c>
      <c r="S141" s="9">
        <f t="shared" si="102"/>
        <v>1.5191651533668744E-3</v>
      </c>
      <c r="T141" s="9">
        <f t="shared" si="103"/>
        <v>1.5191651533668744E-3</v>
      </c>
      <c r="U141" s="407">
        <f t="shared" si="104"/>
        <v>1.842107513687619</v>
      </c>
      <c r="V141" s="409">
        <f t="shared" si="105"/>
        <v>6.7867201839687625E-3</v>
      </c>
      <c r="W141" s="407">
        <f t="shared" si="106"/>
        <v>6.7867201839687625E-3</v>
      </c>
      <c r="X141" s="407">
        <f t="shared" si="107"/>
        <v>1.842107513687619</v>
      </c>
      <c r="Y141" s="407">
        <f t="shared" si="108"/>
        <v>2.036016055190629E-2</v>
      </c>
      <c r="Z141" s="407">
        <f t="shared" si="124"/>
        <v>0.29529605922834939</v>
      </c>
      <c r="AA141" s="407">
        <f t="shared" si="125"/>
        <v>0.14400000000000002</v>
      </c>
      <c r="AB141" s="407">
        <f t="shared" si="126"/>
        <v>0</v>
      </c>
      <c r="AC141" s="407">
        <f t="shared" si="109"/>
        <v>0.46153560759446471</v>
      </c>
      <c r="AD141" s="407">
        <f t="shared" si="110"/>
        <v>3.5270605925263467</v>
      </c>
      <c r="AE141" s="407">
        <f t="shared" si="111"/>
        <v>7.4640938540113833E-2</v>
      </c>
      <c r="AF141" s="407">
        <f t="shared" si="127"/>
        <v>5.7023999999999998E-2</v>
      </c>
      <c r="AG141" s="407">
        <f t="shared" si="112"/>
        <v>0.1336602437478823</v>
      </c>
      <c r="AH141" s="407">
        <f t="shared" si="113"/>
        <v>0</v>
      </c>
      <c r="AI141">
        <f t="shared" si="128"/>
        <v>0</v>
      </c>
      <c r="AJ141" s="408">
        <f t="shared" si="129"/>
        <v>0.13666456800000001</v>
      </c>
      <c r="AK141">
        <f t="shared" si="134"/>
        <v>4.8000000000000001E-2</v>
      </c>
      <c r="AL141" s="408">
        <f t="shared" si="130"/>
        <v>0.1215</v>
      </c>
      <c r="AM141" s="408">
        <f t="shared" si="135"/>
        <v>0.31645971316818772</v>
      </c>
      <c r="AN141" s="408">
        <f t="shared" si="114"/>
        <v>0.16949999999999998</v>
      </c>
      <c r="AO141" s="408">
        <f t="shared" si="115"/>
        <v>1.1893384835604144</v>
      </c>
      <c r="AP141">
        <f t="shared" si="131"/>
        <v>20.195999999999998</v>
      </c>
      <c r="AQ141" s="10">
        <f t="shared" si="116"/>
        <v>0.94438533276082126</v>
      </c>
      <c r="AR141" s="63">
        <f t="shared" si="117"/>
        <v>23.076780379723235</v>
      </c>
      <c r="AS141" s="63">
        <f t="shared" si="118"/>
        <v>6.6830121873941151</v>
      </c>
      <c r="AT141" s="10"/>
      <c r="AU141">
        <f t="shared" si="119"/>
        <v>94.438533276082126</v>
      </c>
    </row>
    <row r="142" spans="7:47" x14ac:dyDescent="0.25">
      <c r="G142">
        <v>133</v>
      </c>
      <c r="H142">
        <f t="shared" si="120"/>
        <v>3.99</v>
      </c>
      <c r="I142" s="407">
        <f t="shared" si="97"/>
        <v>0.21432874999999996</v>
      </c>
      <c r="J142" s="408">
        <f t="shared" si="121"/>
        <v>1.3502711249999995</v>
      </c>
      <c r="K142" s="408">
        <f t="shared" si="132"/>
        <v>4.6651355624999997</v>
      </c>
      <c r="L142" s="408">
        <f t="shared" si="98"/>
        <v>3.3148644375000007</v>
      </c>
      <c r="M142" s="63">
        <f t="shared" si="122"/>
        <v>0</v>
      </c>
      <c r="N142" s="407">
        <f t="shared" si="99"/>
        <v>4.0089943887776558</v>
      </c>
      <c r="O142" s="407">
        <f t="shared" si="100"/>
        <v>8.0880143477615893E-2</v>
      </c>
      <c r="P142">
        <f t="shared" si="123"/>
        <v>0.2</v>
      </c>
      <c r="Q142" s="407">
        <f t="shared" si="133"/>
        <v>0.28088014347761592</v>
      </c>
      <c r="R142" s="9">
        <f t="shared" si="101"/>
        <v>0.38978969874886427</v>
      </c>
      <c r="S142" s="9">
        <f t="shared" si="102"/>
        <v>1.5193600925073037E-3</v>
      </c>
      <c r="T142" s="9">
        <f t="shared" si="103"/>
        <v>1.5193600925073037E-3</v>
      </c>
      <c r="U142" s="407">
        <f t="shared" si="104"/>
        <v>1.8559901367781286</v>
      </c>
      <c r="V142" s="409">
        <f t="shared" si="105"/>
        <v>6.8893987756353933E-3</v>
      </c>
      <c r="W142" s="407">
        <f t="shared" si="106"/>
        <v>6.8893987756353933E-3</v>
      </c>
      <c r="X142" s="407">
        <f t="shared" si="107"/>
        <v>1.8559901367781286</v>
      </c>
      <c r="Y142" s="407">
        <f t="shared" si="108"/>
        <v>2.0668196326906179E-2</v>
      </c>
      <c r="Z142" s="407">
        <f t="shared" si="124"/>
        <v>0.29754429857836795</v>
      </c>
      <c r="AA142" s="407">
        <f t="shared" si="125"/>
        <v>0.14400000000000002</v>
      </c>
      <c r="AB142" s="407">
        <f t="shared" si="126"/>
        <v>0</v>
      </c>
      <c r="AC142" s="407">
        <f t="shared" si="109"/>
        <v>0.46413104521807003</v>
      </c>
      <c r="AD142" s="407">
        <f t="shared" si="110"/>
        <v>3.5534963938961628</v>
      </c>
      <c r="AE142" s="407">
        <f t="shared" si="111"/>
        <v>7.5764019728598198E-2</v>
      </c>
      <c r="AF142" s="407">
        <f t="shared" si="127"/>
        <v>5.7456E-2</v>
      </c>
      <c r="AG142" s="407">
        <f t="shared" si="112"/>
        <v>0.13526973551057936</v>
      </c>
      <c r="AH142" s="407">
        <f t="shared" si="113"/>
        <v>0</v>
      </c>
      <c r="AI142">
        <f t="shared" si="128"/>
        <v>0</v>
      </c>
      <c r="AJ142" s="408">
        <f t="shared" si="129"/>
        <v>0.136663542</v>
      </c>
      <c r="AK142">
        <f t="shared" si="134"/>
        <v>4.8000000000000001E-2</v>
      </c>
      <c r="AL142" s="408">
        <f t="shared" si="130"/>
        <v>0.1215</v>
      </c>
      <c r="AM142" s="408">
        <f t="shared" si="135"/>
        <v>0.31645971316818772</v>
      </c>
      <c r="AN142" s="408">
        <f t="shared" si="114"/>
        <v>0.16949999999999998</v>
      </c>
      <c r="AO142" s="408">
        <f t="shared" si="115"/>
        <v>1.1948532250744079</v>
      </c>
      <c r="AP142">
        <f t="shared" si="131"/>
        <v>20.349</v>
      </c>
      <c r="AQ142" s="10">
        <f t="shared" si="116"/>
        <v>0.94453855526254027</v>
      </c>
      <c r="AR142" s="63">
        <f t="shared" si="117"/>
        <v>23.2065522609035</v>
      </c>
      <c r="AS142" s="63">
        <f t="shared" si="118"/>
        <v>6.7634867755289676</v>
      </c>
      <c r="AT142" s="10"/>
      <c r="AU142">
        <f t="shared" si="119"/>
        <v>94.453855526254031</v>
      </c>
    </row>
    <row r="143" spans="7:47" x14ac:dyDescent="0.25">
      <c r="G143">
        <v>134</v>
      </c>
      <c r="H143">
        <f t="shared" si="120"/>
        <v>4.0200000000000005</v>
      </c>
      <c r="I143" s="407">
        <f t="shared" si="97"/>
        <v>0.21434249999999999</v>
      </c>
      <c r="J143" s="408">
        <f t="shared" si="121"/>
        <v>1.3503577499999997</v>
      </c>
      <c r="K143" s="408">
        <f t="shared" si="132"/>
        <v>4.6951788749999999</v>
      </c>
      <c r="L143" s="408">
        <f t="shared" si="98"/>
        <v>3.3448211250000006</v>
      </c>
      <c r="M143" s="63">
        <f t="shared" si="122"/>
        <v>0</v>
      </c>
      <c r="N143" s="407">
        <f t="shared" si="99"/>
        <v>4.0388557172069692</v>
      </c>
      <c r="O143" s="407">
        <f t="shared" si="100"/>
        <v>8.2097458694973688E-2</v>
      </c>
      <c r="P143">
        <f t="shared" si="123"/>
        <v>0.2</v>
      </c>
      <c r="Q143" s="407">
        <f t="shared" si="133"/>
        <v>0.28209745869497371</v>
      </c>
      <c r="R143" s="9">
        <f t="shared" si="101"/>
        <v>0.38981470523239864</v>
      </c>
      <c r="S143" s="9">
        <f t="shared" si="102"/>
        <v>1.5195550441542184E-3</v>
      </c>
      <c r="T143" s="9">
        <f t="shared" si="103"/>
        <v>1.5195550441542184E-3</v>
      </c>
      <c r="U143" s="407">
        <f t="shared" si="104"/>
        <v>1.869874610690557</v>
      </c>
      <c r="V143" s="409">
        <f t="shared" si="105"/>
        <v>6.9928621194103252E-3</v>
      </c>
      <c r="W143" s="407">
        <f t="shared" si="106"/>
        <v>6.9928621194103252E-3</v>
      </c>
      <c r="X143" s="407">
        <f t="shared" si="107"/>
        <v>1.869874610690557</v>
      </c>
      <c r="Y143" s="407">
        <f t="shared" si="108"/>
        <v>2.0978586358230977E-2</v>
      </c>
      <c r="Z143" s="407">
        <f t="shared" si="124"/>
        <v>0.29979253792838639</v>
      </c>
      <c r="AA143" s="407">
        <f t="shared" si="125"/>
        <v>0.14400000000000002</v>
      </c>
      <c r="AB143" s="407">
        <f t="shared" si="126"/>
        <v>0</v>
      </c>
      <c r="AC143" s="407">
        <f t="shared" si="109"/>
        <v>0.46672938884457749</v>
      </c>
      <c r="AD143" s="407">
        <f t="shared" si="110"/>
        <v>3.5799335810473161</v>
      </c>
      <c r="AE143" s="407">
        <f t="shared" si="111"/>
        <v>7.6895546668261566E-2</v>
      </c>
      <c r="AF143" s="407">
        <f t="shared" si="127"/>
        <v>5.7888000000000002E-2</v>
      </c>
      <c r="AG143" s="407">
        <f t="shared" si="112"/>
        <v>0.13688877409156539</v>
      </c>
      <c r="AH143" s="407">
        <f t="shared" si="113"/>
        <v>0</v>
      </c>
      <c r="AI143">
        <f t="shared" si="128"/>
        <v>0</v>
      </c>
      <c r="AJ143" s="408">
        <f t="shared" si="129"/>
        <v>0.13666251600000001</v>
      </c>
      <c r="AK143">
        <f t="shared" si="134"/>
        <v>4.8000000000000001E-2</v>
      </c>
      <c r="AL143" s="408">
        <f t="shared" si="130"/>
        <v>0.1215</v>
      </c>
      <c r="AM143" s="408">
        <f t="shared" si="135"/>
        <v>0.31645971316818772</v>
      </c>
      <c r="AN143" s="408">
        <f t="shared" si="114"/>
        <v>0.16949999999999998</v>
      </c>
      <c r="AO143" s="408">
        <f t="shared" si="115"/>
        <v>1.2003905547946812</v>
      </c>
      <c r="AP143">
        <f t="shared" si="131"/>
        <v>20.502000000000002</v>
      </c>
      <c r="AQ143" s="10">
        <f t="shared" si="116"/>
        <v>0.94468855623236958</v>
      </c>
      <c r="AR143" s="63">
        <f t="shared" si="117"/>
        <v>23.336469442228875</v>
      </c>
      <c r="AS143" s="63">
        <f t="shared" si="118"/>
        <v>6.8444387045782689</v>
      </c>
      <c r="AT143" s="10"/>
      <c r="AU143">
        <f t="shared" si="119"/>
        <v>94.468855623236962</v>
      </c>
    </row>
    <row r="144" spans="7:47" x14ac:dyDescent="0.25">
      <c r="G144">
        <v>135</v>
      </c>
      <c r="H144">
        <f t="shared" si="120"/>
        <v>4.0500000000000007</v>
      </c>
      <c r="I144" s="407">
        <f t="shared" si="97"/>
        <v>0.21435625</v>
      </c>
      <c r="J144" s="408">
        <f t="shared" si="121"/>
        <v>1.3504443749999995</v>
      </c>
      <c r="K144" s="408">
        <f t="shared" si="132"/>
        <v>4.7252221875</v>
      </c>
      <c r="L144" s="408">
        <f t="shared" si="98"/>
        <v>3.374777812500001</v>
      </c>
      <c r="M144" s="63">
        <f t="shared" si="122"/>
        <v>0</v>
      </c>
      <c r="N144" s="407">
        <f t="shared" si="99"/>
        <v>4.0687190860061557</v>
      </c>
      <c r="O144" s="407">
        <f t="shared" si="100"/>
        <v>8.3324129894274138E-2</v>
      </c>
      <c r="P144">
        <f t="shared" si="123"/>
        <v>0.2</v>
      </c>
      <c r="Q144" s="407">
        <f t="shared" si="133"/>
        <v>0.28332412989427413</v>
      </c>
      <c r="R144" s="9">
        <f t="shared" si="101"/>
        <v>0.38983971171593285</v>
      </c>
      <c r="S144" s="9">
        <f t="shared" si="102"/>
        <v>1.5197500083076164E-3</v>
      </c>
      <c r="T144" s="9">
        <f t="shared" si="103"/>
        <v>1.5197500083076164E-3</v>
      </c>
      <c r="U144" s="407">
        <f t="shared" si="104"/>
        <v>1.8837609142077532</v>
      </c>
      <c r="V144" s="409">
        <f t="shared" si="105"/>
        <v>7.0971103637936604E-3</v>
      </c>
      <c r="W144" s="407">
        <f t="shared" si="106"/>
        <v>7.0971103637936604E-3</v>
      </c>
      <c r="X144" s="407">
        <f t="shared" si="107"/>
        <v>1.8837609142077532</v>
      </c>
      <c r="Y144" s="407">
        <f t="shared" si="108"/>
        <v>2.1291331091380979E-2</v>
      </c>
      <c r="Z144" s="407">
        <f t="shared" si="124"/>
        <v>0.302040777278405</v>
      </c>
      <c r="AA144" s="407">
        <f t="shared" si="125"/>
        <v>0.14400000000000002</v>
      </c>
      <c r="AB144" s="407">
        <f t="shared" si="126"/>
        <v>0</v>
      </c>
      <c r="AC144" s="407">
        <f t="shared" si="109"/>
        <v>0.46933064319289614</v>
      </c>
      <c r="AD144" s="407">
        <f t="shared" si="110"/>
        <v>3.6063721132093312</v>
      </c>
      <c r="AE144" s="407">
        <f t="shared" si="111"/>
        <v>7.8035518913603621E-2</v>
      </c>
      <c r="AF144" s="407">
        <f t="shared" si="127"/>
        <v>5.8320000000000011E-2</v>
      </c>
      <c r="AG144" s="407">
        <f t="shared" si="112"/>
        <v>0.13851737394446484</v>
      </c>
      <c r="AH144" s="407">
        <f t="shared" si="113"/>
        <v>0</v>
      </c>
      <c r="AI144">
        <f t="shared" si="128"/>
        <v>0</v>
      </c>
      <c r="AJ144" s="408">
        <f t="shared" si="129"/>
        <v>0.13666149</v>
      </c>
      <c r="AK144">
        <f t="shared" si="134"/>
        <v>4.8000000000000001E-2</v>
      </c>
      <c r="AL144" s="408">
        <f t="shared" si="130"/>
        <v>0.1215</v>
      </c>
      <c r="AM144" s="408">
        <f t="shared" si="135"/>
        <v>0.31645971316818772</v>
      </c>
      <c r="AN144" s="408">
        <f t="shared" si="114"/>
        <v>0.16949999999999998</v>
      </c>
      <c r="AO144" s="408">
        <f t="shared" si="115"/>
        <v>1.2059504974037363</v>
      </c>
      <c r="AP144">
        <f t="shared" si="131"/>
        <v>20.655000000000001</v>
      </c>
      <c r="AQ144" s="10">
        <f t="shared" si="116"/>
        <v>0.944835404226959</v>
      </c>
      <c r="AR144" s="63">
        <f t="shared" si="117"/>
        <v>23.466532159644807</v>
      </c>
      <c r="AS144" s="63">
        <f t="shared" si="118"/>
        <v>6.9258686972232422</v>
      </c>
      <c r="AT144" s="10"/>
      <c r="AU144">
        <f t="shared" si="119"/>
        <v>94.483540422695896</v>
      </c>
    </row>
    <row r="145" spans="7:47" x14ac:dyDescent="0.25">
      <c r="G145">
        <v>136</v>
      </c>
      <c r="H145">
        <f t="shared" si="120"/>
        <v>4.08</v>
      </c>
      <c r="I145" s="407">
        <f t="shared" si="97"/>
        <v>0.21436999999999998</v>
      </c>
      <c r="J145" s="408">
        <f t="shared" si="121"/>
        <v>1.3505309999999997</v>
      </c>
      <c r="K145" s="408">
        <f t="shared" si="132"/>
        <v>4.7552655000000001</v>
      </c>
      <c r="L145" s="408">
        <f t="shared" si="98"/>
        <v>3.4047345</v>
      </c>
      <c r="M145" s="63">
        <f t="shared" si="122"/>
        <v>0</v>
      </c>
      <c r="N145" s="407">
        <f t="shared" si="99"/>
        <v>4.0985844505751921</v>
      </c>
      <c r="O145" s="407">
        <f t="shared" si="100"/>
        <v>8.4560162479760545E-2</v>
      </c>
      <c r="P145">
        <f t="shared" si="123"/>
        <v>0.2</v>
      </c>
      <c r="Q145" s="407">
        <f t="shared" si="133"/>
        <v>0.28456016247976057</v>
      </c>
      <c r="R145" s="9">
        <f t="shared" si="101"/>
        <v>0.38986471819946716</v>
      </c>
      <c r="S145" s="9">
        <f t="shared" si="102"/>
        <v>1.5199449849674996E-3</v>
      </c>
      <c r="T145" s="9">
        <f t="shared" si="103"/>
        <v>1.5199449849674996E-3</v>
      </c>
      <c r="U145" s="407">
        <f t="shared" si="104"/>
        <v>1.8976490267282693</v>
      </c>
      <c r="V145" s="409">
        <f t="shared" si="105"/>
        <v>7.2021436572854963E-3</v>
      </c>
      <c r="W145" s="407">
        <f t="shared" si="106"/>
        <v>7.2021436572854963E-3</v>
      </c>
      <c r="X145" s="407">
        <f t="shared" si="107"/>
        <v>1.8976490267282693</v>
      </c>
      <c r="Y145" s="407">
        <f t="shared" si="108"/>
        <v>2.1606430971856487E-2</v>
      </c>
      <c r="Z145" s="407">
        <f t="shared" si="124"/>
        <v>0.30428901662842345</v>
      </c>
      <c r="AA145" s="407">
        <f t="shared" si="125"/>
        <v>0.14400000000000002</v>
      </c>
      <c r="AB145" s="407">
        <f t="shared" si="126"/>
        <v>0</v>
      </c>
      <c r="AC145" s="407">
        <f t="shared" si="109"/>
        <v>0.47193481299230683</v>
      </c>
      <c r="AD145" s="407">
        <f t="shared" si="110"/>
        <v>3.6328119507970684</v>
      </c>
      <c r="AE145" s="407">
        <f t="shared" si="111"/>
        <v>7.9183936019124004E-2</v>
      </c>
      <c r="AF145" s="407">
        <f t="shared" si="127"/>
        <v>5.8751999999999999E-2</v>
      </c>
      <c r="AG145" s="407">
        <f t="shared" si="112"/>
        <v>0.14015554963411458</v>
      </c>
      <c r="AH145" s="407">
        <f t="shared" si="113"/>
        <v>0</v>
      </c>
      <c r="AI145">
        <f t="shared" si="128"/>
        <v>0</v>
      </c>
      <c r="AJ145" s="408">
        <f t="shared" si="129"/>
        <v>0.13666046400000001</v>
      </c>
      <c r="AK145">
        <f t="shared" si="134"/>
        <v>4.8000000000000001E-2</v>
      </c>
      <c r="AL145" s="408">
        <f t="shared" si="130"/>
        <v>0.1215</v>
      </c>
      <c r="AM145" s="408">
        <f t="shared" si="135"/>
        <v>0.31645971316818772</v>
      </c>
      <c r="AN145" s="408">
        <f t="shared" si="114"/>
        <v>0.16949999999999998</v>
      </c>
      <c r="AO145" s="408">
        <f t="shared" si="115"/>
        <v>1.2115330777484348</v>
      </c>
      <c r="AP145">
        <f t="shared" si="131"/>
        <v>20.808</v>
      </c>
      <c r="AQ145" s="10">
        <f t="shared" si="116"/>
        <v>0.94497916584013608</v>
      </c>
      <c r="AR145" s="63">
        <f t="shared" si="117"/>
        <v>23.596740649615342</v>
      </c>
      <c r="AS145" s="63">
        <f t="shared" si="118"/>
        <v>7.0077774817057294</v>
      </c>
      <c r="AT145" s="10"/>
      <c r="AU145">
        <f t="shared" si="119"/>
        <v>94.497916584013609</v>
      </c>
    </row>
    <row r="146" spans="7:47" x14ac:dyDescent="0.25">
      <c r="G146">
        <v>137</v>
      </c>
      <c r="H146">
        <f t="shared" si="120"/>
        <v>4.1100000000000003</v>
      </c>
      <c r="I146" s="407">
        <f t="shared" si="97"/>
        <v>0.21438374999999998</v>
      </c>
      <c r="J146" s="408">
        <f t="shared" si="121"/>
        <v>1.3506176249999997</v>
      </c>
      <c r="K146" s="408">
        <f t="shared" si="132"/>
        <v>4.7853088125000003</v>
      </c>
      <c r="L146" s="408">
        <f t="shared" si="98"/>
        <v>3.4346911875000004</v>
      </c>
      <c r="M146" s="63">
        <f t="shared" si="122"/>
        <v>0</v>
      </c>
      <c r="N146" s="407">
        <f t="shared" si="99"/>
        <v>4.1284517676016748</v>
      </c>
      <c r="O146" s="407">
        <f t="shared" si="100"/>
        <v>8.5805561898511101E-2</v>
      </c>
      <c r="P146">
        <f t="shared" si="123"/>
        <v>0.2</v>
      </c>
      <c r="Q146" s="407">
        <f t="shared" si="133"/>
        <v>0.28580556189851114</v>
      </c>
      <c r="R146" s="9">
        <f t="shared" si="101"/>
        <v>0.38988972468300143</v>
      </c>
      <c r="S146" s="9">
        <f t="shared" si="102"/>
        <v>1.5201399741338664E-3</v>
      </c>
      <c r="T146" s="9">
        <f t="shared" si="103"/>
        <v>1.5201399741338664E-3</v>
      </c>
      <c r="U146" s="407">
        <f t="shared" si="104"/>
        <v>1.911538928244197</v>
      </c>
      <c r="V146" s="409">
        <f t="shared" si="105"/>
        <v>7.3079621483859471E-3</v>
      </c>
      <c r="W146" s="407">
        <f t="shared" si="106"/>
        <v>7.3079621483859471E-3</v>
      </c>
      <c r="X146" s="407">
        <f t="shared" si="107"/>
        <v>1.911538928244197</v>
      </c>
      <c r="Y146" s="407">
        <f t="shared" si="108"/>
        <v>2.1923886445157841E-2</v>
      </c>
      <c r="Z146" s="407">
        <f t="shared" si="124"/>
        <v>0.30653725597844195</v>
      </c>
      <c r="AA146" s="407">
        <f t="shared" si="125"/>
        <v>0.14400000000000002</v>
      </c>
      <c r="AB146" s="407">
        <f t="shared" si="126"/>
        <v>0</v>
      </c>
      <c r="AC146" s="407">
        <f t="shared" si="109"/>
        <v>0.47454190298249127</v>
      </c>
      <c r="AD146" s="407">
        <f t="shared" si="110"/>
        <v>3.6592530553680511</v>
      </c>
      <c r="AE146" s="407">
        <f t="shared" si="111"/>
        <v>8.0340797539322509E-2</v>
      </c>
      <c r="AF146" s="407">
        <f t="shared" si="127"/>
        <v>5.9184E-2</v>
      </c>
      <c r="AG146" s="407">
        <f t="shared" si="112"/>
        <v>0.14180331583693448</v>
      </c>
      <c r="AH146" s="407">
        <f t="shared" si="113"/>
        <v>0</v>
      </c>
      <c r="AI146">
        <f t="shared" si="128"/>
        <v>0</v>
      </c>
      <c r="AJ146" s="408">
        <f t="shared" si="129"/>
        <v>0.13665943799999999</v>
      </c>
      <c r="AK146">
        <f t="shared" si="134"/>
        <v>4.8000000000000001E-2</v>
      </c>
      <c r="AL146" s="408">
        <f t="shared" si="130"/>
        <v>0.1215</v>
      </c>
      <c r="AM146" s="408">
        <f t="shared" si="135"/>
        <v>0.31645971316818772</v>
      </c>
      <c r="AN146" s="408">
        <f t="shared" si="114"/>
        <v>0.16949999999999998</v>
      </c>
      <c r="AO146" s="408">
        <f t="shared" si="115"/>
        <v>1.2171383208404567</v>
      </c>
      <c r="AP146">
        <f t="shared" si="131"/>
        <v>20.960999999999999</v>
      </c>
      <c r="AQ146" s="10">
        <f t="shared" si="116"/>
        <v>0.94511990577240068</v>
      </c>
      <c r="AR146" s="63">
        <f t="shared" si="117"/>
        <v>23.727095149124562</v>
      </c>
      <c r="AS146" s="63">
        <f t="shared" si="118"/>
        <v>7.090165791846724</v>
      </c>
      <c r="AT146" s="10"/>
      <c r="AU146">
        <f t="shared" si="119"/>
        <v>94.51199057724007</v>
      </c>
    </row>
    <row r="147" spans="7:47" x14ac:dyDescent="0.25">
      <c r="G147">
        <v>138</v>
      </c>
      <c r="H147">
        <f t="shared" si="120"/>
        <v>4.1399999999999997</v>
      </c>
      <c r="I147" s="407">
        <f t="shared" si="97"/>
        <v>0.21439749999999999</v>
      </c>
      <c r="J147" s="408">
        <f t="shared" si="121"/>
        <v>1.3507042499999995</v>
      </c>
      <c r="K147" s="408">
        <f t="shared" si="132"/>
        <v>4.8153521249999995</v>
      </c>
      <c r="L147" s="408">
        <f t="shared" si="98"/>
        <v>3.4646478749999998</v>
      </c>
      <c r="M147" s="63">
        <f t="shared" si="122"/>
        <v>0</v>
      </c>
      <c r="N147" s="407">
        <f t="shared" si="99"/>
        <v>4.1583209950147753</v>
      </c>
      <c r="O147" s="407">
        <f t="shared" si="100"/>
        <v>8.7060333640498783E-2</v>
      </c>
      <c r="P147">
        <f t="shared" si="123"/>
        <v>0.2</v>
      </c>
      <c r="Q147" s="407">
        <f t="shared" si="133"/>
        <v>0.28706033364049877</v>
      </c>
      <c r="R147" s="9">
        <f t="shared" si="101"/>
        <v>0.38991473116653569</v>
      </c>
      <c r="S147" s="9">
        <f t="shared" si="102"/>
        <v>1.5203349758067181E-3</v>
      </c>
      <c r="T147" s="9">
        <f t="shared" si="103"/>
        <v>1.5203349758067181E-3</v>
      </c>
      <c r="U147" s="407">
        <f t="shared" si="104"/>
        <v>1.9254305993199421</v>
      </c>
      <c r="V147" s="409">
        <f t="shared" si="105"/>
        <v>7.4145659855951035E-3</v>
      </c>
      <c r="W147" s="407">
        <f t="shared" si="106"/>
        <v>7.4145659855951035E-3</v>
      </c>
      <c r="X147" s="407">
        <f t="shared" si="107"/>
        <v>1.9254305993199421</v>
      </c>
      <c r="Y147" s="407">
        <f t="shared" si="108"/>
        <v>2.224369795678531E-2</v>
      </c>
      <c r="Z147" s="407">
        <f t="shared" si="124"/>
        <v>0.30878549532846034</v>
      </c>
      <c r="AA147" s="407">
        <f t="shared" si="125"/>
        <v>0.14400000000000002</v>
      </c>
      <c r="AB147" s="407">
        <f t="shared" si="126"/>
        <v>0</v>
      </c>
      <c r="AC147" s="407">
        <f t="shared" si="109"/>
        <v>0.47715191791355965</v>
      </c>
      <c r="AD147" s="407">
        <f t="shared" si="110"/>
        <v>3.6856953895816078</v>
      </c>
      <c r="AE147" s="407">
        <f t="shared" si="111"/>
        <v>8.150610302869872E-2</v>
      </c>
      <c r="AF147" s="407">
        <f t="shared" si="127"/>
        <v>5.9615999999999995E-2</v>
      </c>
      <c r="AG147" s="407">
        <f t="shared" si="112"/>
        <v>0.1434606873413003</v>
      </c>
      <c r="AH147" s="407">
        <f t="shared" si="113"/>
        <v>0</v>
      </c>
      <c r="AI147">
        <f t="shared" si="128"/>
        <v>0</v>
      </c>
      <c r="AJ147" s="408">
        <f t="shared" si="129"/>
        <v>0.13665841200000001</v>
      </c>
      <c r="AK147">
        <f t="shared" si="134"/>
        <v>4.8000000000000001E-2</v>
      </c>
      <c r="AL147" s="408">
        <f t="shared" si="130"/>
        <v>0.1215</v>
      </c>
      <c r="AM147" s="408">
        <f t="shared" si="135"/>
        <v>0.31645971316818772</v>
      </c>
      <c r="AN147" s="408">
        <f t="shared" si="114"/>
        <v>0.16949999999999998</v>
      </c>
      <c r="AO147" s="408">
        <f t="shared" si="115"/>
        <v>1.2227662518567606</v>
      </c>
      <c r="AP147">
        <f t="shared" si="131"/>
        <v>21.113999999999997</v>
      </c>
      <c r="AQ147" s="10">
        <f t="shared" si="116"/>
        <v>0.94525768689748824</v>
      </c>
      <c r="AR147" s="63">
        <f t="shared" si="117"/>
        <v>23.857595895677981</v>
      </c>
      <c r="AS147" s="63">
        <f t="shared" si="118"/>
        <v>7.1730343670650152</v>
      </c>
      <c r="AT147" s="10"/>
      <c r="AU147">
        <f t="shared" si="119"/>
        <v>94.52576868974883</v>
      </c>
    </row>
    <row r="148" spans="7:47" x14ac:dyDescent="0.25">
      <c r="G148">
        <v>139</v>
      </c>
      <c r="H148">
        <f t="shared" si="120"/>
        <v>4.17</v>
      </c>
      <c r="I148" s="407">
        <f t="shared" si="97"/>
        <v>0.21441124999999997</v>
      </c>
      <c r="J148" s="408">
        <f t="shared" si="121"/>
        <v>1.3507908749999995</v>
      </c>
      <c r="K148" s="408">
        <f t="shared" si="132"/>
        <v>4.8453954374999997</v>
      </c>
      <c r="L148" s="408">
        <f t="shared" si="98"/>
        <v>3.4946045625000002</v>
      </c>
      <c r="M148" s="63">
        <f t="shared" si="122"/>
        <v>0</v>
      </c>
      <c r="N148" s="407">
        <f t="shared" si="99"/>
        <v>4.1881920919411764</v>
      </c>
      <c r="O148" s="407">
        <f t="shared" si="100"/>
        <v>8.8324483238653051E-2</v>
      </c>
      <c r="P148">
        <f t="shared" si="123"/>
        <v>0.2</v>
      </c>
      <c r="Q148" s="407">
        <f t="shared" si="133"/>
        <v>0.28832448323865306</v>
      </c>
      <c r="R148" s="9">
        <f t="shared" si="101"/>
        <v>0.38993973765006995</v>
      </c>
      <c r="S148" s="9">
        <f t="shared" si="102"/>
        <v>1.5205299899860539E-3</v>
      </c>
      <c r="T148" s="9">
        <f t="shared" si="103"/>
        <v>1.5205299899860539E-3</v>
      </c>
      <c r="U148" s="407">
        <f t="shared" si="104"/>
        <v>1.9393240210719145</v>
      </c>
      <c r="V148" s="409">
        <f t="shared" si="105"/>
        <v>7.5219553174130796E-3</v>
      </c>
      <c r="W148" s="407">
        <f t="shared" si="106"/>
        <v>7.5219553174130796E-3</v>
      </c>
      <c r="X148" s="407">
        <f t="shared" si="107"/>
        <v>1.9393240210719145</v>
      </c>
      <c r="Y148" s="407">
        <f t="shared" si="108"/>
        <v>2.2565865952239236E-2</v>
      </c>
      <c r="Z148" s="407">
        <f t="shared" si="124"/>
        <v>0.31103373467847895</v>
      </c>
      <c r="AA148" s="407">
        <f t="shared" si="125"/>
        <v>0.14400000000000002</v>
      </c>
      <c r="AB148" s="407">
        <f t="shared" si="126"/>
        <v>0</v>
      </c>
      <c r="AC148" s="407">
        <f t="shared" si="109"/>
        <v>0.47976486254608008</v>
      </c>
      <c r="AD148" s="407">
        <f t="shared" si="110"/>
        <v>3.7121389171597641</v>
      </c>
      <c r="AE148" s="407">
        <f t="shared" si="111"/>
        <v>8.2679852041752391E-2</v>
      </c>
      <c r="AF148" s="407">
        <f t="shared" si="127"/>
        <v>6.0047999999999997E-2</v>
      </c>
      <c r="AG148" s="407">
        <f t="shared" si="112"/>
        <v>0.14512767904792143</v>
      </c>
      <c r="AH148" s="407">
        <f t="shared" si="113"/>
        <v>0</v>
      </c>
      <c r="AI148">
        <f t="shared" si="128"/>
        <v>0</v>
      </c>
      <c r="AJ148" s="408">
        <f t="shared" si="129"/>
        <v>0.13665738599999999</v>
      </c>
      <c r="AK148">
        <f t="shared" si="134"/>
        <v>4.8000000000000001E-2</v>
      </c>
      <c r="AL148" s="408">
        <f t="shared" si="130"/>
        <v>0.1215</v>
      </c>
      <c r="AM148" s="408">
        <f t="shared" si="135"/>
        <v>0.31645971316818772</v>
      </c>
      <c r="AN148" s="408">
        <f t="shared" si="114"/>
        <v>0.16949999999999998</v>
      </c>
      <c r="AO148" s="408">
        <f t="shared" si="115"/>
        <v>1.2284168961400537</v>
      </c>
      <c r="AP148">
        <f t="shared" si="131"/>
        <v>21.266999999999999</v>
      </c>
      <c r="AQ148" s="10">
        <f t="shared" si="116"/>
        <v>0.94539257032614343</v>
      </c>
      <c r="AR148" s="63">
        <f t="shared" si="117"/>
        <v>23.988243127304003</v>
      </c>
      <c r="AS148" s="63">
        <f t="shared" si="118"/>
        <v>7.2563839523960709</v>
      </c>
      <c r="AT148" s="10"/>
      <c r="AU148">
        <f t="shared" si="119"/>
        <v>94.539257032614344</v>
      </c>
    </row>
    <row r="149" spans="7:47" x14ac:dyDescent="0.25">
      <c r="G149">
        <v>140</v>
      </c>
      <c r="H149">
        <f t="shared" si="120"/>
        <v>4.1999999999999993</v>
      </c>
      <c r="I149" s="407">
        <f t="shared" si="97"/>
        <v>0.21442499999999998</v>
      </c>
      <c r="J149" s="408">
        <f t="shared" si="121"/>
        <v>1.3508774999999997</v>
      </c>
      <c r="K149" s="408">
        <f t="shared" si="132"/>
        <v>4.8754387499999989</v>
      </c>
      <c r="L149" s="408">
        <f t="shared" si="98"/>
        <v>3.5245612499999996</v>
      </c>
      <c r="M149" s="63">
        <f t="shared" si="122"/>
        <v>0</v>
      </c>
      <c r="N149" s="407">
        <f t="shared" si="99"/>
        <v>4.2180650186628448</v>
      </c>
      <c r="O149" s="407">
        <f t="shared" si="100"/>
        <v>8.9598016268920805E-2</v>
      </c>
      <c r="P149">
        <f t="shared" si="123"/>
        <v>0.2</v>
      </c>
      <c r="Q149" s="407">
        <f t="shared" si="133"/>
        <v>0.28959801626892079</v>
      </c>
      <c r="R149" s="9">
        <f t="shared" si="101"/>
        <v>0.38996474413360427</v>
      </c>
      <c r="S149" s="9">
        <f t="shared" si="102"/>
        <v>1.5207250166718745E-3</v>
      </c>
      <c r="T149" s="9">
        <f t="shared" si="103"/>
        <v>1.5207250166718745E-3</v>
      </c>
      <c r="U149" s="407">
        <f t="shared" si="104"/>
        <v>1.9532191751490628</v>
      </c>
      <c r="V149" s="409">
        <f t="shared" si="105"/>
        <v>7.6301302923399714E-3</v>
      </c>
      <c r="W149" s="407">
        <f t="shared" si="106"/>
        <v>7.6301302923399714E-3</v>
      </c>
      <c r="X149" s="407">
        <f t="shared" si="107"/>
        <v>1.9532191751490628</v>
      </c>
      <c r="Y149" s="407">
        <f t="shared" si="108"/>
        <v>2.2890390877019915E-2</v>
      </c>
      <c r="Z149" s="407">
        <f t="shared" si="124"/>
        <v>0.31328197402849739</v>
      </c>
      <c r="AA149" s="407">
        <f t="shared" si="125"/>
        <v>0.14400000000000002</v>
      </c>
      <c r="AB149" s="407">
        <f t="shared" si="126"/>
        <v>0</v>
      </c>
      <c r="AC149" s="407">
        <f t="shared" si="109"/>
        <v>0.48238074165110545</v>
      </c>
      <c r="AD149" s="407">
        <f t="shared" si="110"/>
        <v>3.7385836028497743</v>
      </c>
      <c r="AE149" s="407">
        <f t="shared" si="111"/>
        <v>8.3862044132983191E-2</v>
      </c>
      <c r="AF149" s="407">
        <f t="shared" si="127"/>
        <v>6.0479999999999985E-2</v>
      </c>
      <c r="AG149" s="407">
        <f t="shared" si="112"/>
        <v>0.14680430597022048</v>
      </c>
      <c r="AH149" s="407">
        <f t="shared" si="113"/>
        <v>0</v>
      </c>
      <c r="AI149">
        <f t="shared" si="128"/>
        <v>0</v>
      </c>
      <c r="AJ149" s="408">
        <f t="shared" si="129"/>
        <v>0.13665636</v>
      </c>
      <c r="AK149">
        <f t="shared" si="134"/>
        <v>4.8000000000000001E-2</v>
      </c>
      <c r="AL149" s="408">
        <f t="shared" si="130"/>
        <v>0.1215</v>
      </c>
      <c r="AM149" s="408">
        <f t="shared" si="135"/>
        <v>0.31645971316818772</v>
      </c>
      <c r="AN149" s="408">
        <f t="shared" si="114"/>
        <v>0.16949999999999998</v>
      </c>
      <c r="AO149" s="408">
        <f t="shared" si="115"/>
        <v>1.2340902791992587</v>
      </c>
      <c r="AP149">
        <f t="shared" si="131"/>
        <v>21.419999999999995</v>
      </c>
      <c r="AQ149" s="10">
        <f t="shared" si="116"/>
        <v>0.9455246154672392</v>
      </c>
      <c r="AR149" s="63">
        <f t="shared" si="117"/>
        <v>24.119037082555273</v>
      </c>
      <c r="AS149" s="63">
        <f t="shared" si="118"/>
        <v>7.3402152985110245</v>
      </c>
      <c r="AT149" s="10"/>
      <c r="AU149">
        <f t="shared" si="119"/>
        <v>94.552461546723919</v>
      </c>
    </row>
    <row r="150" spans="7:47" x14ac:dyDescent="0.25">
      <c r="G150">
        <v>141</v>
      </c>
      <c r="H150">
        <f t="shared" si="120"/>
        <v>4.2299999999999995</v>
      </c>
      <c r="I150" s="407">
        <f t="shared" si="97"/>
        <v>0.21443874999999998</v>
      </c>
      <c r="J150" s="408">
        <f t="shared" si="121"/>
        <v>1.3509641249999995</v>
      </c>
      <c r="K150" s="408">
        <f t="shared" si="132"/>
        <v>4.9054820624999991</v>
      </c>
      <c r="L150" s="408">
        <f t="shared" si="98"/>
        <v>3.5545179375</v>
      </c>
      <c r="M150" s="63">
        <f t="shared" si="122"/>
        <v>0</v>
      </c>
      <c r="N150" s="407">
        <f t="shared" si="99"/>
        <v>4.2479397365765932</v>
      </c>
      <c r="O150" s="407">
        <f t="shared" si="100"/>
        <v>9.088093835032883E-2</v>
      </c>
      <c r="P150">
        <f t="shared" si="123"/>
        <v>0.2</v>
      </c>
      <c r="Q150" s="407">
        <f t="shared" si="133"/>
        <v>0.29088093835032885</v>
      </c>
      <c r="R150" s="9">
        <f t="shared" si="101"/>
        <v>0.38998975061713848</v>
      </c>
      <c r="S150" s="9">
        <f t="shared" si="102"/>
        <v>1.5209200558641786E-3</v>
      </c>
      <c r="T150" s="9">
        <f t="shared" si="103"/>
        <v>1.5209200558641786E-3</v>
      </c>
      <c r="U150" s="407">
        <f t="shared" si="104"/>
        <v>1.967116043714235</v>
      </c>
      <c r="V150" s="409">
        <f t="shared" si="105"/>
        <v>7.7390910588758886E-3</v>
      </c>
      <c r="W150" s="407">
        <f t="shared" si="106"/>
        <v>7.7390910588758886E-3</v>
      </c>
      <c r="X150" s="407">
        <f t="shared" si="107"/>
        <v>1.967116043714235</v>
      </c>
      <c r="Y150" s="407">
        <f t="shared" si="108"/>
        <v>2.3217273176627664E-2</v>
      </c>
      <c r="Z150" s="407">
        <f t="shared" si="124"/>
        <v>0.31553021337851594</v>
      </c>
      <c r="AA150" s="407">
        <f t="shared" si="125"/>
        <v>0.14400000000000002</v>
      </c>
      <c r="AB150" s="407">
        <f t="shared" si="126"/>
        <v>0</v>
      </c>
      <c r="AC150" s="407">
        <f t="shared" si="109"/>
        <v>0.48499956001020383</v>
      </c>
      <c r="AD150" s="407">
        <f t="shared" si="110"/>
        <v>3.7650294123882317</v>
      </c>
      <c r="AE150" s="407">
        <f t="shared" si="111"/>
        <v>8.5052678856890843E-2</v>
      </c>
      <c r="AF150" s="407">
        <f t="shared" si="127"/>
        <v>6.0911999999999994E-2</v>
      </c>
      <c r="AG150" s="407">
        <f t="shared" si="112"/>
        <v>0.14849058323471781</v>
      </c>
      <c r="AH150" s="407">
        <f t="shared" si="113"/>
        <v>0</v>
      </c>
      <c r="AI150">
        <f t="shared" si="128"/>
        <v>0</v>
      </c>
      <c r="AJ150" s="408">
        <f t="shared" si="129"/>
        <v>0.13665533400000002</v>
      </c>
      <c r="AK150">
        <f t="shared" si="134"/>
        <v>4.8000000000000001E-2</v>
      </c>
      <c r="AL150" s="408">
        <f t="shared" si="130"/>
        <v>0.1215</v>
      </c>
      <c r="AM150" s="408">
        <f t="shared" si="135"/>
        <v>0.31645971316818772</v>
      </c>
      <c r="AN150" s="408">
        <f t="shared" si="114"/>
        <v>0.16949999999999998</v>
      </c>
      <c r="AO150" s="408">
        <f t="shared" si="115"/>
        <v>1.2397864267099907</v>
      </c>
      <c r="AP150">
        <f t="shared" si="131"/>
        <v>21.572999999999997</v>
      </c>
      <c r="AQ150" s="10">
        <f t="shared" si="116"/>
        <v>0.94565388008637097</v>
      </c>
      <c r="AR150" s="63">
        <f t="shared" si="117"/>
        <v>24.249978000510193</v>
      </c>
      <c r="AS150" s="63">
        <f t="shared" si="118"/>
        <v>7.4245291617358902</v>
      </c>
      <c r="AT150" s="10"/>
      <c r="AU150">
        <f t="shared" si="119"/>
        <v>94.5653880086371</v>
      </c>
    </row>
    <row r="151" spans="7:47" x14ac:dyDescent="0.25">
      <c r="G151">
        <v>142</v>
      </c>
      <c r="H151">
        <f t="shared" si="120"/>
        <v>4.26</v>
      </c>
      <c r="I151" s="407">
        <f t="shared" si="97"/>
        <v>0.21445249999999996</v>
      </c>
      <c r="J151" s="408">
        <f t="shared" si="121"/>
        <v>1.3510507499999995</v>
      </c>
      <c r="K151" s="408">
        <f t="shared" si="132"/>
        <v>4.9355253749999992</v>
      </c>
      <c r="L151" s="408">
        <f t="shared" si="98"/>
        <v>3.5844746249999999</v>
      </c>
      <c r="M151" s="63">
        <f t="shared" si="122"/>
        <v>0</v>
      </c>
      <c r="N151" s="407">
        <f t="shared" si="99"/>
        <v>4.2778162081553122</v>
      </c>
      <c r="O151" s="407">
        <f t="shared" si="100"/>
        <v>9.2173255145046137E-2</v>
      </c>
      <c r="P151">
        <f t="shared" si="123"/>
        <v>0.2</v>
      </c>
      <c r="Q151" s="407">
        <f t="shared" si="133"/>
        <v>0.29217325514504616</v>
      </c>
      <c r="R151" s="9">
        <f t="shared" si="101"/>
        <v>0.39001475710067279</v>
      </c>
      <c r="S151" s="9">
        <f t="shared" si="102"/>
        <v>1.521115107562968E-3</v>
      </c>
      <c r="T151" s="9">
        <f t="shared" si="103"/>
        <v>1.521115107562968E-3</v>
      </c>
      <c r="U151" s="407">
        <f t="shared" si="104"/>
        <v>1.9810146094263068</v>
      </c>
      <c r="V151" s="409">
        <f t="shared" si="105"/>
        <v>7.8488377655209253E-3</v>
      </c>
      <c r="W151" s="407">
        <f t="shared" si="106"/>
        <v>7.8488377655209253E-3</v>
      </c>
      <c r="X151" s="407">
        <f t="shared" si="107"/>
        <v>1.9810146094263068</v>
      </c>
      <c r="Y151" s="407">
        <f t="shared" si="108"/>
        <v>2.3546513296562776E-2</v>
      </c>
      <c r="Z151" s="407">
        <f t="shared" si="124"/>
        <v>0.31777845272853444</v>
      </c>
      <c r="AA151" s="407">
        <f t="shared" si="125"/>
        <v>0.14400000000000002</v>
      </c>
      <c r="AB151" s="407">
        <f t="shared" si="126"/>
        <v>0</v>
      </c>
      <c r="AC151" s="407">
        <f t="shared" si="109"/>
        <v>0.487621322415486</v>
      </c>
      <c r="AD151" s="407">
        <f t="shared" si="110"/>
        <v>3.7914763124666666</v>
      </c>
      <c r="AE151" s="407">
        <f t="shared" si="111"/>
        <v>8.6251755767974989E-2</v>
      </c>
      <c r="AF151" s="407">
        <f t="shared" si="127"/>
        <v>6.1343999999999996E-2</v>
      </c>
      <c r="AG151" s="407">
        <f t="shared" si="112"/>
        <v>0.150186526081418</v>
      </c>
      <c r="AH151" s="407">
        <f t="shared" si="113"/>
        <v>0</v>
      </c>
      <c r="AI151">
        <f t="shared" si="128"/>
        <v>0</v>
      </c>
      <c r="AJ151" s="408">
        <f t="shared" si="129"/>
        <v>0.136654308</v>
      </c>
      <c r="AK151">
        <f t="shared" si="134"/>
        <v>4.8000000000000001E-2</v>
      </c>
      <c r="AL151" s="408">
        <f t="shared" si="130"/>
        <v>0.1215</v>
      </c>
      <c r="AM151" s="408">
        <f t="shared" si="135"/>
        <v>0.31645971316818772</v>
      </c>
      <c r="AN151" s="408">
        <f t="shared" si="114"/>
        <v>0.16949999999999998</v>
      </c>
      <c r="AO151" s="408">
        <f t="shared" si="115"/>
        <v>1.245505364515034</v>
      </c>
      <c r="AP151">
        <f t="shared" si="131"/>
        <v>21.725999999999999</v>
      </c>
      <c r="AQ151" s="10">
        <f t="shared" si="116"/>
        <v>0.94578042036204502</v>
      </c>
      <c r="AR151" s="63">
        <f t="shared" si="117"/>
        <v>24.3810661207743</v>
      </c>
      <c r="AS151" s="63">
        <f t="shared" si="118"/>
        <v>7.5093263040708997</v>
      </c>
      <c r="AT151" s="10"/>
      <c r="AU151">
        <f t="shared" si="119"/>
        <v>94.578042036204508</v>
      </c>
    </row>
    <row r="152" spans="7:47" x14ac:dyDescent="0.25">
      <c r="G152">
        <v>143</v>
      </c>
      <c r="H152">
        <f t="shared" si="120"/>
        <v>4.29</v>
      </c>
      <c r="I152" s="407">
        <f t="shared" si="97"/>
        <v>0.21446624999999997</v>
      </c>
      <c r="J152" s="408">
        <f t="shared" si="121"/>
        <v>1.3511373749999995</v>
      </c>
      <c r="K152" s="408">
        <f t="shared" si="132"/>
        <v>4.9655686874999994</v>
      </c>
      <c r="L152" s="408">
        <f t="shared" si="98"/>
        <v>3.6144313125000003</v>
      </c>
      <c r="M152" s="63">
        <f t="shared" si="122"/>
        <v>0</v>
      </c>
      <c r="N152" s="407">
        <f t="shared" si="99"/>
        <v>4.3076943969108141</v>
      </c>
      <c r="O152" s="407">
        <f t="shared" si="100"/>
        <v>9.347497235844715E-2</v>
      </c>
      <c r="P152">
        <f t="shared" si="123"/>
        <v>0.2</v>
      </c>
      <c r="Q152" s="407">
        <f t="shared" si="133"/>
        <v>0.29347497235844716</v>
      </c>
      <c r="R152" s="9">
        <f t="shared" si="101"/>
        <v>0.39003976358420706</v>
      </c>
      <c r="S152" s="9">
        <f t="shared" si="102"/>
        <v>1.5213101717682415E-3</v>
      </c>
      <c r="T152" s="9">
        <f t="shared" si="103"/>
        <v>1.5213101717682415E-3</v>
      </c>
      <c r="U152" s="407">
        <f t="shared" si="104"/>
        <v>1.9949148554230576</v>
      </c>
      <c r="V152" s="409">
        <f t="shared" si="105"/>
        <v>7.9593705607751974E-3</v>
      </c>
      <c r="W152" s="407">
        <f t="shared" si="106"/>
        <v>7.9593705607751974E-3</v>
      </c>
      <c r="X152" s="407">
        <f t="shared" si="107"/>
        <v>1.9949148554230576</v>
      </c>
      <c r="Y152" s="407">
        <f t="shared" si="108"/>
        <v>2.3878111682325592E-2</v>
      </c>
      <c r="Z152" s="407">
        <f t="shared" si="124"/>
        <v>0.32002669207855294</v>
      </c>
      <c r="AA152" s="407">
        <f t="shared" si="125"/>
        <v>0.14400000000000002</v>
      </c>
      <c r="AB152" s="407">
        <f t="shared" si="126"/>
        <v>0</v>
      </c>
      <c r="AC152" s="407">
        <f t="shared" si="109"/>
        <v>0.49024603366963465</v>
      </c>
      <c r="AD152" s="407">
        <f t="shared" si="110"/>
        <v>3.8179242706985721</v>
      </c>
      <c r="AE152" s="407">
        <f t="shared" si="111"/>
        <v>8.7459274420735339E-2</v>
      </c>
      <c r="AF152" s="407">
        <f t="shared" si="127"/>
        <v>6.1775999999999998E-2</v>
      </c>
      <c r="AG152" s="407">
        <f t="shared" si="112"/>
        <v>0.15189214986420105</v>
      </c>
      <c r="AH152" s="407">
        <f t="shared" si="113"/>
        <v>0</v>
      </c>
      <c r="AI152">
        <f t="shared" si="128"/>
        <v>0</v>
      </c>
      <c r="AJ152" s="408">
        <f t="shared" si="129"/>
        <v>0.13665328200000001</v>
      </c>
      <c r="AK152">
        <f t="shared" si="134"/>
        <v>4.8000000000000001E-2</v>
      </c>
      <c r="AL152" s="408">
        <f t="shared" si="130"/>
        <v>0.1215</v>
      </c>
      <c r="AM152" s="408">
        <f t="shared" si="135"/>
        <v>0.31645971316818772</v>
      </c>
      <c r="AN152" s="408">
        <f t="shared" si="114"/>
        <v>0.16949999999999998</v>
      </c>
      <c r="AO152" s="408">
        <f t="shared" si="115"/>
        <v>1.2512471186248264</v>
      </c>
      <c r="AP152">
        <f t="shared" si="131"/>
        <v>21.878999999999998</v>
      </c>
      <c r="AQ152" s="10">
        <f t="shared" si="116"/>
        <v>0.94590429093957662</v>
      </c>
      <c r="AR152" s="63">
        <f t="shared" si="117"/>
        <v>24.512301683481734</v>
      </c>
      <c r="AS152" s="63">
        <f t="shared" si="118"/>
        <v>7.5946074932100522</v>
      </c>
      <c r="AT152" s="10"/>
      <c r="AU152">
        <f t="shared" si="119"/>
        <v>94.590429093957667</v>
      </c>
    </row>
    <row r="153" spans="7:47" x14ac:dyDescent="0.25">
      <c r="G153">
        <v>144</v>
      </c>
      <c r="H153">
        <f t="shared" si="120"/>
        <v>4.32</v>
      </c>
      <c r="I153" s="407">
        <f t="shared" si="97"/>
        <v>0.21448</v>
      </c>
      <c r="J153" s="408">
        <f t="shared" si="121"/>
        <v>1.3512239999999998</v>
      </c>
      <c r="K153" s="408">
        <f t="shared" si="132"/>
        <v>4.9956120000000004</v>
      </c>
      <c r="L153" s="408">
        <f t="shared" si="98"/>
        <v>3.6443880000000002</v>
      </c>
      <c r="M153" s="63">
        <f t="shared" si="122"/>
        <v>0</v>
      </c>
      <c r="N153" s="407">
        <f t="shared" si="99"/>
        <v>4.337574267358197</v>
      </c>
      <c r="O153" s="407">
        <f t="shared" si="100"/>
        <v>9.4786095739175111E-2</v>
      </c>
      <c r="P153">
        <f t="shared" si="123"/>
        <v>0.2</v>
      </c>
      <c r="Q153" s="407">
        <f t="shared" si="133"/>
        <v>0.29478609573917514</v>
      </c>
      <c r="R153" s="9">
        <f t="shared" si="101"/>
        <v>0.39006477006774137</v>
      </c>
      <c r="S153" s="9">
        <f t="shared" si="102"/>
        <v>1.5215052484799996E-3</v>
      </c>
      <c r="T153" s="9">
        <f t="shared" si="103"/>
        <v>1.5215052484799996E-3</v>
      </c>
      <c r="U153" s="407">
        <f t="shared" si="104"/>
        <v>2.00881676530474</v>
      </c>
      <c r="V153" s="409">
        <f t="shared" si="105"/>
        <v>8.0706895931387974E-3</v>
      </c>
      <c r="W153" s="407">
        <f t="shared" si="106"/>
        <v>8.0706895931387974E-3</v>
      </c>
      <c r="X153" s="407">
        <f t="shared" si="107"/>
        <v>2.00881676530474</v>
      </c>
      <c r="Y153" s="407">
        <f t="shared" si="108"/>
        <v>2.4212068779416389E-2</v>
      </c>
      <c r="Z153" s="407">
        <f t="shared" si="124"/>
        <v>0.3222749314285715</v>
      </c>
      <c r="AA153" s="407">
        <f t="shared" si="125"/>
        <v>0.14400000000000002</v>
      </c>
      <c r="AB153" s="407">
        <f t="shared" si="126"/>
        <v>0</v>
      </c>
      <c r="AC153" s="407">
        <f t="shared" si="109"/>
        <v>0.4928736985859335</v>
      </c>
      <c r="AD153" s="407">
        <f t="shared" si="110"/>
        <v>3.8443732555877816</v>
      </c>
      <c r="AE153" s="407">
        <f t="shared" si="111"/>
        <v>8.8675234369671604E-2</v>
      </c>
      <c r="AF153" s="407">
        <f t="shared" si="127"/>
        <v>6.2207999999999999E-2</v>
      </c>
      <c r="AG153" s="407">
        <f t="shared" si="112"/>
        <v>0.15360747005121639</v>
      </c>
      <c r="AH153" s="407">
        <f t="shared" si="113"/>
        <v>0</v>
      </c>
      <c r="AI153">
        <f t="shared" si="128"/>
        <v>0</v>
      </c>
      <c r="AJ153" s="408">
        <f t="shared" si="129"/>
        <v>0.136652256</v>
      </c>
      <c r="AK153">
        <f t="shared" si="134"/>
        <v>4.8000000000000001E-2</v>
      </c>
      <c r="AL153" s="408">
        <f t="shared" si="130"/>
        <v>0.1215</v>
      </c>
      <c r="AM153" s="408">
        <f t="shared" si="135"/>
        <v>0.31645971316818772</v>
      </c>
      <c r="AN153" s="408">
        <f t="shared" si="114"/>
        <v>0.16949999999999998</v>
      </c>
      <c r="AO153" s="408">
        <f t="shared" si="115"/>
        <v>1.2570117152179436</v>
      </c>
      <c r="AP153">
        <f t="shared" si="131"/>
        <v>22.032</v>
      </c>
      <c r="AQ153" s="10">
        <f t="shared" si="116"/>
        <v>0.94602554498280567</v>
      </c>
      <c r="AR153" s="63">
        <f t="shared" si="117"/>
        <v>24.643684929296676</v>
      </c>
      <c r="AS153" s="63">
        <f t="shared" si="118"/>
        <v>7.6803735025608191</v>
      </c>
      <c r="AT153" s="10"/>
      <c r="AU153">
        <f t="shared" si="119"/>
        <v>94.602554498280568</v>
      </c>
    </row>
    <row r="154" spans="7:47" x14ac:dyDescent="0.25">
      <c r="G154">
        <v>145</v>
      </c>
      <c r="H154">
        <f t="shared" si="120"/>
        <v>4.3499999999999996</v>
      </c>
      <c r="I154" s="407">
        <f t="shared" si="97"/>
        <v>0.21449374999999996</v>
      </c>
      <c r="J154" s="408">
        <f t="shared" si="121"/>
        <v>1.3513106249999995</v>
      </c>
      <c r="K154" s="408">
        <f t="shared" si="132"/>
        <v>5.0256553124999996</v>
      </c>
      <c r="L154" s="408">
        <f t="shared" si="98"/>
        <v>3.6743446874999997</v>
      </c>
      <c r="M154" s="63">
        <f t="shared" si="122"/>
        <v>0</v>
      </c>
      <c r="N154" s="407">
        <f t="shared" si="99"/>
        <v>4.367455784981666</v>
      </c>
      <c r="O154" s="407">
        <f t="shared" si="100"/>
        <v>9.6106631079206348E-2</v>
      </c>
      <c r="P154">
        <f t="shared" si="123"/>
        <v>0.2</v>
      </c>
      <c r="Q154" s="407">
        <f t="shared" si="133"/>
        <v>0.29610663107920637</v>
      </c>
      <c r="R154" s="9">
        <f t="shared" si="101"/>
        <v>0.39008977655127564</v>
      </c>
      <c r="S154" s="9">
        <f t="shared" si="102"/>
        <v>1.5217003376982417E-3</v>
      </c>
      <c r="T154" s="9">
        <f t="shared" si="103"/>
        <v>1.5217003376982417E-3</v>
      </c>
      <c r="U154" s="407">
        <f t="shared" si="104"/>
        <v>2.0227203231183282</v>
      </c>
      <c r="V154" s="409">
        <f t="shared" si="105"/>
        <v>8.1827950111118281E-3</v>
      </c>
      <c r="W154" s="407">
        <f t="shared" si="106"/>
        <v>8.1827950111118281E-3</v>
      </c>
      <c r="X154" s="407">
        <f t="shared" si="107"/>
        <v>2.0227203231183282</v>
      </c>
      <c r="Y154" s="407">
        <f t="shared" si="108"/>
        <v>2.4548385033335486E-2</v>
      </c>
      <c r="Z154" s="407">
        <f t="shared" si="124"/>
        <v>0.32452317077858994</v>
      </c>
      <c r="AA154" s="407">
        <f t="shared" si="125"/>
        <v>0.14400000000000002</v>
      </c>
      <c r="AB154" s="407">
        <f t="shared" si="126"/>
        <v>0</v>
      </c>
      <c r="AC154" s="407">
        <f t="shared" si="109"/>
        <v>0.49550432198829558</v>
      </c>
      <c r="AD154" s="407">
        <f t="shared" si="110"/>
        <v>3.8708232364981363</v>
      </c>
      <c r="AE154" s="407">
        <f t="shared" si="111"/>
        <v>8.9899635169283454E-2</v>
      </c>
      <c r="AF154" s="407">
        <f t="shared" si="127"/>
        <v>6.2639999999999987E-2</v>
      </c>
      <c r="AG154" s="407">
        <f t="shared" si="112"/>
        <v>0.15533250222528033</v>
      </c>
      <c r="AH154" s="407">
        <f t="shared" si="113"/>
        <v>0</v>
      </c>
      <c r="AI154">
        <f t="shared" si="128"/>
        <v>0</v>
      </c>
      <c r="AJ154" s="408">
        <f t="shared" si="129"/>
        <v>0.13665123000000001</v>
      </c>
      <c r="AK154">
        <f t="shared" si="134"/>
        <v>4.8000000000000001E-2</v>
      </c>
      <c r="AL154" s="408">
        <f t="shared" si="130"/>
        <v>0.1215</v>
      </c>
      <c r="AM154" s="408">
        <f t="shared" si="135"/>
        <v>0.31645971316818772</v>
      </c>
      <c r="AN154" s="408">
        <f t="shared" si="114"/>
        <v>0.16949999999999998</v>
      </c>
      <c r="AO154" s="408">
        <f t="shared" si="115"/>
        <v>1.2627991806415924</v>
      </c>
      <c r="AP154">
        <f t="shared" si="131"/>
        <v>22.184999999999995</v>
      </c>
      <c r="AQ154" s="10">
        <f t="shared" si="116"/>
        <v>0.94614423422373239</v>
      </c>
      <c r="AR154" s="63">
        <f t="shared" si="117"/>
        <v>24.775216099414781</v>
      </c>
      <c r="AS154" s="63">
        <f t="shared" si="118"/>
        <v>7.766625111264017</v>
      </c>
      <c r="AT154" s="10"/>
      <c r="AU154">
        <f t="shared" si="119"/>
        <v>94.614423422373235</v>
      </c>
    </row>
    <row r="155" spans="7:47" x14ac:dyDescent="0.25">
      <c r="G155">
        <v>146</v>
      </c>
      <c r="H155">
        <f t="shared" si="120"/>
        <v>4.38</v>
      </c>
      <c r="I155" s="407">
        <f t="shared" si="97"/>
        <v>0.21450749999999996</v>
      </c>
      <c r="J155" s="408">
        <f t="shared" si="121"/>
        <v>1.3513972499999996</v>
      </c>
      <c r="K155" s="408">
        <f t="shared" si="132"/>
        <v>5.0556986249999998</v>
      </c>
      <c r="L155" s="408">
        <f t="shared" si="98"/>
        <v>3.704301375</v>
      </c>
      <c r="M155" s="63">
        <f t="shared" si="122"/>
        <v>0</v>
      </c>
      <c r="N155" s="407">
        <f t="shared" si="99"/>
        <v>4.3973389162017407</v>
      </c>
      <c r="O155" s="407">
        <f t="shared" si="100"/>
        <v>9.7436584213914795E-2</v>
      </c>
      <c r="P155">
        <f t="shared" si="123"/>
        <v>0.2</v>
      </c>
      <c r="Q155" s="407">
        <f t="shared" si="133"/>
        <v>0.29743658421391483</v>
      </c>
      <c r="R155" s="9">
        <f t="shared" si="101"/>
        <v>0.3901147830348099</v>
      </c>
      <c r="S155" s="9">
        <f t="shared" si="102"/>
        <v>1.5218954394229682E-3</v>
      </c>
      <c r="T155" s="9">
        <f t="shared" si="103"/>
        <v>1.5218954394229682E-3</v>
      </c>
      <c r="U155" s="407">
        <f t="shared" si="104"/>
        <v>2.0366255133424018</v>
      </c>
      <c r="V155" s="409">
        <f t="shared" si="105"/>
        <v>8.2956869631944045E-3</v>
      </c>
      <c r="W155" s="407">
        <f t="shared" si="106"/>
        <v>8.2956869631944045E-3</v>
      </c>
      <c r="X155" s="407">
        <f t="shared" si="107"/>
        <v>2.0366255133424018</v>
      </c>
      <c r="Y155" s="407">
        <f t="shared" si="108"/>
        <v>2.4887060889583212E-2</v>
      </c>
      <c r="Z155" s="407">
        <f t="shared" si="124"/>
        <v>0.32677141012860855</v>
      </c>
      <c r="AA155" s="407">
        <f t="shared" si="125"/>
        <v>0.14400000000000002</v>
      </c>
      <c r="AB155" s="407">
        <f t="shared" si="126"/>
        <v>0</v>
      </c>
      <c r="AC155" s="407">
        <f t="shared" si="109"/>
        <v>0.49813790871129332</v>
      </c>
      <c r="AD155" s="407">
        <f t="shared" si="110"/>
        <v>3.8972741836243827</v>
      </c>
      <c r="AE155" s="407">
        <f t="shared" si="111"/>
        <v>9.1132476374070584E-2</v>
      </c>
      <c r="AF155" s="407">
        <f t="shared" si="127"/>
        <v>6.3072000000000003E-2</v>
      </c>
      <c r="AG155" s="407">
        <f t="shared" si="112"/>
        <v>0.15706726208427765</v>
      </c>
      <c r="AH155" s="407">
        <f t="shared" si="113"/>
        <v>0</v>
      </c>
      <c r="AI155">
        <f t="shared" si="128"/>
        <v>0</v>
      </c>
      <c r="AJ155" s="408">
        <f t="shared" si="129"/>
        <v>0.136650204</v>
      </c>
      <c r="AK155">
        <f t="shared" si="134"/>
        <v>4.8000000000000001E-2</v>
      </c>
      <c r="AL155" s="408">
        <f t="shared" si="130"/>
        <v>0.1215</v>
      </c>
      <c r="AM155" s="408">
        <f t="shared" si="135"/>
        <v>0.31645971316818772</v>
      </c>
      <c r="AN155" s="408">
        <f t="shared" si="114"/>
        <v>0.16949999999999998</v>
      </c>
      <c r="AO155" s="408">
        <f t="shared" si="115"/>
        <v>1.2686095414121032</v>
      </c>
      <c r="AP155">
        <f t="shared" si="131"/>
        <v>22.337999999999997</v>
      </c>
      <c r="AQ155" s="10">
        <f t="shared" si="116"/>
        <v>0.94626040901017006</v>
      </c>
      <c r="AR155" s="63">
        <f t="shared" si="117"/>
        <v>24.906895435564667</v>
      </c>
      <c r="AS155" s="63">
        <f t="shared" si="118"/>
        <v>7.8533631042138827</v>
      </c>
      <c r="AT155" s="10"/>
      <c r="AU155">
        <f t="shared" si="119"/>
        <v>94.626040901017006</v>
      </c>
    </row>
    <row r="156" spans="7:47" x14ac:dyDescent="0.25">
      <c r="G156">
        <v>147</v>
      </c>
      <c r="H156">
        <f t="shared" si="120"/>
        <v>4.41</v>
      </c>
      <c r="I156" s="407">
        <f t="shared" si="97"/>
        <v>0.21452125</v>
      </c>
      <c r="J156" s="408">
        <f t="shared" si="121"/>
        <v>1.3514838749999996</v>
      </c>
      <c r="K156" s="408">
        <f t="shared" si="132"/>
        <v>5.0857419374999999</v>
      </c>
      <c r="L156" s="408">
        <f t="shared" si="98"/>
        <v>3.7342580625000004</v>
      </c>
      <c r="M156" s="63">
        <f t="shared" si="122"/>
        <v>0</v>
      </c>
      <c r="N156" s="407">
        <f t="shared" si="99"/>
        <v>4.4272236283437749</v>
      </c>
      <c r="O156" s="407">
        <f t="shared" si="100"/>
        <v>9.8775961022136941E-2</v>
      </c>
      <c r="P156">
        <f t="shared" si="123"/>
        <v>0.2</v>
      </c>
      <c r="Q156" s="407">
        <f t="shared" si="133"/>
        <v>0.29877596102213694</v>
      </c>
      <c r="R156" s="9">
        <f t="shared" si="101"/>
        <v>0.39013978951834416</v>
      </c>
      <c r="S156" s="9">
        <f t="shared" si="102"/>
        <v>1.5220905536541787E-3</v>
      </c>
      <c r="T156" s="9">
        <f t="shared" si="103"/>
        <v>1.5220905536541787E-3</v>
      </c>
      <c r="U156" s="407">
        <f t="shared" si="104"/>
        <v>2.0505323208726334</v>
      </c>
      <c r="V156" s="409">
        <f t="shared" si="105"/>
        <v>8.4093655978866155E-3</v>
      </c>
      <c r="W156" s="407">
        <f t="shared" si="106"/>
        <v>8.4093655978866155E-3</v>
      </c>
      <c r="X156" s="407">
        <f t="shared" si="107"/>
        <v>2.0505323208726334</v>
      </c>
      <c r="Y156" s="407">
        <f t="shared" si="108"/>
        <v>2.5228096793659848E-2</v>
      </c>
      <c r="Z156" s="407">
        <f t="shared" si="124"/>
        <v>0.329019649478627</v>
      </c>
      <c r="AA156" s="407">
        <f t="shared" si="125"/>
        <v>0.14400000000000002</v>
      </c>
      <c r="AB156" s="407">
        <f t="shared" si="126"/>
        <v>0</v>
      </c>
      <c r="AC156" s="407">
        <f t="shared" si="109"/>
        <v>0.50077446360018651</v>
      </c>
      <c r="AD156" s="407">
        <f t="shared" si="110"/>
        <v>3.9237260679642394</v>
      </c>
      <c r="AE156" s="407">
        <f t="shared" si="111"/>
        <v>9.2373757538532664E-2</v>
      </c>
      <c r="AF156" s="407">
        <f t="shared" si="127"/>
        <v>6.3504000000000005E-2</v>
      </c>
      <c r="AG156" s="407">
        <f t="shared" si="112"/>
        <v>0.15881176544156578</v>
      </c>
      <c r="AH156" s="407">
        <f t="shared" si="113"/>
        <v>0</v>
      </c>
      <c r="AI156">
        <f t="shared" si="128"/>
        <v>0</v>
      </c>
      <c r="AJ156" s="408">
        <f t="shared" si="129"/>
        <v>0.13664917800000001</v>
      </c>
      <c r="AK156">
        <f t="shared" si="134"/>
        <v>4.8000000000000001E-2</v>
      </c>
      <c r="AL156" s="408">
        <f t="shared" si="130"/>
        <v>0.1215</v>
      </c>
      <c r="AM156" s="408">
        <f t="shared" si="135"/>
        <v>0.31645971316818772</v>
      </c>
      <c r="AN156" s="408">
        <f t="shared" si="114"/>
        <v>0.16949999999999998</v>
      </c>
      <c r="AO156" s="408">
        <f t="shared" si="115"/>
        <v>1.27444282421543</v>
      </c>
      <c r="AP156">
        <f t="shared" si="131"/>
        <v>22.491</v>
      </c>
      <c r="AQ156" s="10">
        <f t="shared" si="116"/>
        <v>0.94637411835150587</v>
      </c>
      <c r="AR156" s="63">
        <f t="shared" si="117"/>
        <v>25.038723180009328</v>
      </c>
      <c r="AS156" s="63">
        <f t="shared" si="118"/>
        <v>7.9405882720782888</v>
      </c>
      <c r="AT156" s="10"/>
      <c r="AU156">
        <f t="shared" si="119"/>
        <v>94.637411835150587</v>
      </c>
    </row>
    <row r="157" spans="7:47" x14ac:dyDescent="0.25">
      <c r="G157">
        <v>148</v>
      </c>
      <c r="H157">
        <f t="shared" si="120"/>
        <v>4.4399999999999995</v>
      </c>
      <c r="I157" s="407">
        <f t="shared" si="97"/>
        <v>0.214535</v>
      </c>
      <c r="J157" s="408">
        <f t="shared" si="121"/>
        <v>1.3515704999999998</v>
      </c>
      <c r="K157" s="408">
        <f t="shared" si="132"/>
        <v>5.1157852499999992</v>
      </c>
      <c r="L157" s="408">
        <f t="shared" si="98"/>
        <v>3.7642147499999998</v>
      </c>
      <c r="M157" s="63">
        <f t="shared" si="122"/>
        <v>0</v>
      </c>
      <c r="N157" s="407">
        <f t="shared" si="99"/>
        <v>4.4571098896077475</v>
      </c>
      <c r="O157" s="407">
        <f t="shared" si="100"/>
        <v>0.10012476742623772</v>
      </c>
      <c r="P157">
        <f t="shared" si="123"/>
        <v>0.2</v>
      </c>
      <c r="Q157" s="407">
        <f t="shared" si="133"/>
        <v>0.30012476742623773</v>
      </c>
      <c r="R157" s="9">
        <f t="shared" si="101"/>
        <v>0.39016479600187848</v>
      </c>
      <c r="S157" s="9">
        <f t="shared" si="102"/>
        <v>1.5222856803918745E-3</v>
      </c>
      <c r="T157" s="9">
        <f t="shared" si="103"/>
        <v>1.5222856803918745E-3</v>
      </c>
      <c r="U157" s="407">
        <f t="shared" si="104"/>
        <v>2.0644407310078647</v>
      </c>
      <c r="V157" s="409">
        <f t="shared" si="105"/>
        <v>8.5238310636885743E-3</v>
      </c>
      <c r="W157" s="407">
        <f t="shared" si="106"/>
        <v>8.5238310636885743E-3</v>
      </c>
      <c r="X157" s="407">
        <f t="shared" si="107"/>
        <v>2.0644407310078647</v>
      </c>
      <c r="Y157" s="407">
        <f t="shared" si="108"/>
        <v>2.5571493191065723E-2</v>
      </c>
      <c r="Z157" s="407">
        <f t="shared" si="124"/>
        <v>0.33126788882864544</v>
      </c>
      <c r="AA157" s="407">
        <f t="shared" si="125"/>
        <v>0.14400000000000002</v>
      </c>
      <c r="AB157" s="407">
        <f t="shared" si="126"/>
        <v>0</v>
      </c>
      <c r="AC157" s="407">
        <f t="shared" si="109"/>
        <v>0.50341399151095312</v>
      </c>
      <c r="AD157" s="407">
        <f t="shared" si="110"/>
        <v>3.9501788612915867</v>
      </c>
      <c r="AE157" s="407">
        <f t="shared" si="111"/>
        <v>9.3623478217169376E-2</v>
      </c>
      <c r="AF157" s="407">
        <f t="shared" si="127"/>
        <v>6.3935999999999993E-2</v>
      </c>
      <c r="AG157" s="407">
        <f t="shared" si="112"/>
        <v>0.16056602822638341</v>
      </c>
      <c r="AH157" s="407">
        <f t="shared" si="113"/>
        <v>0</v>
      </c>
      <c r="AI157">
        <f t="shared" si="128"/>
        <v>0</v>
      </c>
      <c r="AJ157" s="408">
        <f t="shared" si="129"/>
        <v>0.13664815199999999</v>
      </c>
      <c r="AK157">
        <f t="shared" si="134"/>
        <v>4.8000000000000001E-2</v>
      </c>
      <c r="AL157" s="408">
        <f t="shared" si="130"/>
        <v>0.1215</v>
      </c>
      <c r="AM157" s="408">
        <f t="shared" si="135"/>
        <v>0.31645971316818772</v>
      </c>
      <c r="AN157" s="408">
        <f t="shared" si="114"/>
        <v>0.16949999999999998</v>
      </c>
      <c r="AO157" s="408">
        <f t="shared" si="115"/>
        <v>1.2802990559076548</v>
      </c>
      <c r="AP157">
        <f t="shared" si="131"/>
        <v>22.643999999999995</v>
      </c>
      <c r="AQ157" s="10">
        <f t="shared" si="116"/>
        <v>0.94648540996265851</v>
      </c>
      <c r="AR157" s="63">
        <f t="shared" si="117"/>
        <v>25.170699575547655</v>
      </c>
      <c r="AS157" s="63">
        <f t="shared" si="118"/>
        <v>8.0283014113191697</v>
      </c>
      <c r="AT157" s="10"/>
      <c r="AU157">
        <f t="shared" si="119"/>
        <v>94.648540996265851</v>
      </c>
    </row>
    <row r="158" spans="7:47" x14ac:dyDescent="0.25">
      <c r="G158">
        <v>149</v>
      </c>
      <c r="H158">
        <f t="shared" si="120"/>
        <v>4.47</v>
      </c>
      <c r="I158" s="407">
        <f t="shared" si="97"/>
        <v>0.21454874999999998</v>
      </c>
      <c r="J158" s="408">
        <f t="shared" si="121"/>
        <v>1.3516571249999996</v>
      </c>
      <c r="K158" s="408">
        <f t="shared" si="132"/>
        <v>5.1458285624999993</v>
      </c>
      <c r="L158" s="408">
        <f t="shared" si="98"/>
        <v>3.7941714375000002</v>
      </c>
      <c r="M158" s="63">
        <f t="shared" si="122"/>
        <v>0</v>
      </c>
      <c r="N158" s="407">
        <f t="shared" si="99"/>
        <v>4.4869976690392432</v>
      </c>
      <c r="O158" s="407">
        <f t="shared" si="100"/>
        <v>0.1014830093921764</v>
      </c>
      <c r="P158">
        <f t="shared" si="123"/>
        <v>0.2</v>
      </c>
      <c r="Q158" s="407">
        <f t="shared" si="133"/>
        <v>0.30148300939217643</v>
      </c>
      <c r="R158" s="9">
        <f t="shared" si="101"/>
        <v>0.39018980248541274</v>
      </c>
      <c r="S158" s="9">
        <f t="shared" si="102"/>
        <v>1.522480819636054E-3</v>
      </c>
      <c r="T158" s="9">
        <f t="shared" si="103"/>
        <v>1.522480819636054E-3</v>
      </c>
      <c r="U158" s="407">
        <f t="shared" si="104"/>
        <v>2.07835072943673</v>
      </c>
      <c r="V158" s="409">
        <f t="shared" si="105"/>
        <v>8.6390835091003752E-3</v>
      </c>
      <c r="W158" s="407">
        <f t="shared" si="106"/>
        <v>8.6390835091003752E-3</v>
      </c>
      <c r="X158" s="407">
        <f t="shared" si="107"/>
        <v>2.07835072943673</v>
      </c>
      <c r="Y158" s="407">
        <f t="shared" si="108"/>
        <v>2.5917250527301126E-2</v>
      </c>
      <c r="Z158" s="407">
        <f t="shared" si="124"/>
        <v>0.33351612817866394</v>
      </c>
      <c r="AA158" s="407">
        <f t="shared" si="125"/>
        <v>0.14400000000000002</v>
      </c>
      <c r="AB158" s="407">
        <f t="shared" si="126"/>
        <v>0</v>
      </c>
      <c r="AC158" s="407">
        <f t="shared" si="109"/>
        <v>0.50605649731031699</v>
      </c>
      <c r="AD158" s="407">
        <f t="shared" si="110"/>
        <v>3.9766325361307167</v>
      </c>
      <c r="AE158" s="407">
        <f t="shared" si="111"/>
        <v>9.48816379644805E-2</v>
      </c>
      <c r="AF158" s="407">
        <f t="shared" si="127"/>
        <v>6.4367999999999995E-2</v>
      </c>
      <c r="AG158" s="407">
        <f t="shared" si="112"/>
        <v>0.16233006648426246</v>
      </c>
      <c r="AH158" s="407">
        <f t="shared" si="113"/>
        <v>0</v>
      </c>
      <c r="AI158">
        <f t="shared" si="128"/>
        <v>0</v>
      </c>
      <c r="AJ158" s="408">
        <f t="shared" si="129"/>
        <v>0.13664712600000001</v>
      </c>
      <c r="AK158">
        <f t="shared" si="134"/>
        <v>4.8000000000000001E-2</v>
      </c>
      <c r="AL158" s="408">
        <f t="shared" si="130"/>
        <v>0.1215</v>
      </c>
      <c r="AM158" s="408">
        <f t="shared" si="135"/>
        <v>0.31645971316818772</v>
      </c>
      <c r="AN158" s="408">
        <f t="shared" si="114"/>
        <v>0.16949999999999998</v>
      </c>
      <c r="AO158" s="408">
        <f t="shared" si="115"/>
        <v>1.2861782635154921</v>
      </c>
      <c r="AP158">
        <f t="shared" si="131"/>
        <v>22.796999999999997</v>
      </c>
      <c r="AQ158" s="10">
        <f t="shared" si="116"/>
        <v>0.9465943303063129</v>
      </c>
      <c r="AR158" s="63">
        <f t="shared" si="117"/>
        <v>25.302824865515849</v>
      </c>
      <c r="AS158" s="63">
        <f t="shared" si="118"/>
        <v>8.1165033242131237</v>
      </c>
      <c r="AT158" s="10"/>
      <c r="AU158">
        <f t="shared" si="119"/>
        <v>94.659433030631291</v>
      </c>
    </row>
    <row r="159" spans="7:47" x14ac:dyDescent="0.25">
      <c r="G159">
        <v>150</v>
      </c>
      <c r="H159">
        <f t="shared" si="120"/>
        <v>4.5</v>
      </c>
      <c r="I159" s="407">
        <f t="shared" si="97"/>
        <v>0.21456249999999999</v>
      </c>
      <c r="J159" s="408">
        <f t="shared" si="121"/>
        <v>1.3517437499999996</v>
      </c>
      <c r="K159" s="408">
        <f t="shared" si="132"/>
        <v>5.1758718749999995</v>
      </c>
      <c r="L159" s="408">
        <f t="shared" si="98"/>
        <v>3.8241281250000001</v>
      </c>
      <c r="M159" s="63">
        <f t="shared" si="122"/>
        <v>0</v>
      </c>
      <c r="N159" s="407">
        <f t="shared" si="99"/>
        <v>4.5168869365015851</v>
      </c>
      <c r="O159" s="407">
        <f t="shared" si="100"/>
        <v>0.10285069292957351</v>
      </c>
      <c r="P159">
        <f t="shared" si="123"/>
        <v>0.2</v>
      </c>
      <c r="Q159" s="407">
        <f t="shared" si="133"/>
        <v>0.30285069292957351</v>
      </c>
      <c r="R159" s="9">
        <f t="shared" si="101"/>
        <v>0.390214808968947</v>
      </c>
      <c r="S159" s="9">
        <f t="shared" si="102"/>
        <v>1.5226759713867181E-3</v>
      </c>
      <c r="T159" s="9">
        <f t="shared" si="103"/>
        <v>1.5226759713867181E-3</v>
      </c>
      <c r="U159" s="407">
        <f t="shared" si="104"/>
        <v>2.0922623022248108</v>
      </c>
      <c r="V159" s="409">
        <f t="shared" si="105"/>
        <v>8.7551230826221314E-3</v>
      </c>
      <c r="W159" s="407">
        <f t="shared" si="106"/>
        <v>8.7551230826221314E-3</v>
      </c>
      <c r="X159" s="407">
        <f t="shared" si="107"/>
        <v>2.0922623022248108</v>
      </c>
      <c r="Y159" s="407">
        <f t="shared" si="108"/>
        <v>2.6265369247866394E-2</v>
      </c>
      <c r="Z159" s="407">
        <f t="shared" si="124"/>
        <v>0.33576436752868249</v>
      </c>
      <c r="AA159" s="407">
        <f t="shared" si="125"/>
        <v>0.14400000000000002</v>
      </c>
      <c r="AB159" s="407">
        <f t="shared" si="126"/>
        <v>0</v>
      </c>
      <c r="AC159" s="407">
        <f t="shared" si="109"/>
        <v>0.50870198587577897</v>
      </c>
      <c r="AD159" s="407">
        <f t="shared" si="110"/>
        <v>4.0030870657315969</v>
      </c>
      <c r="AE159" s="407">
        <f t="shared" si="111"/>
        <v>9.614823633496565E-2</v>
      </c>
      <c r="AF159" s="407">
        <f t="shared" si="127"/>
        <v>6.4799999999999996E-2</v>
      </c>
      <c r="AG159" s="407">
        <f t="shared" si="112"/>
        <v>0.16410389637744305</v>
      </c>
      <c r="AH159" s="407">
        <f t="shared" si="113"/>
        <v>0</v>
      </c>
      <c r="AI159">
        <f t="shared" si="128"/>
        <v>0</v>
      </c>
      <c r="AJ159" s="408">
        <f t="shared" si="129"/>
        <v>0.13664609999999999</v>
      </c>
      <c r="AK159">
        <f t="shared" si="134"/>
        <v>4.8000000000000001E-2</v>
      </c>
      <c r="AL159" s="408">
        <f t="shared" si="130"/>
        <v>0.1215</v>
      </c>
      <c r="AM159" s="408">
        <f t="shared" si="135"/>
        <v>0.31645971316818772</v>
      </c>
      <c r="AN159" s="408">
        <f t="shared" si="114"/>
        <v>0.16949999999999998</v>
      </c>
      <c r="AO159" s="408">
        <f t="shared" si="115"/>
        <v>1.2920804742368042</v>
      </c>
      <c r="AP159">
        <f t="shared" si="131"/>
        <v>22.95</v>
      </c>
      <c r="AQ159" s="10">
        <f t="shared" si="116"/>
        <v>0.94670092463351241</v>
      </c>
      <c r="AR159" s="63">
        <f t="shared" si="117"/>
        <v>25.435099293788948</v>
      </c>
      <c r="AS159" s="63">
        <f t="shared" si="118"/>
        <v>8.2051948188721529</v>
      </c>
      <c r="AT159" s="10"/>
      <c r="AU159">
        <f t="shared" si="119"/>
        <v>94.670092463351239</v>
      </c>
    </row>
    <row r="160" spans="7:47" x14ac:dyDescent="0.25">
      <c r="G160">
        <v>151</v>
      </c>
      <c r="H160">
        <f t="shared" si="120"/>
        <v>4.53</v>
      </c>
      <c r="I160" s="407">
        <f t="shared" si="97"/>
        <v>0.21457625</v>
      </c>
      <c r="J160" s="408">
        <f t="shared" si="121"/>
        <v>1.3518303749999996</v>
      </c>
      <c r="K160" s="408">
        <f t="shared" si="132"/>
        <v>5.2059151875000005</v>
      </c>
      <c r="L160" s="408">
        <f t="shared" si="98"/>
        <v>3.8540848125000005</v>
      </c>
      <c r="M160" s="63">
        <f t="shared" si="122"/>
        <v>0</v>
      </c>
      <c r="N160" s="407">
        <f t="shared" si="99"/>
        <v>4.5467776626490535</v>
      </c>
      <c r="O160" s="407">
        <f t="shared" si="100"/>
        <v>0.10422782409177754</v>
      </c>
      <c r="P160">
        <f t="shared" si="123"/>
        <v>0.2</v>
      </c>
      <c r="Q160" s="407">
        <f t="shared" si="133"/>
        <v>0.30422782409177757</v>
      </c>
      <c r="R160" s="9">
        <f t="shared" si="101"/>
        <v>0.39023981545248126</v>
      </c>
      <c r="S160" s="9">
        <f t="shared" si="102"/>
        <v>1.5228711356438662E-3</v>
      </c>
      <c r="T160" s="9">
        <f t="shared" si="103"/>
        <v>1.5228711356438662E-3</v>
      </c>
      <c r="U160" s="407">
        <f t="shared" si="104"/>
        <v>2.1061754358022911</v>
      </c>
      <c r="V160" s="409">
        <f t="shared" si="105"/>
        <v>8.8719499327539406E-3</v>
      </c>
      <c r="W160" s="407">
        <f t="shared" si="106"/>
        <v>8.8719499327539406E-3</v>
      </c>
      <c r="X160" s="407">
        <f t="shared" si="107"/>
        <v>2.1061754358022911</v>
      </c>
      <c r="Y160" s="407">
        <f t="shared" si="108"/>
        <v>2.6615849798261822E-2</v>
      </c>
      <c r="Z160" s="407">
        <f t="shared" si="124"/>
        <v>0.33801260687870105</v>
      </c>
      <c r="AA160" s="407">
        <f t="shared" si="125"/>
        <v>0.14400000000000002</v>
      </c>
      <c r="AB160" s="407">
        <f t="shared" si="126"/>
        <v>0</v>
      </c>
      <c r="AC160" s="407">
        <f t="shared" si="109"/>
        <v>0.51135046209564472</v>
      </c>
      <c r="AD160" s="407">
        <f t="shared" si="110"/>
        <v>4.0295424240461122</v>
      </c>
      <c r="AE160" s="407">
        <f t="shared" si="111"/>
        <v>9.7423272883124509E-2</v>
      </c>
      <c r="AF160" s="407">
        <f t="shared" si="127"/>
        <v>6.5231999999999998E-2</v>
      </c>
      <c r="AG160" s="407">
        <f t="shared" si="112"/>
        <v>0.16588753418529298</v>
      </c>
      <c r="AH160" s="407">
        <f t="shared" si="113"/>
        <v>0</v>
      </c>
      <c r="AI160">
        <f t="shared" si="128"/>
        <v>0</v>
      </c>
      <c r="AJ160" s="408">
        <f t="shared" si="129"/>
        <v>0.13664507400000001</v>
      </c>
      <c r="AK160">
        <f t="shared" si="134"/>
        <v>4.8000000000000001E-2</v>
      </c>
      <c r="AL160" s="408">
        <f t="shared" si="130"/>
        <v>0.1215</v>
      </c>
      <c r="AM160" s="408">
        <f t="shared" si="135"/>
        <v>0.31645971316818772</v>
      </c>
      <c r="AN160" s="408">
        <f t="shared" si="114"/>
        <v>0.16949999999999998</v>
      </c>
      <c r="AO160" s="408">
        <f t="shared" si="115"/>
        <v>1.2980057154411131</v>
      </c>
      <c r="AP160">
        <f t="shared" si="131"/>
        <v>23.102999999999998</v>
      </c>
      <c r="AQ160" s="10">
        <f t="shared" si="116"/>
        <v>0.94680523702268027</v>
      </c>
      <c r="AR160" s="63">
        <f t="shared" si="117"/>
        <v>25.567523104782236</v>
      </c>
      <c r="AS160" s="63">
        <f t="shared" si="118"/>
        <v>8.2943767092646485</v>
      </c>
      <c r="AT160" s="10"/>
      <c r="AU160">
        <f t="shared" si="119"/>
        <v>94.680523702268033</v>
      </c>
    </row>
    <row r="161" spans="7:47" x14ac:dyDescent="0.25">
      <c r="G161">
        <v>152</v>
      </c>
      <c r="H161">
        <f t="shared" si="120"/>
        <v>4.5600000000000005</v>
      </c>
      <c r="I161" s="407">
        <f t="shared" si="97"/>
        <v>0.21458999999999998</v>
      </c>
      <c r="J161" s="408">
        <f t="shared" si="121"/>
        <v>1.3519169999999994</v>
      </c>
      <c r="K161" s="408">
        <f t="shared" si="132"/>
        <v>5.2359585000000006</v>
      </c>
      <c r="L161" s="408">
        <f t="shared" si="98"/>
        <v>3.8840415000000008</v>
      </c>
      <c r="M161" s="63">
        <f t="shared" si="122"/>
        <v>0</v>
      </c>
      <c r="N161" s="407">
        <f t="shared" si="99"/>
        <v>4.5766698189011574</v>
      </c>
      <c r="O161" s="407">
        <f t="shared" si="100"/>
        <v>0.1056144089759332</v>
      </c>
      <c r="P161">
        <f t="shared" si="123"/>
        <v>0.2</v>
      </c>
      <c r="Q161" s="407">
        <f t="shared" si="133"/>
        <v>0.30561440897593323</v>
      </c>
      <c r="R161" s="9">
        <f t="shared" si="101"/>
        <v>0.39026482193601547</v>
      </c>
      <c r="S161" s="9">
        <f t="shared" si="102"/>
        <v>1.5230663124074987E-3</v>
      </c>
      <c r="T161" s="9">
        <f t="shared" si="103"/>
        <v>1.5230663124074987E-3</v>
      </c>
      <c r="U161" s="407">
        <f t="shared" si="104"/>
        <v>2.1200901169520963</v>
      </c>
      <c r="V161" s="409">
        <f t="shared" si="105"/>
        <v>8.9895642079959072E-3</v>
      </c>
      <c r="W161" s="407">
        <f t="shared" si="106"/>
        <v>8.9895642079959072E-3</v>
      </c>
      <c r="X161" s="407">
        <f t="shared" si="107"/>
        <v>2.1200901169520963</v>
      </c>
      <c r="Y161" s="407">
        <f t="shared" si="108"/>
        <v>2.6968692623987718E-2</v>
      </c>
      <c r="Z161" s="407">
        <f t="shared" si="124"/>
        <v>0.3402608462287196</v>
      </c>
      <c r="AA161" s="407">
        <f t="shared" si="125"/>
        <v>0.14400000000000002</v>
      </c>
      <c r="AB161" s="407">
        <f t="shared" si="126"/>
        <v>0</v>
      </c>
      <c r="AC161" s="407">
        <f t="shared" si="109"/>
        <v>0.5140019308690561</v>
      </c>
      <c r="AD161" s="407">
        <f t="shared" si="110"/>
        <v>4.0559985857052272</v>
      </c>
      <c r="AE161" s="407">
        <f t="shared" si="111"/>
        <v>9.8706747163456829E-2</v>
      </c>
      <c r="AF161" s="407">
        <f t="shared" si="127"/>
        <v>6.5664E-2</v>
      </c>
      <c r="AG161" s="407">
        <f t="shared" si="112"/>
        <v>0.16768099630473035</v>
      </c>
      <c r="AH161" s="407">
        <f t="shared" si="113"/>
        <v>0</v>
      </c>
      <c r="AI161">
        <f t="shared" si="128"/>
        <v>0</v>
      </c>
      <c r="AJ161" s="408">
        <f t="shared" si="129"/>
        <v>0.13664404799999999</v>
      </c>
      <c r="AK161">
        <f t="shared" si="134"/>
        <v>4.8000000000000001E-2</v>
      </c>
      <c r="AL161" s="408">
        <f t="shared" si="130"/>
        <v>0.1215</v>
      </c>
      <c r="AM161" s="408">
        <f t="shared" si="135"/>
        <v>0.31645971316818772</v>
      </c>
      <c r="AN161" s="408">
        <f t="shared" si="114"/>
        <v>0.16949999999999998</v>
      </c>
      <c r="AO161" s="408">
        <f t="shared" si="115"/>
        <v>1.303954014670123</v>
      </c>
      <c r="AP161">
        <f t="shared" si="131"/>
        <v>23.256</v>
      </c>
      <c r="AQ161" s="10">
        <f t="shared" si="116"/>
        <v>0.94690731041714304</v>
      </c>
      <c r="AR161" s="63">
        <f t="shared" si="117"/>
        <v>25.700096543452805</v>
      </c>
      <c r="AS161" s="63">
        <f t="shared" si="118"/>
        <v>8.3840498152365175</v>
      </c>
      <c r="AT161" s="10"/>
      <c r="AU161">
        <f t="shared" si="119"/>
        <v>94.690731041714301</v>
      </c>
    </row>
    <row r="162" spans="7:47" x14ac:dyDescent="0.25">
      <c r="G162">
        <v>153</v>
      </c>
      <c r="H162">
        <f t="shared" si="120"/>
        <v>4.59</v>
      </c>
      <c r="I162" s="407">
        <f t="shared" si="97"/>
        <v>0.21460374999999998</v>
      </c>
      <c r="J162" s="408">
        <f t="shared" si="121"/>
        <v>1.3520036249999996</v>
      </c>
      <c r="K162" s="408">
        <f t="shared" si="132"/>
        <v>5.2660018124999999</v>
      </c>
      <c r="L162" s="408">
        <f t="shared" si="98"/>
        <v>3.9139981874999998</v>
      </c>
      <c r="M162" s="63">
        <f t="shared" si="122"/>
        <v>0</v>
      </c>
      <c r="N162" s="407">
        <f t="shared" si="99"/>
        <v>4.6065633774178947</v>
      </c>
      <c r="O162" s="407">
        <f t="shared" si="100"/>
        <v>0.10701045372304918</v>
      </c>
      <c r="P162">
        <f t="shared" si="123"/>
        <v>0.2</v>
      </c>
      <c r="Q162" s="407">
        <f t="shared" si="133"/>
        <v>0.30701045372304919</v>
      </c>
      <c r="R162" s="9">
        <f t="shared" si="101"/>
        <v>0.39028982841954984</v>
      </c>
      <c r="S162" s="9">
        <f t="shared" si="102"/>
        <v>1.5232615016776167E-3</v>
      </c>
      <c r="T162" s="9">
        <f t="shared" si="103"/>
        <v>1.5232615016776167E-3</v>
      </c>
      <c r="U162" s="407">
        <f t="shared" si="104"/>
        <v>2.1340063327984913</v>
      </c>
      <c r="V162" s="409">
        <f t="shared" si="105"/>
        <v>9.1079660568481307E-3</v>
      </c>
      <c r="W162" s="407">
        <f t="shared" si="106"/>
        <v>9.1079660568481307E-3</v>
      </c>
      <c r="X162" s="407">
        <f t="shared" si="107"/>
        <v>2.1340063327984913</v>
      </c>
      <c r="Y162" s="407">
        <f t="shared" si="108"/>
        <v>2.7323898170544394E-2</v>
      </c>
      <c r="Z162" s="407">
        <f t="shared" si="124"/>
        <v>0.34250908557873799</v>
      </c>
      <c r="AA162" s="407">
        <f t="shared" si="125"/>
        <v>0.14400000000000002</v>
      </c>
      <c r="AB162" s="407">
        <f t="shared" si="126"/>
        <v>0</v>
      </c>
      <c r="AC162" s="407">
        <f t="shared" si="109"/>
        <v>0.51665639710601952</v>
      </c>
      <c r="AD162" s="407">
        <f t="shared" si="110"/>
        <v>4.0824555259970312</v>
      </c>
      <c r="AE162" s="407">
        <f t="shared" si="111"/>
        <v>9.9998658730462181E-2</v>
      </c>
      <c r="AF162" s="407">
        <f t="shared" si="127"/>
        <v>6.6096000000000002E-2</v>
      </c>
      <c r="AG162" s="407">
        <f t="shared" si="112"/>
        <v>0.16948429925064964</v>
      </c>
      <c r="AH162" s="407">
        <f t="shared" si="113"/>
        <v>0</v>
      </c>
      <c r="AI162">
        <f t="shared" si="128"/>
        <v>0</v>
      </c>
      <c r="AJ162" s="408">
        <f t="shared" si="129"/>
        <v>0.136643022</v>
      </c>
      <c r="AK162">
        <f t="shared" si="134"/>
        <v>4.8000000000000001E-2</v>
      </c>
      <c r="AL162" s="408">
        <f t="shared" si="130"/>
        <v>0.1215</v>
      </c>
      <c r="AM162" s="408">
        <f t="shared" si="135"/>
        <v>0.31645971316818772</v>
      </c>
      <c r="AN162" s="408">
        <f t="shared" si="114"/>
        <v>0.16949999999999998</v>
      </c>
      <c r="AO162" s="408">
        <f t="shared" si="115"/>
        <v>1.3099253996382441</v>
      </c>
      <c r="AP162">
        <f t="shared" si="131"/>
        <v>23.408999999999999</v>
      </c>
      <c r="AQ162" s="10">
        <f t="shared" si="116"/>
        <v>0.94700718666122041</v>
      </c>
      <c r="AR162" s="63">
        <f t="shared" si="117"/>
        <v>25.832819855300976</v>
      </c>
      <c r="AS162" s="63">
        <f t="shared" si="118"/>
        <v>8.4742149625324821</v>
      </c>
      <c r="AT162" s="10"/>
      <c r="AU162">
        <f t="shared" si="119"/>
        <v>94.700718666122043</v>
      </c>
    </row>
    <row r="163" spans="7:47" x14ac:dyDescent="0.25">
      <c r="G163">
        <v>154</v>
      </c>
      <c r="H163">
        <f t="shared" si="120"/>
        <v>4.62</v>
      </c>
      <c r="I163" s="407">
        <f t="shared" si="97"/>
        <v>0.21461750000000002</v>
      </c>
      <c r="J163" s="408">
        <f t="shared" si="121"/>
        <v>1.3520902499999998</v>
      </c>
      <c r="K163" s="408">
        <f t="shared" si="132"/>
        <v>5.296045125</v>
      </c>
      <c r="L163" s="408">
        <f t="shared" si="98"/>
        <v>3.9439548750000002</v>
      </c>
      <c r="M163" s="63">
        <f t="shared" si="122"/>
        <v>0</v>
      </c>
      <c r="N163" s="407">
        <f t="shared" si="99"/>
        <v>4.6364583110759687</v>
      </c>
      <c r="O163" s="407">
        <f t="shared" si="100"/>
        <v>0.10841596451806718</v>
      </c>
      <c r="P163">
        <f t="shared" si="123"/>
        <v>0.2</v>
      </c>
      <c r="Q163" s="407">
        <f t="shared" si="133"/>
        <v>0.30841596451806719</v>
      </c>
      <c r="R163" s="9">
        <f t="shared" si="101"/>
        <v>0.39031483490308416</v>
      </c>
      <c r="S163" s="9">
        <f t="shared" si="102"/>
        <v>1.5234567034542186E-3</v>
      </c>
      <c r="T163" s="9">
        <f t="shared" si="103"/>
        <v>1.5234567034542186E-3</v>
      </c>
      <c r="U163" s="407">
        <f t="shared" si="104"/>
        <v>2.1479240707961162</v>
      </c>
      <c r="V163" s="409">
        <f t="shared" si="105"/>
        <v>9.2271556278107191E-3</v>
      </c>
      <c r="W163" s="407">
        <f t="shared" si="106"/>
        <v>9.2271556278107191E-3</v>
      </c>
      <c r="X163" s="407">
        <f t="shared" si="107"/>
        <v>2.1479240707961162</v>
      </c>
      <c r="Y163" s="407">
        <f t="shared" si="108"/>
        <v>2.7681466883432156E-2</v>
      </c>
      <c r="Z163" s="407">
        <f t="shared" si="124"/>
        <v>0.34475732492875655</v>
      </c>
      <c r="AA163" s="407">
        <f t="shared" si="125"/>
        <v>0.14400000000000002</v>
      </c>
      <c r="AB163" s="407">
        <f t="shared" si="126"/>
        <v>0</v>
      </c>
      <c r="AC163" s="407">
        <f t="shared" si="109"/>
        <v>0.51931386572743699</v>
      </c>
      <c r="AD163" s="407">
        <f t="shared" si="110"/>
        <v>4.1089132208456363</v>
      </c>
      <c r="AE163" s="407">
        <f t="shared" si="111"/>
        <v>0.10129900713864036</v>
      </c>
      <c r="AF163" s="407">
        <f t="shared" si="127"/>
        <v>6.6528000000000004E-2</v>
      </c>
      <c r="AG163" s="407">
        <f t="shared" si="112"/>
        <v>0.17129745965635232</v>
      </c>
      <c r="AH163" s="407">
        <f t="shared" si="113"/>
        <v>0</v>
      </c>
      <c r="AI163">
        <f t="shared" si="128"/>
        <v>0</v>
      </c>
      <c r="AJ163" s="408">
        <f t="shared" si="129"/>
        <v>0.13664199600000002</v>
      </c>
      <c r="AK163">
        <f t="shared" si="134"/>
        <v>4.8000000000000001E-2</v>
      </c>
      <c r="AL163" s="408">
        <f t="shared" si="130"/>
        <v>0.1215</v>
      </c>
      <c r="AM163" s="408">
        <f t="shared" si="135"/>
        <v>0.31645971316818772</v>
      </c>
      <c r="AN163" s="408">
        <f t="shared" si="114"/>
        <v>0.16949999999999998</v>
      </c>
      <c r="AO163" s="408">
        <f t="shared" si="115"/>
        <v>1.3159198982331215</v>
      </c>
      <c r="AP163">
        <f t="shared" si="131"/>
        <v>23.561999999999998</v>
      </c>
      <c r="AQ163" s="10">
        <f t="shared" si="116"/>
        <v>0.94710490653494783</v>
      </c>
      <c r="AR163" s="63">
        <f t="shared" si="117"/>
        <v>25.965693286371849</v>
      </c>
      <c r="AS163" s="63">
        <f t="shared" si="118"/>
        <v>8.5648729828176151</v>
      </c>
      <c r="AT163" s="10"/>
      <c r="AU163">
        <f t="shared" si="119"/>
        <v>94.710490653494787</v>
      </c>
    </row>
    <row r="164" spans="7:47" x14ac:dyDescent="0.25">
      <c r="G164">
        <v>155</v>
      </c>
      <c r="H164">
        <f t="shared" si="120"/>
        <v>4.6500000000000004</v>
      </c>
      <c r="I164" s="407">
        <f t="shared" si="97"/>
        <v>0.21463124999999997</v>
      </c>
      <c r="J164" s="408">
        <f t="shared" si="121"/>
        <v>1.3521768749999994</v>
      </c>
      <c r="K164" s="408">
        <f t="shared" si="132"/>
        <v>5.3260884375000002</v>
      </c>
      <c r="L164" s="408">
        <f t="shared" si="98"/>
        <v>3.9739115625000005</v>
      </c>
      <c r="M164" s="63">
        <f t="shared" si="122"/>
        <v>0</v>
      </c>
      <c r="N164" s="407">
        <f t="shared" si="99"/>
        <v>4.6663545934459085</v>
      </c>
      <c r="O164" s="407">
        <f t="shared" si="100"/>
        <v>0.10983094758993087</v>
      </c>
      <c r="P164">
        <f t="shared" si="123"/>
        <v>0.2</v>
      </c>
      <c r="Q164" s="407">
        <f t="shared" si="133"/>
        <v>0.30983094758993091</v>
      </c>
      <c r="R164" s="9">
        <f t="shared" si="101"/>
        <v>0.39033984138661831</v>
      </c>
      <c r="S164" s="9">
        <f t="shared" si="102"/>
        <v>1.5236519177373035E-3</v>
      </c>
      <c r="T164" s="9">
        <f t="shared" si="103"/>
        <v>1.5236519177373035E-3</v>
      </c>
      <c r="U164" s="407">
        <f t="shared" si="104"/>
        <v>2.1618433187194404</v>
      </c>
      <c r="V164" s="409">
        <f t="shared" si="105"/>
        <v>9.3471330693837684E-3</v>
      </c>
      <c r="W164" s="407">
        <f t="shared" si="106"/>
        <v>9.3471330693837684E-3</v>
      </c>
      <c r="X164" s="407">
        <f t="shared" si="107"/>
        <v>2.1618433187194404</v>
      </c>
      <c r="Y164" s="407">
        <f t="shared" si="108"/>
        <v>2.8041399208151303E-2</v>
      </c>
      <c r="Z164" s="407">
        <f t="shared" si="124"/>
        <v>0.34700556427877505</v>
      </c>
      <c r="AA164" s="407">
        <f t="shared" si="125"/>
        <v>0.14400000000000002</v>
      </c>
      <c r="AB164" s="407">
        <f t="shared" si="126"/>
        <v>0</v>
      </c>
      <c r="AC164" s="407">
        <f t="shared" si="109"/>
        <v>0.52197434166513512</v>
      </c>
      <c r="AD164" s="407">
        <f t="shared" si="110"/>
        <v>4.1353716467908717</v>
      </c>
      <c r="AE164" s="407">
        <f t="shared" si="111"/>
        <v>0.10260779194249108</v>
      </c>
      <c r="AF164" s="407">
        <f t="shared" si="127"/>
        <v>6.6960000000000006E-2</v>
      </c>
      <c r="AG164" s="407">
        <f t="shared" si="112"/>
        <v>0.17312049427398024</v>
      </c>
      <c r="AH164" s="407">
        <f t="shared" si="113"/>
        <v>0</v>
      </c>
      <c r="AI164">
        <f t="shared" si="128"/>
        <v>0</v>
      </c>
      <c r="AJ164" s="408">
        <f t="shared" si="129"/>
        <v>0.13664097</v>
      </c>
      <c r="AK164">
        <f t="shared" si="134"/>
        <v>4.8000000000000001E-2</v>
      </c>
      <c r="AL164" s="408">
        <f t="shared" si="130"/>
        <v>0.1215</v>
      </c>
      <c r="AM164" s="408">
        <f t="shared" si="135"/>
        <v>0.31645971316818772</v>
      </c>
      <c r="AN164" s="408">
        <f t="shared" si="114"/>
        <v>0.16949999999999998</v>
      </c>
      <c r="AO164" s="408">
        <f t="shared" si="115"/>
        <v>1.3219375385161671</v>
      </c>
      <c r="AP164">
        <f t="shared" si="131"/>
        <v>23.715</v>
      </c>
      <c r="AQ164" s="10">
        <f t="shared" si="116"/>
        <v>0.94720050978748771</v>
      </c>
      <c r="AR164" s="63">
        <f t="shared" si="117"/>
        <v>26.098717083256755</v>
      </c>
      <c r="AS164" s="63">
        <f t="shared" si="118"/>
        <v>8.6560247136990114</v>
      </c>
      <c r="AT164" s="10"/>
      <c r="AU164">
        <f t="shared" si="119"/>
        <v>94.720050978748773</v>
      </c>
    </row>
    <row r="165" spans="7:47" x14ac:dyDescent="0.25">
      <c r="G165">
        <v>156</v>
      </c>
      <c r="H165">
        <f t="shared" si="120"/>
        <v>4.68</v>
      </c>
      <c r="I165" s="407">
        <f t="shared" si="97"/>
        <v>0.21464499999999997</v>
      </c>
      <c r="J165" s="408">
        <f t="shared" si="121"/>
        <v>1.3522634999999994</v>
      </c>
      <c r="K165" s="408">
        <f t="shared" si="132"/>
        <v>5.3561317499999994</v>
      </c>
      <c r="L165" s="408">
        <f t="shared" si="98"/>
        <v>4.00386825</v>
      </c>
      <c r="M165" s="63">
        <f t="shared" si="122"/>
        <v>0</v>
      </c>
      <c r="N165" s="407">
        <f t="shared" si="99"/>
        <v>4.6962521987700665</v>
      </c>
      <c r="O165" s="407">
        <f t="shared" si="100"/>
        <v>0.11125540921165597</v>
      </c>
      <c r="P165">
        <f t="shared" si="123"/>
        <v>0.2</v>
      </c>
      <c r="Q165" s="407">
        <f t="shared" si="133"/>
        <v>0.31125540921165595</v>
      </c>
      <c r="R165" s="9">
        <f t="shared" si="101"/>
        <v>0.39036484787015258</v>
      </c>
      <c r="S165" s="9">
        <f t="shared" si="102"/>
        <v>1.5238471445268736E-3</v>
      </c>
      <c r="T165" s="9">
        <f t="shared" si="103"/>
        <v>1.5238471445268736E-3</v>
      </c>
      <c r="U165" s="407">
        <f t="shared" si="104"/>
        <v>2.1757640646526211</v>
      </c>
      <c r="V165" s="409">
        <f t="shared" si="105"/>
        <v>9.4678985300673917E-3</v>
      </c>
      <c r="W165" s="407">
        <f t="shared" si="106"/>
        <v>9.4678985300673917E-3</v>
      </c>
      <c r="X165" s="407">
        <f t="shared" si="107"/>
        <v>2.1757640646526211</v>
      </c>
      <c r="Y165" s="407">
        <f t="shared" si="108"/>
        <v>2.8403695590202171E-2</v>
      </c>
      <c r="Z165" s="407">
        <f t="shared" si="124"/>
        <v>0.34925380362879349</v>
      </c>
      <c r="AA165" s="407">
        <f t="shared" si="125"/>
        <v>0.14400000000000002</v>
      </c>
      <c r="AB165" s="407">
        <f t="shared" si="126"/>
        <v>0</v>
      </c>
      <c r="AC165" s="407">
        <f t="shared" si="109"/>
        <v>0.52463782986189611</v>
      </c>
      <c r="AD165" s="407">
        <f t="shared" si="110"/>
        <v>4.1618307809687538</v>
      </c>
      <c r="AE165" s="407">
        <f t="shared" si="111"/>
        <v>0.10392501269651391</v>
      </c>
      <c r="AF165" s="407">
        <f t="shared" si="127"/>
        <v>6.7391999999999994E-2</v>
      </c>
      <c r="AG165" s="407">
        <f t="shared" si="112"/>
        <v>0.17495341997495301</v>
      </c>
      <c r="AH165" s="407">
        <f t="shared" si="113"/>
        <v>0</v>
      </c>
      <c r="AI165">
        <f t="shared" si="128"/>
        <v>0</v>
      </c>
      <c r="AJ165" s="408">
        <f t="shared" si="129"/>
        <v>0.13663994400000001</v>
      </c>
      <c r="AK165">
        <f t="shared" si="134"/>
        <v>4.8000000000000001E-2</v>
      </c>
      <c r="AL165" s="408">
        <f t="shared" si="130"/>
        <v>0.1215</v>
      </c>
      <c r="AM165" s="408">
        <f t="shared" si="135"/>
        <v>0.31645971316818772</v>
      </c>
      <c r="AN165" s="408">
        <f t="shared" si="114"/>
        <v>0.16949999999999998</v>
      </c>
      <c r="AO165" s="408">
        <f t="shared" si="115"/>
        <v>1.3279783487230994</v>
      </c>
      <c r="AP165">
        <f t="shared" si="131"/>
        <v>23.867999999999999</v>
      </c>
      <c r="AQ165" s="10">
        <f t="shared" si="116"/>
        <v>0.94729403516929123</v>
      </c>
      <c r="AR165" s="63">
        <f t="shared" si="117"/>
        <v>26.231891493094807</v>
      </c>
      <c r="AS165" s="63">
        <f t="shared" si="118"/>
        <v>8.7476709987476511</v>
      </c>
      <c r="AT165" s="10"/>
      <c r="AU165">
        <f t="shared" si="119"/>
        <v>94.729403516929125</v>
      </c>
    </row>
    <row r="166" spans="7:47" x14ac:dyDescent="0.25">
      <c r="G166">
        <v>157</v>
      </c>
      <c r="H166">
        <f t="shared" si="120"/>
        <v>4.71</v>
      </c>
      <c r="I166" s="407">
        <f t="shared" si="97"/>
        <v>0.21465875000000001</v>
      </c>
      <c r="J166" s="408">
        <f t="shared" si="121"/>
        <v>1.3523501249999998</v>
      </c>
      <c r="K166" s="408">
        <f t="shared" si="132"/>
        <v>5.3861750624999996</v>
      </c>
      <c r="L166" s="408">
        <f t="shared" si="98"/>
        <v>4.0338249375000004</v>
      </c>
      <c r="M166" s="63">
        <f t="shared" si="122"/>
        <v>0</v>
      </c>
      <c r="N166" s="407">
        <f t="shared" si="99"/>
        <v>4.7261511019414408</v>
      </c>
      <c r="O166" s="407">
        <f t="shared" si="100"/>
        <v>0.11268935570040051</v>
      </c>
      <c r="P166">
        <f t="shared" si="123"/>
        <v>0.2</v>
      </c>
      <c r="Q166" s="407">
        <f t="shared" si="133"/>
        <v>0.31268935570040052</v>
      </c>
      <c r="R166" s="9">
        <f t="shared" si="101"/>
        <v>0.390389854353687</v>
      </c>
      <c r="S166" s="9">
        <f t="shared" si="102"/>
        <v>1.5240423838229296E-3</v>
      </c>
      <c r="T166" s="9">
        <f t="shared" si="103"/>
        <v>1.5240423838229296E-3</v>
      </c>
      <c r="U166" s="407">
        <f t="shared" si="104"/>
        <v>2.1896862969797399</v>
      </c>
      <c r="V166" s="409">
        <f t="shared" si="105"/>
        <v>9.5894521583616919E-3</v>
      </c>
      <c r="W166" s="407">
        <f t="shared" si="106"/>
        <v>9.5894521583616919E-3</v>
      </c>
      <c r="X166" s="407">
        <f t="shared" si="107"/>
        <v>2.1896862969797399</v>
      </c>
      <c r="Y166" s="407">
        <f t="shared" si="108"/>
        <v>2.8768356475085074E-2</v>
      </c>
      <c r="Z166" s="407">
        <f t="shared" si="124"/>
        <v>0.35150204297881199</v>
      </c>
      <c r="AA166" s="407">
        <f t="shared" si="125"/>
        <v>0.14400000000000002</v>
      </c>
      <c r="AB166" s="407">
        <f t="shared" si="126"/>
        <v>0</v>
      </c>
      <c r="AC166" s="407">
        <f t="shared" si="109"/>
        <v>0.52730433527148668</v>
      </c>
      <c r="AD166" s="407">
        <f t="shared" si="110"/>
        <v>4.1882906010927003</v>
      </c>
      <c r="AE166" s="407">
        <f t="shared" si="111"/>
        <v>0.10525066895520872</v>
      </c>
      <c r="AF166" s="407">
        <f t="shared" si="127"/>
        <v>6.7823999999999995E-2</v>
      </c>
      <c r="AG166" s="407">
        <f t="shared" si="112"/>
        <v>0.1767962537504098</v>
      </c>
      <c r="AH166" s="407">
        <f t="shared" si="113"/>
        <v>0</v>
      </c>
      <c r="AI166">
        <f t="shared" si="128"/>
        <v>0</v>
      </c>
      <c r="AJ166" s="408">
        <f t="shared" si="129"/>
        <v>0.136638918</v>
      </c>
      <c r="AK166">
        <f t="shared" si="134"/>
        <v>4.8000000000000001E-2</v>
      </c>
      <c r="AL166" s="408">
        <f t="shared" si="130"/>
        <v>0.1215</v>
      </c>
      <c r="AM166" s="408">
        <f t="shared" si="135"/>
        <v>0.31645971316818772</v>
      </c>
      <c r="AN166" s="408">
        <f t="shared" si="114"/>
        <v>0.16949999999999998</v>
      </c>
      <c r="AO166" s="408">
        <f t="shared" si="115"/>
        <v>1.3340423572644815</v>
      </c>
      <c r="AP166">
        <f t="shared" si="131"/>
        <v>24.020999999999997</v>
      </c>
      <c r="AQ166" s="10">
        <f t="shared" si="116"/>
        <v>0.94738552046306224</v>
      </c>
      <c r="AR166" s="63">
        <f t="shared" si="117"/>
        <v>26.365216763574335</v>
      </c>
      <c r="AS166" s="63">
        <f t="shared" si="118"/>
        <v>8.8398126875204905</v>
      </c>
      <c r="AT166" s="10"/>
      <c r="AU166">
        <f t="shared" si="119"/>
        <v>94.738552046306225</v>
      </c>
    </row>
    <row r="167" spans="7:47" x14ac:dyDescent="0.25">
      <c r="G167">
        <v>158</v>
      </c>
      <c r="H167">
        <f t="shared" si="120"/>
        <v>4.74</v>
      </c>
      <c r="I167" s="407">
        <f t="shared" si="97"/>
        <v>0.21467249999999996</v>
      </c>
      <c r="J167" s="408">
        <f t="shared" si="121"/>
        <v>1.3524367499999994</v>
      </c>
      <c r="K167" s="408">
        <f t="shared" si="132"/>
        <v>5.4162183749999997</v>
      </c>
      <c r="L167" s="408">
        <f t="shared" si="98"/>
        <v>4.0637816250000007</v>
      </c>
      <c r="M167" s="63">
        <f t="shared" si="122"/>
        <v>0</v>
      </c>
      <c r="N167" s="407">
        <f t="shared" si="99"/>
        <v>4.7560512784832909</v>
      </c>
      <c r="O167" s="407">
        <f t="shared" si="100"/>
        <v>0.11413279341753531</v>
      </c>
      <c r="P167">
        <f t="shared" si="123"/>
        <v>0.2</v>
      </c>
      <c r="Q167" s="407">
        <f t="shared" si="133"/>
        <v>0.31413279341753531</v>
      </c>
      <c r="R167" s="9">
        <f t="shared" si="101"/>
        <v>0.39041486083722116</v>
      </c>
      <c r="S167" s="9">
        <f t="shared" si="102"/>
        <v>1.5242376356254675E-3</v>
      </c>
      <c r="T167" s="9">
        <f t="shared" si="103"/>
        <v>1.5242376356254675E-3</v>
      </c>
      <c r="U167" s="407">
        <f t="shared" si="104"/>
        <v>2.2036100043754066</v>
      </c>
      <c r="V167" s="409">
        <f t="shared" si="105"/>
        <v>9.7117941027667579E-3</v>
      </c>
      <c r="W167" s="407">
        <f t="shared" si="106"/>
        <v>9.7117941027667579E-3</v>
      </c>
      <c r="X167" s="407">
        <f t="shared" si="107"/>
        <v>2.2036100043754066</v>
      </c>
      <c r="Y167" s="407">
        <f t="shared" si="108"/>
        <v>2.9135382308300276E-2</v>
      </c>
      <c r="Z167" s="407">
        <f t="shared" si="124"/>
        <v>0.35375028232883055</v>
      </c>
      <c r="AA167" s="407">
        <f t="shared" si="125"/>
        <v>0.14400000000000002</v>
      </c>
      <c r="AB167" s="407">
        <f t="shared" si="126"/>
        <v>0</v>
      </c>
      <c r="AC167" s="407">
        <f t="shared" si="109"/>
        <v>0.52997386285868975</v>
      </c>
      <c r="AD167" s="407">
        <f t="shared" si="110"/>
        <v>4.2147510854354335</v>
      </c>
      <c r="AE167" s="407">
        <f t="shared" si="111"/>
        <v>0.10658476027307499</v>
      </c>
      <c r="AF167" s="407">
        <f t="shared" si="127"/>
        <v>6.8255999999999997E-2</v>
      </c>
      <c r="AG167" s="407">
        <f t="shared" si="112"/>
        <v>0.17864901271165362</v>
      </c>
      <c r="AH167" s="407">
        <f t="shared" si="113"/>
        <v>0</v>
      </c>
      <c r="AI167">
        <f t="shared" si="128"/>
        <v>0</v>
      </c>
      <c r="AJ167" s="408">
        <f t="shared" si="129"/>
        <v>0.13663789200000001</v>
      </c>
      <c r="AK167">
        <f t="shared" si="134"/>
        <v>4.8000000000000001E-2</v>
      </c>
      <c r="AL167" s="408">
        <f t="shared" si="130"/>
        <v>0.1215</v>
      </c>
      <c r="AM167" s="408">
        <f t="shared" si="135"/>
        <v>0.31645971316818772</v>
      </c>
      <c r="AN167" s="408">
        <f t="shared" si="114"/>
        <v>0.16949999999999998</v>
      </c>
      <c r="AO167" s="408">
        <f t="shared" si="115"/>
        <v>1.3401295927262709</v>
      </c>
      <c r="AP167">
        <f t="shared" si="131"/>
        <v>24.173999999999999</v>
      </c>
      <c r="AQ167" s="10">
        <f t="shared" si="116"/>
        <v>0.94747500251357497</v>
      </c>
      <c r="AR167" s="63">
        <f t="shared" si="117"/>
        <v>26.498693142934489</v>
      </c>
      <c r="AS167" s="63">
        <f t="shared" si="118"/>
        <v>8.9324506355826809</v>
      </c>
      <c r="AT167" s="10"/>
      <c r="AU167">
        <f t="shared" si="119"/>
        <v>94.747500251357494</v>
      </c>
    </row>
    <row r="168" spans="7:47" x14ac:dyDescent="0.25">
      <c r="G168">
        <v>159</v>
      </c>
      <c r="H168">
        <f t="shared" si="120"/>
        <v>4.7700000000000005</v>
      </c>
      <c r="I168" s="407">
        <f t="shared" si="97"/>
        <v>0.21468625</v>
      </c>
      <c r="J168" s="408">
        <f t="shared" si="121"/>
        <v>1.3525233749999996</v>
      </c>
      <c r="K168" s="408">
        <f t="shared" si="132"/>
        <v>5.4462616874999998</v>
      </c>
      <c r="L168" s="408">
        <f t="shared" si="98"/>
        <v>4.0937383125000011</v>
      </c>
      <c r="M168" s="63">
        <f t="shared" si="122"/>
        <v>0</v>
      </c>
      <c r="N168" s="407">
        <f t="shared" si="99"/>
        <v>4.7859527045295227</v>
      </c>
      <c r="O168" s="407">
        <f t="shared" si="100"/>
        <v>0.11558572876871587</v>
      </c>
      <c r="P168">
        <f t="shared" si="123"/>
        <v>0.2</v>
      </c>
      <c r="Q168" s="407">
        <f t="shared" si="133"/>
        <v>0.31558572876871588</v>
      </c>
      <c r="R168" s="9">
        <f t="shared" si="101"/>
        <v>0.39043986732075547</v>
      </c>
      <c r="S168" s="9">
        <f t="shared" si="102"/>
        <v>1.5244328999344913E-3</v>
      </c>
      <c r="T168" s="9">
        <f t="shared" si="103"/>
        <v>1.5244328999344913E-3</v>
      </c>
      <c r="U168" s="407">
        <f t="shared" si="104"/>
        <v>2.2175351757957205</v>
      </c>
      <c r="V168" s="409">
        <f t="shared" si="105"/>
        <v>9.8349245117827135E-3</v>
      </c>
      <c r="W168" s="407">
        <f t="shared" si="106"/>
        <v>9.8349245117827135E-3</v>
      </c>
      <c r="X168" s="407">
        <f t="shared" si="107"/>
        <v>2.2175351757957205</v>
      </c>
      <c r="Y168" s="407">
        <f t="shared" si="108"/>
        <v>2.9504773535348139E-2</v>
      </c>
      <c r="Z168" s="407">
        <f t="shared" si="124"/>
        <v>0.3559985216788491</v>
      </c>
      <c r="AA168" s="407">
        <f t="shared" si="125"/>
        <v>0.14400000000000002</v>
      </c>
      <c r="AB168" s="407">
        <f t="shared" si="126"/>
        <v>0</v>
      </c>
      <c r="AC168" s="407">
        <f t="shared" si="109"/>
        <v>0.53264641759933384</v>
      </c>
      <c r="AD168" s="407">
        <f t="shared" si="110"/>
        <v>4.2412122128115799</v>
      </c>
      <c r="AE168" s="407">
        <f t="shared" si="111"/>
        <v>0.10792728620461259</v>
      </c>
      <c r="AF168" s="407">
        <f t="shared" si="127"/>
        <v>6.8687999999999999E-2</v>
      </c>
      <c r="AG168" s="407">
        <f t="shared" si="112"/>
        <v>0.18051171409060088</v>
      </c>
      <c r="AH168" s="407">
        <f t="shared" si="113"/>
        <v>0</v>
      </c>
      <c r="AI168">
        <f t="shared" si="128"/>
        <v>0</v>
      </c>
      <c r="AJ168" s="408">
        <f t="shared" si="129"/>
        <v>0.136636866</v>
      </c>
      <c r="AK168">
        <f t="shared" si="134"/>
        <v>4.8000000000000001E-2</v>
      </c>
      <c r="AL168" s="408">
        <f t="shared" si="130"/>
        <v>0.1215</v>
      </c>
      <c r="AM168" s="408">
        <f t="shared" si="135"/>
        <v>0.31645971316818772</v>
      </c>
      <c r="AN168" s="408">
        <f t="shared" si="114"/>
        <v>0.16949999999999998</v>
      </c>
      <c r="AO168" s="408">
        <f t="shared" si="115"/>
        <v>1.3462400838703679</v>
      </c>
      <c r="AP168">
        <f t="shared" si="131"/>
        <v>24.327000000000002</v>
      </c>
      <c r="AQ168" s="10">
        <f t="shared" si="116"/>
        <v>0.94756251725639551</v>
      </c>
      <c r="AR168" s="63">
        <f t="shared" si="117"/>
        <v>26.632320879966692</v>
      </c>
      <c r="AS168" s="63">
        <f t="shared" si="118"/>
        <v>9.0255857045300445</v>
      </c>
      <c r="AT168" s="10"/>
      <c r="AU168">
        <f t="shared" si="119"/>
        <v>94.756251725639544</v>
      </c>
    </row>
    <row r="169" spans="7:47" x14ac:dyDescent="0.25">
      <c r="G169">
        <v>160</v>
      </c>
      <c r="H169">
        <f t="shared" si="120"/>
        <v>4.8000000000000007</v>
      </c>
      <c r="I169" s="407">
        <f t="shared" si="97"/>
        <v>0.2147</v>
      </c>
      <c r="J169" s="408">
        <f t="shared" si="121"/>
        <v>1.3526099999999999</v>
      </c>
      <c r="K169" s="408">
        <f t="shared" si="132"/>
        <v>5.4763050000000009</v>
      </c>
      <c r="L169" s="408">
        <f t="shared" si="98"/>
        <v>4.1236950000000006</v>
      </c>
      <c r="M169" s="63">
        <f t="shared" si="122"/>
        <v>0</v>
      </c>
      <c r="N169" s="407">
        <f t="shared" si="99"/>
        <v>4.8158553568057885</v>
      </c>
      <c r="O169" s="407">
        <f t="shared" si="100"/>
        <v>0.1170481682039539</v>
      </c>
      <c r="P169">
        <f t="shared" si="123"/>
        <v>0.2</v>
      </c>
      <c r="Q169" s="407">
        <f t="shared" si="133"/>
        <v>0.31704816820395393</v>
      </c>
      <c r="R169" s="9">
        <f t="shared" si="101"/>
        <v>0.39046487380428985</v>
      </c>
      <c r="S169" s="9">
        <f t="shared" si="102"/>
        <v>1.5246281767500001E-3</v>
      </c>
      <c r="T169" s="9">
        <f t="shared" si="103"/>
        <v>1.5246281767500001E-3</v>
      </c>
      <c r="U169" s="407">
        <f t="shared" si="104"/>
        <v>2.2314618004695541</v>
      </c>
      <c r="V169" s="409">
        <f t="shared" si="105"/>
        <v>9.9588435339096493E-3</v>
      </c>
      <c r="W169" s="407">
        <f t="shared" si="106"/>
        <v>9.9588435339096493E-3</v>
      </c>
      <c r="X169" s="407">
        <f t="shared" si="107"/>
        <v>2.2314618004695541</v>
      </c>
      <c r="Y169" s="407">
        <f t="shared" si="108"/>
        <v>2.9876530601728946E-2</v>
      </c>
      <c r="Z169" s="407">
        <f t="shared" si="124"/>
        <v>0.35824676102886754</v>
      </c>
      <c r="AA169" s="407">
        <f t="shared" si="125"/>
        <v>0.14400000000000002</v>
      </c>
      <c r="AB169" s="407">
        <f t="shared" si="126"/>
        <v>0</v>
      </c>
      <c r="AC169" s="407">
        <f t="shared" si="109"/>
        <v>0.53532200448032352</v>
      </c>
      <c r="AD169" s="407">
        <f t="shared" si="110"/>
        <v>4.2676739625608917</v>
      </c>
      <c r="AE169" s="407">
        <f t="shared" si="111"/>
        <v>0.10927824630432109</v>
      </c>
      <c r="AF169" s="407">
        <f t="shared" si="127"/>
        <v>6.9120000000000015E-2</v>
      </c>
      <c r="AG169" s="407">
        <f t="shared" si="112"/>
        <v>0.18238437524023351</v>
      </c>
      <c r="AH169" s="407">
        <f t="shared" si="113"/>
        <v>0</v>
      </c>
      <c r="AI169">
        <f t="shared" si="128"/>
        <v>0</v>
      </c>
      <c r="AJ169" s="408">
        <f t="shared" si="129"/>
        <v>0.13663584000000001</v>
      </c>
      <c r="AK169">
        <f t="shared" si="134"/>
        <v>4.8000000000000001E-2</v>
      </c>
      <c r="AL169" s="408">
        <f t="shared" si="130"/>
        <v>0.1215</v>
      </c>
      <c r="AM169" s="408">
        <f t="shared" si="135"/>
        <v>0.31645971316818772</v>
      </c>
      <c r="AN169" s="408">
        <f t="shared" si="114"/>
        <v>0.16949999999999998</v>
      </c>
      <c r="AO169" s="408">
        <f t="shared" si="115"/>
        <v>1.3523738596351704</v>
      </c>
      <c r="AP169">
        <f t="shared" si="131"/>
        <v>24.48</v>
      </c>
      <c r="AQ169" s="10">
        <f t="shared" si="116"/>
        <v>0.94764809974555431</v>
      </c>
      <c r="AR169" s="63">
        <f t="shared" si="117"/>
        <v>26.766100224016178</v>
      </c>
      <c r="AS169" s="63">
        <f t="shared" si="118"/>
        <v>9.1192187620116751</v>
      </c>
      <c r="AT169" s="10"/>
      <c r="AU169">
        <f t="shared" si="119"/>
        <v>94.764809974555433</v>
      </c>
    </row>
    <row r="170" spans="7:47" x14ac:dyDescent="0.25">
      <c r="G170">
        <v>161</v>
      </c>
      <c r="H170">
        <f t="shared" si="120"/>
        <v>4.83</v>
      </c>
      <c r="I170" s="407">
        <f t="shared" si="97"/>
        <v>0.21471374999999995</v>
      </c>
      <c r="J170" s="408">
        <f t="shared" si="121"/>
        <v>1.3526966249999992</v>
      </c>
      <c r="K170" s="408">
        <f t="shared" si="132"/>
        <v>5.5063483125000001</v>
      </c>
      <c r="L170" s="408">
        <f t="shared" si="98"/>
        <v>4.1536516875</v>
      </c>
      <c r="M170" s="63">
        <f t="shared" si="122"/>
        <v>0</v>
      </c>
      <c r="N170" s="407">
        <f t="shared" si="99"/>
        <v>4.8457592126112914</v>
      </c>
      <c r="O170" s="407">
        <f t="shared" si="100"/>
        <v>0.11852011821768987</v>
      </c>
      <c r="P170">
        <f t="shared" si="123"/>
        <v>0.2</v>
      </c>
      <c r="Q170" s="407">
        <f t="shared" si="133"/>
        <v>0.31852011821768988</v>
      </c>
      <c r="R170" s="9">
        <f t="shared" si="101"/>
        <v>0.39048988028782394</v>
      </c>
      <c r="S170" s="9">
        <f t="shared" si="102"/>
        <v>1.5248234660719909E-3</v>
      </c>
      <c r="T170" s="9">
        <f t="shared" si="103"/>
        <v>1.5248234660719909E-3</v>
      </c>
      <c r="U170" s="407">
        <f t="shared" si="104"/>
        <v>2.2453898678901694</v>
      </c>
      <c r="V170" s="409">
        <f t="shared" si="105"/>
        <v>1.0083551317647665E-2</v>
      </c>
      <c r="W170" s="407">
        <f t="shared" si="106"/>
        <v>1.0083551317647665E-2</v>
      </c>
      <c r="X170" s="407">
        <f t="shared" si="107"/>
        <v>2.2453898678901694</v>
      </c>
      <c r="Y170" s="407">
        <f t="shared" si="108"/>
        <v>3.0250653952942994E-2</v>
      </c>
      <c r="Z170" s="407">
        <f t="shared" si="124"/>
        <v>0.36049500037888604</v>
      </c>
      <c r="AA170" s="407">
        <f t="shared" si="125"/>
        <v>0.14400000000000002</v>
      </c>
      <c r="AB170" s="407">
        <f t="shared" si="126"/>
        <v>0</v>
      </c>
      <c r="AC170" s="407">
        <f t="shared" si="109"/>
        <v>0.5380006284996709</v>
      </c>
      <c r="AD170" s="407">
        <f t="shared" si="110"/>
        <v>4.2941363145321052</v>
      </c>
      <c r="AE170" s="407">
        <f t="shared" si="111"/>
        <v>0.11063764012670023</v>
      </c>
      <c r="AF170" s="407">
        <f t="shared" si="127"/>
        <v>6.9552000000000003E-2</v>
      </c>
      <c r="AG170" s="407">
        <f t="shared" si="112"/>
        <v>0.18426701363505565</v>
      </c>
      <c r="AH170" s="407">
        <f t="shared" si="113"/>
        <v>0</v>
      </c>
      <c r="AI170">
        <f t="shared" si="128"/>
        <v>0</v>
      </c>
      <c r="AJ170" s="408">
        <f t="shared" si="129"/>
        <v>0.13663481399999999</v>
      </c>
      <c r="AK170">
        <f t="shared" si="134"/>
        <v>4.8000000000000001E-2</v>
      </c>
      <c r="AL170" s="408">
        <f t="shared" si="130"/>
        <v>0.1215</v>
      </c>
      <c r="AM170" s="408">
        <f t="shared" si="135"/>
        <v>0.31645971316818772</v>
      </c>
      <c r="AN170" s="408">
        <f t="shared" si="114"/>
        <v>0.16949999999999998</v>
      </c>
      <c r="AO170" s="408">
        <f t="shared" si="115"/>
        <v>1.3585309491361361</v>
      </c>
      <c r="AP170">
        <f t="shared" si="131"/>
        <v>24.632999999999999</v>
      </c>
      <c r="AQ170" s="10">
        <f t="shared" si="116"/>
        <v>0.94773178418021242</v>
      </c>
      <c r="AR170" s="63">
        <f t="shared" si="117"/>
        <v>26.900031424983545</v>
      </c>
      <c r="AS170" s="63">
        <f t="shared" si="118"/>
        <v>9.2133506817527824</v>
      </c>
      <c r="AT170" s="10"/>
      <c r="AU170">
        <f t="shared" si="119"/>
        <v>94.773178418021246</v>
      </c>
    </row>
    <row r="171" spans="7:47" x14ac:dyDescent="0.25">
      <c r="G171">
        <v>162</v>
      </c>
      <c r="H171">
        <f t="shared" si="120"/>
        <v>4.8600000000000003</v>
      </c>
      <c r="I171" s="407">
        <f t="shared" si="97"/>
        <v>0.21472749999999999</v>
      </c>
      <c r="J171" s="408">
        <f t="shared" si="121"/>
        <v>1.3527832499999997</v>
      </c>
      <c r="K171" s="408">
        <f t="shared" si="132"/>
        <v>5.5363916250000003</v>
      </c>
      <c r="L171" s="408">
        <f t="shared" si="98"/>
        <v>4.1836083750000004</v>
      </c>
      <c r="M171" s="63">
        <f t="shared" si="122"/>
        <v>0</v>
      </c>
      <c r="N171" s="407">
        <f t="shared" si="99"/>
        <v>4.8756642498012566</v>
      </c>
      <c r="O171" s="407">
        <f t="shared" si="100"/>
        <v>0.12000158534886607</v>
      </c>
      <c r="P171">
        <f t="shared" si="123"/>
        <v>0.2</v>
      </c>
      <c r="Q171" s="407">
        <f t="shared" si="133"/>
        <v>0.32000158534886608</v>
      </c>
      <c r="R171" s="9">
        <f t="shared" si="101"/>
        <v>0.39051488677135832</v>
      </c>
      <c r="S171" s="9">
        <f t="shared" si="102"/>
        <v>1.5250187679004682E-3</v>
      </c>
      <c r="T171" s="9">
        <f t="shared" si="103"/>
        <v>1.5250187679004682E-3</v>
      </c>
      <c r="U171" s="407">
        <f t="shared" si="104"/>
        <v>2.2593193678071359</v>
      </c>
      <c r="V171" s="409">
        <f t="shared" si="105"/>
        <v>1.0209048011496873E-2</v>
      </c>
      <c r="W171" s="407">
        <f t="shared" si="106"/>
        <v>1.0209048011496873E-2</v>
      </c>
      <c r="X171" s="407">
        <f t="shared" si="107"/>
        <v>2.2593193678071359</v>
      </c>
      <c r="Y171" s="407">
        <f t="shared" si="108"/>
        <v>3.0627144034490617E-2</v>
      </c>
      <c r="Z171" s="407">
        <f t="shared" si="124"/>
        <v>0.3627432397289046</v>
      </c>
      <c r="AA171" s="407">
        <f t="shared" si="125"/>
        <v>0.14400000000000002</v>
      </c>
      <c r="AB171" s="407">
        <f t="shared" si="126"/>
        <v>0</v>
      </c>
      <c r="AC171" s="407">
        <f t="shared" si="109"/>
        <v>0.5406822946665254</v>
      </c>
      <c r="AD171" s="407">
        <f t="shared" si="110"/>
        <v>4.3205992490673806</v>
      </c>
      <c r="AE171" s="407">
        <f t="shared" si="111"/>
        <v>0.11200546722624967</v>
      </c>
      <c r="AF171" s="407">
        <f t="shared" si="127"/>
        <v>6.9984000000000005E-2</v>
      </c>
      <c r="AG171" s="407">
        <f t="shared" si="112"/>
        <v>0.18615964687155409</v>
      </c>
      <c r="AH171" s="407">
        <f t="shared" si="113"/>
        <v>0</v>
      </c>
      <c r="AI171">
        <f t="shared" si="128"/>
        <v>0</v>
      </c>
      <c r="AJ171" s="408">
        <f t="shared" si="129"/>
        <v>0.13663378800000001</v>
      </c>
      <c r="AK171">
        <f t="shared" si="134"/>
        <v>4.8000000000000001E-2</v>
      </c>
      <c r="AL171" s="408">
        <f t="shared" si="130"/>
        <v>0.1215</v>
      </c>
      <c r="AM171" s="408">
        <f t="shared" si="135"/>
        <v>0.31645971316818772</v>
      </c>
      <c r="AN171" s="408">
        <f t="shared" si="114"/>
        <v>0.16949999999999998</v>
      </c>
      <c r="AO171" s="408">
        <f t="shared" si="115"/>
        <v>1.3647113816663428</v>
      </c>
      <c r="AP171">
        <f t="shared" si="131"/>
        <v>24.786000000000001</v>
      </c>
      <c r="AQ171" s="10">
        <f t="shared" si="116"/>
        <v>0.94781360393036529</v>
      </c>
      <c r="AR171" s="63">
        <f t="shared" si="117"/>
        <v>27.03411473332627</v>
      </c>
      <c r="AS171" s="63">
        <f t="shared" si="118"/>
        <v>9.307982343577704</v>
      </c>
      <c r="AT171" s="10"/>
      <c r="AU171">
        <f t="shared" si="119"/>
        <v>94.781360393036522</v>
      </c>
    </row>
    <row r="172" spans="7:47" x14ac:dyDescent="0.25">
      <c r="G172">
        <v>163</v>
      </c>
      <c r="H172">
        <f t="shared" si="120"/>
        <v>4.8899999999999997</v>
      </c>
      <c r="I172" s="407">
        <f t="shared" si="97"/>
        <v>0.21474124999999999</v>
      </c>
      <c r="J172" s="408">
        <f t="shared" si="121"/>
        <v>1.3528698749999997</v>
      </c>
      <c r="K172" s="408">
        <f t="shared" si="132"/>
        <v>5.5664349374999995</v>
      </c>
      <c r="L172" s="408">
        <f t="shared" si="98"/>
        <v>4.2135650624999998</v>
      </c>
      <c r="M172" s="63">
        <f t="shared" si="122"/>
        <v>0</v>
      </c>
      <c r="N172" s="407">
        <f t="shared" si="99"/>
        <v>4.9055704467700325</v>
      </c>
      <c r="O172" s="407">
        <f t="shared" si="100"/>
        <v>0.1214925761809999</v>
      </c>
      <c r="P172">
        <f t="shared" si="123"/>
        <v>0.2</v>
      </c>
      <c r="Q172" s="407">
        <f t="shared" si="133"/>
        <v>0.32149257618099991</v>
      </c>
      <c r="R172" s="9">
        <f t="shared" si="101"/>
        <v>0.39053989325489258</v>
      </c>
      <c r="S172" s="9">
        <f t="shared" si="102"/>
        <v>1.5252140822354287E-3</v>
      </c>
      <c r="T172" s="9">
        <f t="shared" si="103"/>
        <v>1.5252140822354287E-3</v>
      </c>
      <c r="U172" s="407">
        <f t="shared" si="104"/>
        <v>2.2732502902185412</v>
      </c>
      <c r="V172" s="409">
        <f t="shared" si="105"/>
        <v>1.0335333763957363E-2</v>
      </c>
      <c r="W172" s="407">
        <f t="shared" si="106"/>
        <v>1.0335333763957363E-2</v>
      </c>
      <c r="X172" s="407">
        <f t="shared" si="107"/>
        <v>2.2732502902185412</v>
      </c>
      <c r="Y172" s="407">
        <f t="shared" si="108"/>
        <v>3.1006001291872091E-2</v>
      </c>
      <c r="Z172" s="407">
        <f t="shared" si="124"/>
        <v>0.36499147907892304</v>
      </c>
      <c r="AA172" s="407">
        <f t="shared" si="125"/>
        <v>0.14400000000000002</v>
      </c>
      <c r="AB172" s="407">
        <f t="shared" si="126"/>
        <v>0</v>
      </c>
      <c r="AC172" s="407">
        <f t="shared" si="109"/>
        <v>0.54336700800120441</v>
      </c>
      <c r="AD172" s="407">
        <f t="shared" si="110"/>
        <v>4.3470627469873095</v>
      </c>
      <c r="AE172" s="407">
        <f t="shared" si="111"/>
        <v>0.11338172715746914</v>
      </c>
      <c r="AF172" s="407">
        <f t="shared" si="127"/>
        <v>7.0415999999999992E-2</v>
      </c>
      <c r="AG172" s="407">
        <f t="shared" si="112"/>
        <v>0.1880622926686624</v>
      </c>
      <c r="AH172" s="407">
        <f t="shared" si="113"/>
        <v>0</v>
      </c>
      <c r="AI172">
        <f t="shared" si="128"/>
        <v>0</v>
      </c>
      <c r="AJ172" s="408">
        <f t="shared" si="129"/>
        <v>0.13663276199999999</v>
      </c>
      <c r="AK172">
        <f t="shared" si="134"/>
        <v>4.8000000000000001E-2</v>
      </c>
      <c r="AL172" s="408">
        <f t="shared" si="130"/>
        <v>0.1215</v>
      </c>
      <c r="AM172" s="408">
        <f t="shared" si="135"/>
        <v>0.31645971316818772</v>
      </c>
      <c r="AN172" s="408">
        <f t="shared" si="114"/>
        <v>0.16949999999999998</v>
      </c>
      <c r="AO172" s="408">
        <f t="shared" si="115"/>
        <v>1.3709151866970595</v>
      </c>
      <c r="AP172">
        <f t="shared" si="131"/>
        <v>24.938999999999997</v>
      </c>
      <c r="AQ172" s="10">
        <f t="shared" si="116"/>
        <v>0.94789359156162434</v>
      </c>
      <c r="AR172" s="63">
        <f t="shared" si="117"/>
        <v>27.16835040006022</v>
      </c>
      <c r="AS172" s="63">
        <f t="shared" si="118"/>
        <v>9.4031146334331197</v>
      </c>
      <c r="AT172" s="10"/>
      <c r="AU172">
        <f t="shared" si="119"/>
        <v>94.789359156162433</v>
      </c>
    </row>
    <row r="173" spans="7:47" x14ac:dyDescent="0.25">
      <c r="G173">
        <v>164</v>
      </c>
      <c r="H173">
        <f t="shared" si="120"/>
        <v>4.92</v>
      </c>
      <c r="I173" s="407">
        <f t="shared" si="97"/>
        <v>0.214755</v>
      </c>
      <c r="J173" s="408">
        <f t="shared" si="121"/>
        <v>1.3529564999999999</v>
      </c>
      <c r="K173" s="408">
        <f t="shared" si="132"/>
        <v>5.5964782499999997</v>
      </c>
      <c r="L173" s="408">
        <f t="shared" si="98"/>
        <v>4.2435217500000002</v>
      </c>
      <c r="M173" s="63">
        <f t="shared" si="122"/>
        <v>0</v>
      </c>
      <c r="N173" s="407">
        <f t="shared" si="99"/>
        <v>4.9354777824348162</v>
      </c>
      <c r="O173" s="407">
        <f t="shared" si="100"/>
        <v>0.1229930973422582</v>
      </c>
      <c r="P173">
        <f t="shared" si="123"/>
        <v>0.2</v>
      </c>
      <c r="Q173" s="407">
        <f t="shared" si="133"/>
        <v>0.32299309734225823</v>
      </c>
      <c r="R173" s="9">
        <f t="shared" si="101"/>
        <v>0.39056489973842695</v>
      </c>
      <c r="S173" s="9">
        <f t="shared" si="102"/>
        <v>1.5254094090768749E-3</v>
      </c>
      <c r="T173" s="9">
        <f t="shared" si="103"/>
        <v>1.5254094090768749E-3</v>
      </c>
      <c r="U173" s="407">
        <f t="shared" si="104"/>
        <v>2.2871826253634913</v>
      </c>
      <c r="V173" s="409">
        <f t="shared" si="105"/>
        <v>1.0462408723529265E-2</v>
      </c>
      <c r="W173" s="407">
        <f t="shared" si="106"/>
        <v>1.0462408723529265E-2</v>
      </c>
      <c r="X173" s="407">
        <f t="shared" si="107"/>
        <v>2.2871826253634913</v>
      </c>
      <c r="Y173" s="407">
        <f t="shared" si="108"/>
        <v>3.1387226170587798E-2</v>
      </c>
      <c r="Z173" s="407">
        <f t="shared" si="124"/>
        <v>0.3672397184289416</v>
      </c>
      <c r="AA173" s="407">
        <f t="shared" si="125"/>
        <v>0.14400000000000002</v>
      </c>
      <c r="AB173" s="407">
        <f t="shared" si="126"/>
        <v>0</v>
      </c>
      <c r="AC173" s="407">
        <f t="shared" si="109"/>
        <v>0.54605477353522525</v>
      </c>
      <c r="AD173" s="407">
        <f t="shared" si="110"/>
        <v>4.3735267895764691</v>
      </c>
      <c r="AE173" s="407">
        <f t="shared" si="111"/>
        <v>0.11476641947485834</v>
      </c>
      <c r="AF173" s="407">
        <f t="shared" si="127"/>
        <v>7.0847999999999994E-2</v>
      </c>
      <c r="AG173" s="407">
        <f t="shared" si="112"/>
        <v>0.1899749688682292</v>
      </c>
      <c r="AH173" s="407">
        <f t="shared" si="113"/>
        <v>0</v>
      </c>
      <c r="AI173">
        <f t="shared" si="128"/>
        <v>0</v>
      </c>
      <c r="AJ173" s="408">
        <f t="shared" si="129"/>
        <v>0.136631736</v>
      </c>
      <c r="AK173">
        <f t="shared" si="134"/>
        <v>4.8000000000000001E-2</v>
      </c>
      <c r="AL173" s="408">
        <f t="shared" si="130"/>
        <v>0.1215</v>
      </c>
      <c r="AM173" s="408">
        <f t="shared" si="135"/>
        <v>0.31645971316818772</v>
      </c>
      <c r="AN173" s="408">
        <f t="shared" si="114"/>
        <v>0.16949999999999998</v>
      </c>
      <c r="AO173" s="408">
        <f t="shared" si="115"/>
        <v>1.3771423938783189</v>
      </c>
      <c r="AP173">
        <f t="shared" si="131"/>
        <v>25.091999999999999</v>
      </c>
      <c r="AQ173" s="10">
        <f t="shared" si="116"/>
        <v>0.94797177885911332</v>
      </c>
      <c r="AR173" s="63">
        <f t="shared" si="117"/>
        <v>27.302738676761262</v>
      </c>
      <c r="AS173" s="63">
        <f t="shared" si="118"/>
        <v>9.4987484434114595</v>
      </c>
      <c r="AT173" s="10"/>
      <c r="AU173">
        <f t="shared" si="119"/>
        <v>94.797177885911339</v>
      </c>
    </row>
    <row r="174" spans="7:47" x14ac:dyDescent="0.25">
      <c r="G174">
        <v>165</v>
      </c>
      <c r="H174">
        <f t="shared" si="120"/>
        <v>4.9499999999999993</v>
      </c>
      <c r="I174" s="407">
        <f t="shared" ref="I174:I209" si="136">(Vout+Rdcr*H174+RdsonBot*H174)/(Vin-RdsonTop*H174+RdsonBot*H174)</f>
        <v>0.21476874999999998</v>
      </c>
      <c r="J174" s="408">
        <f t="shared" si="121"/>
        <v>1.3530431249999997</v>
      </c>
      <c r="K174" s="408">
        <f t="shared" si="132"/>
        <v>5.6265215624999989</v>
      </c>
      <c r="L174" s="408">
        <f t="shared" ref="L174:L209" si="137">H174-J174/2</f>
        <v>4.2734784374999997</v>
      </c>
      <c r="M174" s="63">
        <f t="shared" si="122"/>
        <v>0</v>
      </c>
      <c r="N174" s="407">
        <f t="shared" ref="N174:N209" si="138">SQRT(H174^2+(J174^2)/12)</f>
        <v>4.9653862362199455</v>
      </c>
      <c r="O174" s="407">
        <f t="shared" ref="O174:O209" si="139">(N174^2*Rdcr*(1+Ltc*Ta-Ltc*25))/(1-N174^2*Rdcr*Ltc*ThetaCa)</f>
        <v>0.12450315550553141</v>
      </c>
      <c r="P174">
        <f t="shared" si="123"/>
        <v>0.2</v>
      </c>
      <c r="Q174" s="407">
        <f t="shared" si="133"/>
        <v>0.32450315550553144</v>
      </c>
      <c r="R174" s="9">
        <f t="shared" ref="R174:R209" si="140">J174/(2*SQRT(3))</f>
        <v>0.39058990622196116</v>
      </c>
      <c r="S174" s="9">
        <f t="shared" ref="S174:S209" si="141">RCoutEsr*R174^2</f>
        <v>1.5256047484248042E-3</v>
      </c>
      <c r="T174" s="9">
        <f t="shared" ref="T174:T209" si="142">S174</f>
        <v>1.5256047484248042E-3</v>
      </c>
      <c r="U174" s="407">
        <f t="shared" ref="U174:U209" si="143">SQRT(I174)*SQRT(H174^2+(J174^2)/12)</f>
        <v>2.3011163637148653</v>
      </c>
      <c r="V174" s="409">
        <f t="shared" ref="V174:V209" si="144">RCinEsr*U174^2</f>
        <v>1.0590273038712648E-2</v>
      </c>
      <c r="W174" s="407">
        <f t="shared" ref="W174:W209" si="145">V174</f>
        <v>1.0590273038712648E-2</v>
      </c>
      <c r="X174" s="407">
        <f t="shared" ref="X174:X209" si="146">SQRT(I174)*SQRT(H174^2+(J174^2)/12)</f>
        <v>2.3011163637148653</v>
      </c>
      <c r="Y174" s="407">
        <f t="shared" ref="Y174:Y209" si="147">RdsonTop*X174^2</f>
        <v>3.1770819116137945E-2</v>
      </c>
      <c r="Z174" s="407">
        <f t="shared" si="124"/>
        <v>0.36948795777896004</v>
      </c>
      <c r="AA174" s="407">
        <f t="shared" si="125"/>
        <v>0.14400000000000002</v>
      </c>
      <c r="AB174" s="407">
        <f t="shared" si="126"/>
        <v>0</v>
      </c>
      <c r="AC174" s="407">
        <f t="shared" ref="AC174:AC209" si="148">(AB174+AA174+Z174+Y174*(1+RdsonTopTc*Ta-RdsonTopTc*25))/(1-Y174*RdsonTopTc*ThetaJaTop)</f>
        <v>0.54874559631133502</v>
      </c>
      <c r="AD174" s="407">
        <f t="shared" ref="AD174:AD209" si="149">SQRT(1-I174)*SQRT(H174^2+(J174^2)/12)</f>
        <v>4.3999913585694861</v>
      </c>
      <c r="AE174" s="407">
        <f t="shared" ref="AE174:AE209" si="150">RdsonBot*AD174^2</f>
        <v>0.11615954373291691</v>
      </c>
      <c r="AF174" s="407">
        <f t="shared" si="127"/>
        <v>7.1279999999999982E-2</v>
      </c>
      <c r="AG174" s="407">
        <f t="shared" ref="AG174:AG209" si="151">(AF174+AE174*(1+RdsonBotTc*Ta-RdsonBotTc*25))/(1-AE174*RdsonBotTc*ThetaJaBot)</f>
        <v>0.19189769343549001</v>
      </c>
      <c r="AH174" s="407">
        <f t="shared" ref="AH174:AH209" si="152">IF(RDSON_sense=1, 0, AD174^2*Rshunt)</f>
        <v>0</v>
      </c>
      <c r="AI174">
        <f t="shared" si="128"/>
        <v>0</v>
      </c>
      <c r="AJ174" s="408">
        <f t="shared" si="129"/>
        <v>0.13663071000000002</v>
      </c>
      <c r="AK174">
        <f t="shared" si="134"/>
        <v>4.8000000000000001E-2</v>
      </c>
      <c r="AL174" s="408">
        <f t="shared" si="130"/>
        <v>0.1215</v>
      </c>
      <c r="AM174" s="408">
        <f t="shared" si="135"/>
        <v>0.31645971316818772</v>
      </c>
      <c r="AN174" s="408">
        <f t="shared" ref="AN174:AN209" si="153">SUM(AK174:AL174)</f>
        <v>0.16949999999999998</v>
      </c>
      <c r="AO174" s="408">
        <f t="shared" ref="AO174:AO209" si="154">SUM(Q174,T174,W174,AC174,AJ174,AI174,AG174,AN174, AH174)</f>
        <v>1.3833930330394939</v>
      </c>
      <c r="AP174">
        <f t="shared" si="131"/>
        <v>25.244999999999994</v>
      </c>
      <c r="AQ174" s="10">
        <f t="shared" ref="AQ174:AQ209" si="155">AP174/(AP174+AO174)</f>
        <v>0.94804819685051844</v>
      </c>
      <c r="AR174" s="63">
        <f t="shared" ref="AR174:AR209" si="156">ThetaJaTop*AC174</f>
        <v>27.43727981556675</v>
      </c>
      <c r="AS174" s="63">
        <f t="shared" ref="AS174:AS209" si="157">AG174*ThetaJaBot</f>
        <v>9.5948846717745013</v>
      </c>
      <c r="AT174" s="10"/>
      <c r="AU174">
        <f t="shared" ref="AU174:AU209" si="158">AQ174*100</f>
        <v>94.804819685051839</v>
      </c>
    </row>
    <row r="175" spans="7:47" x14ac:dyDescent="0.25">
      <c r="G175">
        <v>166</v>
      </c>
      <c r="H175">
        <f t="shared" si="120"/>
        <v>4.9799999999999995</v>
      </c>
      <c r="I175" s="407">
        <f t="shared" si="136"/>
        <v>0.21478249999999999</v>
      </c>
      <c r="J175" s="408">
        <f t="shared" si="121"/>
        <v>1.3531297499999997</v>
      </c>
      <c r="K175" s="408">
        <f t="shared" si="132"/>
        <v>5.656564874999999</v>
      </c>
      <c r="L175" s="408">
        <f t="shared" si="137"/>
        <v>4.303435125</v>
      </c>
      <c r="M175" s="63">
        <f t="shared" si="122"/>
        <v>0</v>
      </c>
      <c r="N175" s="407">
        <f t="shared" si="138"/>
        <v>4.9952957880417772</v>
      </c>
      <c r="O175" s="407">
        <f t="shared" si="139"/>
        <v>0.12602275738850924</v>
      </c>
      <c r="P175">
        <f t="shared" si="123"/>
        <v>0.2</v>
      </c>
      <c r="Q175" s="407">
        <f t="shared" si="133"/>
        <v>0.32602275738850928</v>
      </c>
      <c r="R175" s="9">
        <f t="shared" si="140"/>
        <v>0.39061491270549542</v>
      </c>
      <c r="S175" s="9">
        <f t="shared" si="141"/>
        <v>1.5258001002792182E-3</v>
      </c>
      <c r="T175" s="9">
        <f t="shared" si="142"/>
        <v>1.5258001002792182E-3</v>
      </c>
      <c r="U175" s="407">
        <f t="shared" si="143"/>
        <v>2.3150514959723512</v>
      </c>
      <c r="V175" s="409">
        <f t="shared" si="144"/>
        <v>1.0718926858007643E-2</v>
      </c>
      <c r="W175" s="407">
        <f t="shared" si="145"/>
        <v>1.0718926858007643E-2</v>
      </c>
      <c r="X175" s="407">
        <f t="shared" si="146"/>
        <v>2.3150514959723512</v>
      </c>
      <c r="Y175" s="407">
        <f t="shared" si="147"/>
        <v>3.2156780574022922E-2</v>
      </c>
      <c r="Z175" s="407">
        <f t="shared" si="124"/>
        <v>0.37173619712897854</v>
      </c>
      <c r="AA175" s="407">
        <f t="shared" si="125"/>
        <v>0.14400000000000002</v>
      </c>
      <c r="AB175" s="407">
        <f t="shared" si="126"/>
        <v>0</v>
      </c>
      <c r="AC175" s="407">
        <f t="shared" si="148"/>
        <v>0.55143948138354226</v>
      </c>
      <c r="AD175" s="407">
        <f t="shared" si="149"/>
        <v>4.4264564361376131</v>
      </c>
      <c r="AE175" s="407">
        <f t="shared" si="150"/>
        <v>0.11756109948614459</v>
      </c>
      <c r="AF175" s="407">
        <f t="shared" si="127"/>
        <v>7.1711999999999998E-2</v>
      </c>
      <c r="AG175" s="407">
        <f t="shared" si="151"/>
        <v>0.19383048445954379</v>
      </c>
      <c r="AH175" s="407">
        <f t="shared" si="152"/>
        <v>0</v>
      </c>
      <c r="AI175">
        <f t="shared" si="128"/>
        <v>0</v>
      </c>
      <c r="AJ175" s="408">
        <f t="shared" si="129"/>
        <v>0.136629684</v>
      </c>
      <c r="AK175">
        <f t="shared" si="134"/>
        <v>4.8000000000000001E-2</v>
      </c>
      <c r="AL175" s="408">
        <f t="shared" si="130"/>
        <v>0.1215</v>
      </c>
      <c r="AM175" s="408">
        <f t="shared" si="135"/>
        <v>0.31645971316818772</v>
      </c>
      <c r="AN175" s="408">
        <f t="shared" si="153"/>
        <v>0.16949999999999998</v>
      </c>
      <c r="AO175" s="408">
        <f t="shared" si="154"/>
        <v>1.3896671341898821</v>
      </c>
      <c r="AP175">
        <f t="shared" si="131"/>
        <v>25.397999999999996</v>
      </c>
      <c r="AQ175" s="10">
        <f t="shared" si="155"/>
        <v>0.94812287582832444</v>
      </c>
      <c r="AR175" s="63">
        <f t="shared" si="156"/>
        <v>27.571974069177113</v>
      </c>
      <c r="AS175" s="63">
        <f t="shared" si="157"/>
        <v>9.6915242229771899</v>
      </c>
      <c r="AT175" s="10"/>
      <c r="AU175">
        <f t="shared" si="158"/>
        <v>94.81228758283244</v>
      </c>
    </row>
    <row r="176" spans="7:47" x14ac:dyDescent="0.25">
      <c r="G176">
        <v>167</v>
      </c>
      <c r="H176">
        <f t="shared" si="120"/>
        <v>5.01</v>
      </c>
      <c r="I176" s="407">
        <f t="shared" si="136"/>
        <v>0.21479624999999999</v>
      </c>
      <c r="J176" s="408">
        <f t="shared" si="121"/>
        <v>1.3532163749999997</v>
      </c>
      <c r="K176" s="408">
        <f t="shared" si="132"/>
        <v>5.6866081874999992</v>
      </c>
      <c r="L176" s="408">
        <f t="shared" si="137"/>
        <v>4.3333918125000004</v>
      </c>
      <c r="M176" s="63">
        <f t="shared" si="122"/>
        <v>0</v>
      </c>
      <c r="N176" s="407">
        <f t="shared" si="138"/>
        <v>5.0252064182940792</v>
      </c>
      <c r="O176" s="407">
        <f t="shared" si="139"/>
        <v>0.12755190975375577</v>
      </c>
      <c r="P176">
        <f t="shared" si="123"/>
        <v>0.2</v>
      </c>
      <c r="Q176" s="407">
        <f t="shared" si="133"/>
        <v>0.32755190975375581</v>
      </c>
      <c r="R176" s="9">
        <f t="shared" si="140"/>
        <v>0.39063991918902974</v>
      </c>
      <c r="S176" s="9">
        <f t="shared" si="141"/>
        <v>1.525995464640117E-3</v>
      </c>
      <c r="T176" s="9">
        <f t="shared" si="142"/>
        <v>1.525995464640117E-3</v>
      </c>
      <c r="U176" s="407">
        <f t="shared" si="143"/>
        <v>2.328988013055707</v>
      </c>
      <c r="V176" s="409">
        <f t="shared" si="144"/>
        <v>1.084837032991434E-2</v>
      </c>
      <c r="W176" s="407">
        <f t="shared" si="145"/>
        <v>1.084837032991434E-2</v>
      </c>
      <c r="X176" s="407">
        <f t="shared" si="146"/>
        <v>2.328988013055707</v>
      </c>
      <c r="Y176" s="407">
        <f t="shared" si="147"/>
        <v>3.2545110989743019E-2</v>
      </c>
      <c r="Z176" s="407">
        <f t="shared" si="124"/>
        <v>0.3739844364789971</v>
      </c>
      <c r="AA176" s="407">
        <f t="shared" si="125"/>
        <v>0.14400000000000002</v>
      </c>
      <c r="AB176" s="407">
        <f t="shared" si="126"/>
        <v>0</v>
      </c>
      <c r="AC176" s="407">
        <f t="shared" si="148"/>
        <v>0.55413643381714806</v>
      </c>
      <c r="AD176" s="407">
        <f t="shared" si="149"/>
        <v>4.4529220048757692</v>
      </c>
      <c r="AE176" s="407">
        <f t="shared" si="150"/>
        <v>0.11897108628904103</v>
      </c>
      <c r="AF176" s="407">
        <f t="shared" si="127"/>
        <v>7.2144E-2</v>
      </c>
      <c r="AG176" s="407">
        <f t="shared" si="151"/>
        <v>0.19577336015383245</v>
      </c>
      <c r="AH176" s="407">
        <f t="shared" si="152"/>
        <v>0</v>
      </c>
      <c r="AI176">
        <f t="shared" si="128"/>
        <v>0</v>
      </c>
      <c r="AJ176" s="408">
        <f t="shared" si="129"/>
        <v>0.13662865800000001</v>
      </c>
      <c r="AK176">
        <f t="shared" si="134"/>
        <v>4.8000000000000001E-2</v>
      </c>
      <c r="AL176" s="408">
        <f t="shared" si="130"/>
        <v>0.1215</v>
      </c>
      <c r="AM176" s="408">
        <f t="shared" si="135"/>
        <v>0.31645971316818772</v>
      </c>
      <c r="AN176" s="408">
        <f t="shared" si="153"/>
        <v>0.16949999999999998</v>
      </c>
      <c r="AO176" s="408">
        <f t="shared" si="154"/>
        <v>1.3959647275192908</v>
      </c>
      <c r="AP176">
        <f t="shared" si="131"/>
        <v>25.550999999999998</v>
      </c>
      <c r="AQ176" s="10">
        <f t="shared" si="155"/>
        <v>0.94819584537127188</v>
      </c>
      <c r="AR176" s="63">
        <f t="shared" si="156"/>
        <v>27.706821690857403</v>
      </c>
      <c r="AS176" s="63">
        <f t="shared" si="157"/>
        <v>9.7886680076916228</v>
      </c>
      <c r="AT176" s="10"/>
      <c r="AU176">
        <f t="shared" si="158"/>
        <v>94.819584537127184</v>
      </c>
    </row>
    <row r="177" spans="7:47" x14ac:dyDescent="0.25">
      <c r="G177">
        <v>168</v>
      </c>
      <c r="H177">
        <f t="shared" si="120"/>
        <v>5.04</v>
      </c>
      <c r="I177" s="407">
        <f t="shared" si="136"/>
        <v>0.21480999999999997</v>
      </c>
      <c r="J177" s="408">
        <f t="shared" si="121"/>
        <v>1.3533029999999995</v>
      </c>
      <c r="K177" s="408">
        <f t="shared" si="132"/>
        <v>5.7166514999999993</v>
      </c>
      <c r="L177" s="408">
        <f t="shared" si="137"/>
        <v>4.3633485000000007</v>
      </c>
      <c r="M177" s="63">
        <f t="shared" si="122"/>
        <v>0</v>
      </c>
      <c r="N177" s="407">
        <f t="shared" si="138"/>
        <v>5.0551181078339553</v>
      </c>
      <c r="O177" s="407">
        <f t="shared" si="139"/>
        <v>0.12909061940878608</v>
      </c>
      <c r="P177">
        <f t="shared" si="123"/>
        <v>0.2</v>
      </c>
      <c r="Q177" s="407">
        <f t="shared" si="133"/>
        <v>0.32909061940878609</v>
      </c>
      <c r="R177" s="9">
        <f t="shared" si="140"/>
        <v>0.39066492567256395</v>
      </c>
      <c r="S177" s="9">
        <f t="shared" si="141"/>
        <v>1.5261908415074991E-3</v>
      </c>
      <c r="T177" s="9">
        <f t="shared" si="142"/>
        <v>1.5261908415074991E-3</v>
      </c>
      <c r="U177" s="407">
        <f t="shared" si="143"/>
        <v>2.3429259060982748</v>
      </c>
      <c r="V177" s="409">
        <f t="shared" si="144"/>
        <v>1.0978603602932844E-2</v>
      </c>
      <c r="W177" s="407">
        <f t="shared" si="145"/>
        <v>1.0978603602932844E-2</v>
      </c>
      <c r="X177" s="407">
        <f t="shared" si="146"/>
        <v>2.3429259060982748</v>
      </c>
      <c r="Y177" s="407">
        <f t="shared" si="147"/>
        <v>3.2935810808798538E-2</v>
      </c>
      <c r="Z177" s="407">
        <f t="shared" si="124"/>
        <v>0.37623267582901559</v>
      </c>
      <c r="AA177" s="407">
        <f t="shared" si="125"/>
        <v>0.14400000000000002</v>
      </c>
      <c r="AB177" s="407">
        <f t="shared" si="126"/>
        <v>0</v>
      </c>
      <c r="AC177" s="407">
        <f t="shared" si="148"/>
        <v>0.55683645868877718</v>
      </c>
      <c r="AD177" s="407">
        <f t="shared" si="149"/>
        <v>4.4793880477900467</v>
      </c>
      <c r="AE177" s="407">
        <f t="shared" si="150"/>
        <v>0.12038950369610596</v>
      </c>
      <c r="AF177" s="407">
        <f t="shared" si="127"/>
        <v>7.2576000000000002E-2</v>
      </c>
      <c r="AG177" s="407">
        <f t="shared" si="151"/>
        <v>0.19772633885662541</v>
      </c>
      <c r="AH177" s="407">
        <f t="shared" si="152"/>
        <v>0</v>
      </c>
      <c r="AI177">
        <f t="shared" si="128"/>
        <v>0</v>
      </c>
      <c r="AJ177" s="408">
        <f t="shared" si="129"/>
        <v>0.136627632</v>
      </c>
      <c r="AK177">
        <f t="shared" si="134"/>
        <v>4.8000000000000001E-2</v>
      </c>
      <c r="AL177" s="408">
        <f t="shared" si="130"/>
        <v>0.1215</v>
      </c>
      <c r="AM177" s="408">
        <f t="shared" si="135"/>
        <v>0.31645971316818772</v>
      </c>
      <c r="AN177" s="408">
        <f t="shared" si="153"/>
        <v>0.16949999999999998</v>
      </c>
      <c r="AO177" s="408">
        <f t="shared" si="154"/>
        <v>1.4022858433986292</v>
      </c>
      <c r="AP177">
        <f t="shared" si="131"/>
        <v>25.703999999999997</v>
      </c>
      <c r="AQ177" s="10">
        <f t="shared" si="155"/>
        <v>0.94826713436506693</v>
      </c>
      <c r="AR177" s="63">
        <f t="shared" si="156"/>
        <v>27.841822934438859</v>
      </c>
      <c r="AS177" s="63">
        <f t="shared" si="157"/>
        <v>9.8863169428312698</v>
      </c>
      <c r="AT177" s="10"/>
      <c r="AU177">
        <f t="shared" si="158"/>
        <v>94.826713436506694</v>
      </c>
    </row>
    <row r="178" spans="7:47" x14ac:dyDescent="0.25">
      <c r="G178">
        <v>169</v>
      </c>
      <c r="H178">
        <f t="shared" si="120"/>
        <v>5.07</v>
      </c>
      <c r="I178" s="407">
        <f t="shared" si="136"/>
        <v>0.21482375000000001</v>
      </c>
      <c r="J178" s="408">
        <f t="shared" si="121"/>
        <v>1.3533896249999997</v>
      </c>
      <c r="K178" s="408">
        <f t="shared" si="132"/>
        <v>5.7466948125000004</v>
      </c>
      <c r="L178" s="408">
        <f t="shared" si="137"/>
        <v>4.3933051875000002</v>
      </c>
      <c r="M178" s="63">
        <f t="shared" si="122"/>
        <v>0</v>
      </c>
      <c r="N178" s="407">
        <f t="shared" si="138"/>
        <v>5.0850308379682554</v>
      </c>
      <c r="O178" s="407">
        <f t="shared" si="139"/>
        <v>0.13063889320614283</v>
      </c>
      <c r="P178">
        <f t="shared" si="123"/>
        <v>0.2</v>
      </c>
      <c r="Q178" s="407">
        <f t="shared" si="133"/>
        <v>0.33063889320614281</v>
      </c>
      <c r="R178" s="9">
        <f t="shared" si="140"/>
        <v>0.39068993215609826</v>
      </c>
      <c r="S178" s="9">
        <f t="shared" si="141"/>
        <v>1.5263862308813668E-3</v>
      </c>
      <c r="T178" s="9">
        <f t="shared" si="142"/>
        <v>1.5263862308813668E-3</v>
      </c>
      <c r="U178" s="407">
        <f t="shared" si="143"/>
        <v>2.3568651664407176</v>
      </c>
      <c r="V178" s="409">
        <f t="shared" si="144"/>
        <v>1.1109626825563263E-2</v>
      </c>
      <c r="W178" s="407">
        <f t="shared" si="145"/>
        <v>1.1109626825563263E-2</v>
      </c>
      <c r="X178" s="407">
        <f t="shared" si="146"/>
        <v>2.3568651664407176</v>
      </c>
      <c r="Y178" s="407">
        <f t="shared" si="147"/>
        <v>3.332888047668979E-2</v>
      </c>
      <c r="Z178" s="407">
        <f t="shared" si="124"/>
        <v>0.37848091517903415</v>
      </c>
      <c r="AA178" s="407">
        <f t="shared" si="125"/>
        <v>0.14400000000000002</v>
      </c>
      <c r="AB178" s="407">
        <f t="shared" si="126"/>
        <v>0</v>
      </c>
      <c r="AC178" s="407">
        <f t="shared" si="148"/>
        <v>0.55953956108640968</v>
      </c>
      <c r="AD178" s="407">
        <f t="shared" si="149"/>
        <v>4.5058545482856527</v>
      </c>
      <c r="AE178" s="407">
        <f t="shared" si="150"/>
        <v>0.12181635126183901</v>
      </c>
      <c r="AF178" s="407">
        <f t="shared" si="127"/>
        <v>7.3008000000000003E-2</v>
      </c>
      <c r="AG178" s="407">
        <f t="shared" si="151"/>
        <v>0.19968943903150735</v>
      </c>
      <c r="AH178" s="407">
        <f t="shared" si="152"/>
        <v>0</v>
      </c>
      <c r="AI178">
        <f t="shared" si="128"/>
        <v>0</v>
      </c>
      <c r="AJ178" s="408">
        <f t="shared" si="129"/>
        <v>0.13662660600000001</v>
      </c>
      <c r="AK178">
        <f t="shared" si="134"/>
        <v>4.8000000000000001E-2</v>
      </c>
      <c r="AL178" s="408">
        <f t="shared" si="130"/>
        <v>0.1215</v>
      </c>
      <c r="AM178" s="408">
        <f t="shared" si="135"/>
        <v>0.31645971316818772</v>
      </c>
      <c r="AN178" s="408">
        <f t="shared" si="153"/>
        <v>0.16949999999999998</v>
      </c>
      <c r="AO178" s="408">
        <f t="shared" si="154"/>
        <v>1.4086305123805045</v>
      </c>
      <c r="AP178">
        <f t="shared" si="131"/>
        <v>25.856999999999999</v>
      </c>
      <c r="AQ178" s="10">
        <f t="shared" si="155"/>
        <v>0.94833677102237235</v>
      </c>
      <c r="AR178" s="63">
        <f t="shared" si="156"/>
        <v>27.976978054320483</v>
      </c>
      <c r="AS178" s="63">
        <f t="shared" si="157"/>
        <v>9.984471951575367</v>
      </c>
      <c r="AT178" s="10"/>
      <c r="AU178">
        <f t="shared" si="158"/>
        <v>94.833677102237232</v>
      </c>
    </row>
    <row r="179" spans="7:47" x14ac:dyDescent="0.25">
      <c r="G179">
        <v>170</v>
      </c>
      <c r="H179">
        <f t="shared" si="120"/>
        <v>5.0999999999999996</v>
      </c>
      <c r="I179" s="407">
        <f t="shared" si="136"/>
        <v>0.21483749999999999</v>
      </c>
      <c r="J179" s="408">
        <f t="shared" si="121"/>
        <v>1.3534762499999997</v>
      </c>
      <c r="K179" s="408">
        <f t="shared" si="132"/>
        <v>5.7767381249999996</v>
      </c>
      <c r="L179" s="408">
        <f t="shared" si="137"/>
        <v>4.4232618749999997</v>
      </c>
      <c r="M179" s="63">
        <f t="shared" si="122"/>
        <v>0</v>
      </c>
      <c r="N179" s="407">
        <f t="shared" si="138"/>
        <v>5.114944590440464</v>
      </c>
      <c r="O179" s="407">
        <f t="shared" si="139"/>
        <v>0.13219673804347346</v>
      </c>
      <c r="P179">
        <f t="shared" si="123"/>
        <v>0.2</v>
      </c>
      <c r="Q179" s="407">
        <f t="shared" si="133"/>
        <v>0.33219673804347349</v>
      </c>
      <c r="R179" s="9">
        <f t="shared" si="140"/>
        <v>0.39071493863963253</v>
      </c>
      <c r="S179" s="9">
        <f t="shared" si="141"/>
        <v>1.5265816327617182E-3</v>
      </c>
      <c r="T179" s="9">
        <f t="shared" si="142"/>
        <v>1.5265816327617182E-3</v>
      </c>
      <c r="U179" s="407">
        <f t="shared" si="143"/>
        <v>2.3708057856249725</v>
      </c>
      <c r="V179" s="409">
        <f t="shared" si="144"/>
        <v>1.1241440146305686E-2</v>
      </c>
      <c r="W179" s="407">
        <f t="shared" si="145"/>
        <v>1.1241440146305686E-2</v>
      </c>
      <c r="X179" s="407">
        <f t="shared" si="146"/>
        <v>2.3708057856249725</v>
      </c>
      <c r="Y179" s="407">
        <f t="shared" si="147"/>
        <v>3.3724320438917058E-2</v>
      </c>
      <c r="Z179" s="407">
        <f t="shared" si="124"/>
        <v>0.38072915452905254</v>
      </c>
      <c r="AA179" s="407">
        <f t="shared" si="125"/>
        <v>0.14400000000000002</v>
      </c>
      <c r="AB179" s="407">
        <f t="shared" si="126"/>
        <v>0</v>
      </c>
      <c r="AC179" s="407">
        <f t="shared" si="148"/>
        <v>0.56224574610941191</v>
      </c>
      <c r="AD179" s="407">
        <f t="shared" si="149"/>
        <v>4.5323214901552742</v>
      </c>
      <c r="AE179" s="407">
        <f t="shared" si="150"/>
        <v>0.12325162854073994</v>
      </c>
      <c r="AF179" s="407">
        <f t="shared" si="127"/>
        <v>7.3439999999999991E-2</v>
      </c>
      <c r="AG179" s="407">
        <f t="shared" si="151"/>
        <v>0.20166267926787071</v>
      </c>
      <c r="AH179" s="407">
        <f t="shared" si="152"/>
        <v>0</v>
      </c>
      <c r="AI179">
        <f t="shared" si="128"/>
        <v>0</v>
      </c>
      <c r="AJ179" s="408">
        <f t="shared" si="129"/>
        <v>0.13662558</v>
      </c>
      <c r="AK179">
        <f t="shared" si="134"/>
        <v>4.8000000000000001E-2</v>
      </c>
      <c r="AL179" s="408">
        <f t="shared" si="130"/>
        <v>0.1215</v>
      </c>
      <c r="AM179" s="408">
        <f t="shared" si="135"/>
        <v>0.31645971316818772</v>
      </c>
      <c r="AN179" s="408">
        <f t="shared" si="153"/>
        <v>0.16949999999999998</v>
      </c>
      <c r="AO179" s="408">
        <f t="shared" si="154"/>
        <v>1.4149987651998235</v>
      </c>
      <c r="AP179">
        <f t="shared" si="131"/>
        <v>26.009999999999998</v>
      </c>
      <c r="AQ179" s="10">
        <f t="shared" si="155"/>
        <v>0.94840478290211105</v>
      </c>
      <c r="AR179" s="63">
        <f t="shared" si="156"/>
        <v>28.112287305470595</v>
      </c>
      <c r="AS179" s="63">
        <f t="shared" si="157"/>
        <v>10.083133963393536</v>
      </c>
      <c r="AT179" s="10"/>
      <c r="AU179">
        <f t="shared" si="158"/>
        <v>94.840478290211109</v>
      </c>
    </row>
    <row r="180" spans="7:47" x14ac:dyDescent="0.25">
      <c r="G180">
        <v>171</v>
      </c>
      <c r="H180">
        <f t="shared" si="120"/>
        <v>5.13</v>
      </c>
      <c r="I180" s="407">
        <f t="shared" si="136"/>
        <v>0.21485124999999997</v>
      </c>
      <c r="J180" s="408">
        <f t="shared" si="121"/>
        <v>1.3535628749999995</v>
      </c>
      <c r="K180" s="408">
        <f t="shared" si="132"/>
        <v>5.8067814374999998</v>
      </c>
      <c r="L180" s="408">
        <f t="shared" si="137"/>
        <v>4.4532185625</v>
      </c>
      <c r="M180" s="63">
        <f t="shared" si="122"/>
        <v>0</v>
      </c>
      <c r="N180" s="407">
        <f t="shared" si="138"/>
        <v>5.1448593474180475</v>
      </c>
      <c r="O180" s="407">
        <f t="shared" si="139"/>
        <v>0.1337641608636084</v>
      </c>
      <c r="P180">
        <f t="shared" si="123"/>
        <v>0.2</v>
      </c>
      <c r="Q180" s="407">
        <f t="shared" si="133"/>
        <v>0.33376416086360838</v>
      </c>
      <c r="R180" s="9">
        <f t="shared" si="140"/>
        <v>0.39073994512316679</v>
      </c>
      <c r="S180" s="9">
        <f t="shared" si="141"/>
        <v>1.5267770471485539E-3</v>
      </c>
      <c r="T180" s="9">
        <f t="shared" si="142"/>
        <v>1.5267770471485539E-3</v>
      </c>
      <c r="U180" s="407">
        <f t="shared" si="143"/>
        <v>2.384747755388422</v>
      </c>
      <c r="V180" s="409">
        <f t="shared" si="144"/>
        <v>1.1374043713660234E-2</v>
      </c>
      <c r="W180" s="407">
        <f t="shared" si="145"/>
        <v>1.1374043713660234E-2</v>
      </c>
      <c r="X180" s="407">
        <f t="shared" si="146"/>
        <v>2.384747755388422</v>
      </c>
      <c r="Y180" s="407">
        <f t="shared" si="147"/>
        <v>3.4122131140980699E-2</v>
      </c>
      <c r="Z180" s="407">
        <f t="shared" si="124"/>
        <v>0.38297739387907109</v>
      </c>
      <c r="AA180" s="407">
        <f t="shared" si="125"/>
        <v>0.14400000000000002</v>
      </c>
      <c r="AB180" s="407">
        <f t="shared" si="126"/>
        <v>0</v>
      </c>
      <c r="AC180" s="407">
        <f t="shared" si="148"/>
        <v>0.56495501886856958</v>
      </c>
      <c r="AD180" s="407">
        <f t="shared" si="149"/>
        <v>4.558788857567845</v>
      </c>
      <c r="AE180" s="407">
        <f t="shared" si="150"/>
        <v>0.12469533508730843</v>
      </c>
      <c r="AF180" s="407">
        <f t="shared" si="127"/>
        <v>7.3871999999999993E-2</v>
      </c>
      <c r="AG180" s="407">
        <f t="shared" si="151"/>
        <v>0.20364607828141182</v>
      </c>
      <c r="AH180" s="407">
        <f t="shared" si="152"/>
        <v>0</v>
      </c>
      <c r="AI180">
        <f t="shared" si="128"/>
        <v>0</v>
      </c>
      <c r="AJ180" s="408">
        <f t="shared" si="129"/>
        <v>0.13662455400000001</v>
      </c>
      <c r="AK180">
        <f t="shared" si="134"/>
        <v>4.8000000000000001E-2</v>
      </c>
      <c r="AL180" s="408">
        <f t="shared" si="130"/>
        <v>0.1215</v>
      </c>
      <c r="AM180" s="408">
        <f t="shared" si="135"/>
        <v>0.31645971316818772</v>
      </c>
      <c r="AN180" s="408">
        <f t="shared" si="153"/>
        <v>0.16949999999999998</v>
      </c>
      <c r="AO180" s="408">
        <f t="shared" si="154"/>
        <v>1.4213906327743986</v>
      </c>
      <c r="AP180">
        <f t="shared" si="131"/>
        <v>26.162999999999997</v>
      </c>
      <c r="AQ180" s="10">
        <f t="shared" si="155"/>
        <v>0.94847119692810722</v>
      </c>
      <c r="AR180" s="63">
        <f t="shared" si="156"/>
        <v>28.247750943428478</v>
      </c>
      <c r="AS180" s="63">
        <f t="shared" si="157"/>
        <v>10.182303914070591</v>
      </c>
      <c r="AT180" s="10"/>
      <c r="AU180">
        <f t="shared" si="158"/>
        <v>94.847119692810722</v>
      </c>
    </row>
    <row r="181" spans="7:47" x14ac:dyDescent="0.25">
      <c r="G181">
        <v>172</v>
      </c>
      <c r="H181">
        <f t="shared" si="120"/>
        <v>5.16</v>
      </c>
      <c r="I181" s="407">
        <f t="shared" si="136"/>
        <v>0.214865</v>
      </c>
      <c r="J181" s="408">
        <f t="shared" si="121"/>
        <v>1.3536494999999995</v>
      </c>
      <c r="K181" s="408">
        <f t="shared" si="132"/>
        <v>5.8368247499999999</v>
      </c>
      <c r="L181" s="408">
        <f t="shared" si="137"/>
        <v>4.4831752500000004</v>
      </c>
      <c r="M181" s="63">
        <f t="shared" si="122"/>
        <v>0</v>
      </c>
      <c r="N181" s="407">
        <f t="shared" si="138"/>
        <v>5.1747750914802264</v>
      </c>
      <c r="O181" s="407">
        <f t="shared" si="139"/>
        <v>0.13534116865463894</v>
      </c>
      <c r="P181">
        <f t="shared" si="123"/>
        <v>0.2</v>
      </c>
      <c r="Q181" s="407">
        <f t="shared" si="133"/>
        <v>0.33534116865463892</v>
      </c>
      <c r="R181" s="9">
        <f t="shared" si="140"/>
        <v>0.39076495160670105</v>
      </c>
      <c r="S181" s="9">
        <f t="shared" si="141"/>
        <v>1.5269724740418743E-3</v>
      </c>
      <c r="T181" s="9">
        <f t="shared" si="142"/>
        <v>1.5269724740418743E-3</v>
      </c>
      <c r="U181" s="407">
        <f t="shared" si="143"/>
        <v>2.3986910676582553</v>
      </c>
      <c r="V181" s="409">
        <f t="shared" si="144"/>
        <v>1.1507437676127002E-2</v>
      </c>
      <c r="W181" s="407">
        <f t="shared" si="145"/>
        <v>1.1507437676127002E-2</v>
      </c>
      <c r="X181" s="407">
        <f t="shared" si="146"/>
        <v>2.3986910676582553</v>
      </c>
      <c r="Y181" s="407">
        <f t="shared" si="147"/>
        <v>3.4522313028381012E-2</v>
      </c>
      <c r="Z181" s="407">
        <f t="shared" si="124"/>
        <v>0.3852256332290897</v>
      </c>
      <c r="AA181" s="407">
        <f t="shared" si="125"/>
        <v>0.14400000000000002</v>
      </c>
      <c r="AB181" s="407">
        <f t="shared" si="126"/>
        <v>0</v>
      </c>
      <c r="AC181" s="407">
        <f t="shared" si="148"/>
        <v>0.56766738448611709</v>
      </c>
      <c r="AD181" s="407">
        <f t="shared" si="149"/>
        <v>4.5852566350577026</v>
      </c>
      <c r="AE181" s="407">
        <f t="shared" si="150"/>
        <v>0.12614747045604413</v>
      </c>
      <c r="AF181" s="407">
        <f t="shared" si="127"/>
        <v>7.4303999999999995E-2</v>
      </c>
      <c r="AG181" s="407">
        <f t="shared" si="151"/>
        <v>0.20563965491463101</v>
      </c>
      <c r="AH181" s="407">
        <f t="shared" si="152"/>
        <v>0</v>
      </c>
      <c r="AI181">
        <f t="shared" si="128"/>
        <v>0</v>
      </c>
      <c r="AJ181" s="408">
        <f t="shared" si="129"/>
        <v>0.13662352799999999</v>
      </c>
      <c r="AK181">
        <f t="shared" si="134"/>
        <v>4.8000000000000001E-2</v>
      </c>
      <c r="AL181" s="408">
        <f t="shared" si="130"/>
        <v>0.1215</v>
      </c>
      <c r="AM181" s="408">
        <f t="shared" si="135"/>
        <v>0.31645971316818772</v>
      </c>
      <c r="AN181" s="408">
        <f t="shared" si="153"/>
        <v>0.16949999999999998</v>
      </c>
      <c r="AO181" s="408">
        <f t="shared" si="154"/>
        <v>1.4278061462055558</v>
      </c>
      <c r="AP181">
        <f t="shared" si="131"/>
        <v>26.315999999999999</v>
      </c>
      <c r="AQ181" s="10">
        <f t="shared" si="155"/>
        <v>0.94853603940709363</v>
      </c>
      <c r="AR181" s="63">
        <f t="shared" si="156"/>
        <v>28.383369224305856</v>
      </c>
      <c r="AS181" s="63">
        <f t="shared" si="157"/>
        <v>10.28198274573155</v>
      </c>
      <c r="AT181" s="10"/>
      <c r="AU181">
        <f t="shared" si="158"/>
        <v>94.853603940709363</v>
      </c>
    </row>
    <row r="182" spans="7:47" x14ac:dyDescent="0.25">
      <c r="G182">
        <v>173</v>
      </c>
      <c r="H182">
        <f t="shared" si="120"/>
        <v>5.1899999999999995</v>
      </c>
      <c r="I182" s="407">
        <f t="shared" si="136"/>
        <v>0.21487874999999998</v>
      </c>
      <c r="J182" s="408">
        <f t="shared" si="121"/>
        <v>1.3537361249999997</v>
      </c>
      <c r="K182" s="408">
        <f t="shared" si="132"/>
        <v>5.8668680624999991</v>
      </c>
      <c r="L182" s="408">
        <f t="shared" si="137"/>
        <v>4.5131319374999999</v>
      </c>
      <c r="M182" s="63">
        <f t="shared" si="122"/>
        <v>0</v>
      </c>
      <c r="N182" s="407">
        <f t="shared" si="138"/>
        <v>5.2046918056061848</v>
      </c>
      <c r="O182" s="407">
        <f t="shared" si="139"/>
        <v>0.13692776844999666</v>
      </c>
      <c r="P182">
        <f t="shared" si="123"/>
        <v>0.2</v>
      </c>
      <c r="Q182" s="407">
        <f t="shared" si="133"/>
        <v>0.33692776844999667</v>
      </c>
      <c r="R182" s="9">
        <f t="shared" si="140"/>
        <v>0.39078995809023537</v>
      </c>
      <c r="S182" s="9">
        <f t="shared" si="141"/>
        <v>1.5271679134416791E-3</v>
      </c>
      <c r="T182" s="9">
        <f t="shared" si="142"/>
        <v>1.5271679134416791E-3</v>
      </c>
      <c r="U182" s="407">
        <f t="shared" si="143"/>
        <v>2.4126357145460329</v>
      </c>
      <c r="V182" s="409">
        <f t="shared" si="144"/>
        <v>1.1641622182206095E-2</v>
      </c>
      <c r="W182" s="407">
        <f t="shared" si="145"/>
        <v>1.1641622182206095E-2</v>
      </c>
      <c r="X182" s="407">
        <f t="shared" si="146"/>
        <v>2.4126357145460329</v>
      </c>
      <c r="Y182" s="407">
        <f t="shared" si="147"/>
        <v>3.4924866546618284E-2</v>
      </c>
      <c r="Z182" s="407">
        <f t="shared" si="124"/>
        <v>0.38747387257910815</v>
      </c>
      <c r="AA182" s="407">
        <f t="shared" si="125"/>
        <v>0.14400000000000002</v>
      </c>
      <c r="AB182" s="407">
        <f t="shared" si="126"/>
        <v>0</v>
      </c>
      <c r="AC182" s="407">
        <f t="shared" si="148"/>
        <v>0.57038284809577144</v>
      </c>
      <c r="AD182" s="407">
        <f t="shared" si="149"/>
        <v>4.6117248075141175</v>
      </c>
      <c r="AE182" s="407">
        <f t="shared" si="150"/>
        <v>0.12760803420144673</v>
      </c>
      <c r="AF182" s="407">
        <f t="shared" si="127"/>
        <v>7.4735999999999997E-2</v>
      </c>
      <c r="AG182" s="407">
        <f t="shared" si="151"/>
        <v>0.20764342813733774</v>
      </c>
      <c r="AH182" s="407">
        <f t="shared" si="152"/>
        <v>0</v>
      </c>
      <c r="AI182">
        <f t="shared" si="128"/>
        <v>0</v>
      </c>
      <c r="AJ182" s="408">
        <f t="shared" si="129"/>
        <v>0.13662250200000001</v>
      </c>
      <c r="AK182">
        <f t="shared" si="134"/>
        <v>4.8000000000000001E-2</v>
      </c>
      <c r="AL182" s="408">
        <f t="shared" si="130"/>
        <v>0.1215</v>
      </c>
      <c r="AM182" s="408">
        <f t="shared" si="135"/>
        <v>0.31645971316818772</v>
      </c>
      <c r="AN182" s="408">
        <f t="shared" si="153"/>
        <v>0.16949999999999998</v>
      </c>
      <c r="AO182" s="408">
        <f t="shared" si="154"/>
        <v>1.4342453367787538</v>
      </c>
      <c r="AP182">
        <f t="shared" si="131"/>
        <v>26.468999999999994</v>
      </c>
      <c r="AQ182" s="10">
        <f t="shared" si="155"/>
        <v>0.94859933604610847</v>
      </c>
      <c r="AR182" s="63">
        <f t="shared" si="156"/>
        <v>28.519142404788571</v>
      </c>
      <c r="AS182" s="63">
        <f t="shared" si="157"/>
        <v>10.382171406866886</v>
      </c>
      <c r="AT182" s="10"/>
      <c r="AU182">
        <f t="shared" si="158"/>
        <v>94.859933604610845</v>
      </c>
    </row>
    <row r="183" spans="7:47" x14ac:dyDescent="0.25">
      <c r="G183">
        <v>174</v>
      </c>
      <c r="H183">
        <f t="shared" si="120"/>
        <v>5.22</v>
      </c>
      <c r="I183" s="407">
        <f t="shared" si="136"/>
        <v>0.21489249999999996</v>
      </c>
      <c r="J183" s="408">
        <f t="shared" si="121"/>
        <v>1.3538227499999995</v>
      </c>
      <c r="K183" s="408">
        <f t="shared" si="132"/>
        <v>5.8969113749999993</v>
      </c>
      <c r="L183" s="408">
        <f t="shared" si="137"/>
        <v>4.5430886250000002</v>
      </c>
      <c r="M183" s="63">
        <f t="shared" si="122"/>
        <v>0</v>
      </c>
      <c r="N183" s="407">
        <f t="shared" si="138"/>
        <v>5.2346094731636663</v>
      </c>
      <c r="O183" s="407">
        <f t="shared" si="139"/>
        <v>0.13852396732853273</v>
      </c>
      <c r="P183">
        <f t="shared" si="123"/>
        <v>0.2</v>
      </c>
      <c r="Q183" s="407">
        <f t="shared" si="133"/>
        <v>0.33852396732853274</v>
      </c>
      <c r="R183" s="9">
        <f t="shared" si="140"/>
        <v>0.39081496457376957</v>
      </c>
      <c r="S183" s="9">
        <f t="shared" si="141"/>
        <v>1.5273633653479677E-3</v>
      </c>
      <c r="T183" s="9">
        <f t="shared" si="142"/>
        <v>1.5273633653479677E-3</v>
      </c>
      <c r="U183" s="407">
        <f t="shared" si="143"/>
        <v>2.4265816883424307</v>
      </c>
      <c r="V183" s="409">
        <f t="shared" si="144"/>
        <v>1.1776597380397604E-2</v>
      </c>
      <c r="W183" s="407">
        <f t="shared" si="145"/>
        <v>1.1776597380397604E-2</v>
      </c>
      <c r="X183" s="407">
        <f t="shared" si="146"/>
        <v>2.4265816883424307</v>
      </c>
      <c r="Y183" s="407">
        <f t="shared" si="147"/>
        <v>3.5329792141192813E-2</v>
      </c>
      <c r="Z183" s="407">
        <f t="shared" si="124"/>
        <v>0.38972211192912659</v>
      </c>
      <c r="AA183" s="407">
        <f t="shared" si="125"/>
        <v>0.14400000000000002</v>
      </c>
      <c r="AB183" s="407">
        <f t="shared" si="126"/>
        <v>0</v>
      </c>
      <c r="AC183" s="407">
        <f t="shared" si="148"/>
        <v>0.57310141484276311</v>
      </c>
      <c r="AD183" s="407">
        <f t="shared" si="149"/>
        <v>4.6381933601711776</v>
      </c>
      <c r="AE183" s="407">
        <f t="shared" si="150"/>
        <v>0.12907702587801601</v>
      </c>
      <c r="AF183" s="407">
        <f t="shared" si="127"/>
        <v>7.5167999999999999E-2</v>
      </c>
      <c r="AG183" s="407">
        <f t="shared" si="151"/>
        <v>0.20965741704715884</v>
      </c>
      <c r="AH183" s="407">
        <f t="shared" si="152"/>
        <v>0</v>
      </c>
      <c r="AI183">
        <f t="shared" si="128"/>
        <v>0</v>
      </c>
      <c r="AJ183" s="408">
        <f t="shared" si="129"/>
        <v>0.13662147599999999</v>
      </c>
      <c r="AK183">
        <f t="shared" si="134"/>
        <v>4.8000000000000001E-2</v>
      </c>
      <c r="AL183" s="408">
        <f t="shared" si="130"/>
        <v>0.1215</v>
      </c>
      <c r="AM183" s="408">
        <f t="shared" si="135"/>
        <v>0.31645971316818772</v>
      </c>
      <c r="AN183" s="408">
        <f t="shared" si="153"/>
        <v>0.16949999999999998</v>
      </c>
      <c r="AO183" s="408">
        <f t="shared" si="154"/>
        <v>1.4407082359642003</v>
      </c>
      <c r="AP183">
        <f t="shared" si="131"/>
        <v>26.621999999999996</v>
      </c>
      <c r="AQ183" s="10">
        <f t="shared" si="155"/>
        <v>0.94866111196930591</v>
      </c>
      <c r="AR183" s="63">
        <f t="shared" si="156"/>
        <v>28.655070742138157</v>
      </c>
      <c r="AS183" s="63">
        <f t="shared" si="157"/>
        <v>10.482870852357943</v>
      </c>
      <c r="AT183" s="10"/>
      <c r="AU183">
        <f t="shared" si="158"/>
        <v>94.866111196930589</v>
      </c>
    </row>
    <row r="184" spans="7:47" x14ac:dyDescent="0.25">
      <c r="G184">
        <v>175</v>
      </c>
      <c r="H184">
        <f t="shared" si="120"/>
        <v>5.25</v>
      </c>
      <c r="I184" s="407">
        <f t="shared" si="136"/>
        <v>0.21490624999999999</v>
      </c>
      <c r="J184" s="408">
        <f t="shared" si="121"/>
        <v>1.3539093749999995</v>
      </c>
      <c r="K184" s="408">
        <f t="shared" si="132"/>
        <v>5.9269546874999994</v>
      </c>
      <c r="L184" s="408">
        <f t="shared" si="137"/>
        <v>4.5730453125000006</v>
      </c>
      <c r="M184" s="63">
        <f t="shared" si="122"/>
        <v>0</v>
      </c>
      <c r="N184" s="407">
        <f t="shared" si="138"/>
        <v>5.2645280778979684</v>
      </c>
      <c r="O184" s="407">
        <f t="shared" si="139"/>
        <v>0.1401297724145979</v>
      </c>
      <c r="P184">
        <f t="shared" si="123"/>
        <v>0.2</v>
      </c>
      <c r="Q184" s="407">
        <f t="shared" si="133"/>
        <v>0.34012977241459791</v>
      </c>
      <c r="R184" s="9">
        <f t="shared" si="140"/>
        <v>0.39083997105730389</v>
      </c>
      <c r="S184" s="9">
        <f t="shared" si="141"/>
        <v>1.5275588297607415E-3</v>
      </c>
      <c r="T184" s="9">
        <f t="shared" si="142"/>
        <v>1.5275588297607415E-3</v>
      </c>
      <c r="U184" s="407">
        <f t="shared" si="143"/>
        <v>2.4405289815121698</v>
      </c>
      <c r="V184" s="409">
        <f t="shared" si="144"/>
        <v>1.1912363419201658E-2</v>
      </c>
      <c r="W184" s="407">
        <f t="shared" si="145"/>
        <v>1.1912363419201658E-2</v>
      </c>
      <c r="X184" s="407">
        <f t="shared" si="146"/>
        <v>2.4405289815121698</v>
      </c>
      <c r="Y184" s="407">
        <f t="shared" si="147"/>
        <v>3.5737090257604971E-2</v>
      </c>
      <c r="Z184" s="407">
        <f t="shared" si="124"/>
        <v>0.39197035127914515</v>
      </c>
      <c r="AA184" s="407">
        <f t="shared" si="125"/>
        <v>0.14400000000000002</v>
      </c>
      <c r="AB184" s="407">
        <f t="shared" si="126"/>
        <v>0</v>
      </c>
      <c r="AC184" s="407">
        <f t="shared" si="148"/>
        <v>0.57582308988386866</v>
      </c>
      <c r="AD184" s="407">
        <f t="shared" si="149"/>
        <v>4.6646622785980174</v>
      </c>
      <c r="AE184" s="407">
        <f t="shared" si="150"/>
        <v>0.13055444504025149</v>
      </c>
      <c r="AF184" s="407">
        <f t="shared" si="127"/>
        <v>7.5600000000000001E-2</v>
      </c>
      <c r="AG184" s="407">
        <f t="shared" si="151"/>
        <v>0.21168164087005134</v>
      </c>
      <c r="AH184" s="407">
        <f t="shared" si="152"/>
        <v>0</v>
      </c>
      <c r="AI184">
        <f t="shared" si="128"/>
        <v>0</v>
      </c>
      <c r="AJ184" s="408">
        <f t="shared" si="129"/>
        <v>0.13662045</v>
      </c>
      <c r="AK184">
        <f t="shared" si="134"/>
        <v>4.8000000000000001E-2</v>
      </c>
      <c r="AL184" s="408">
        <f t="shared" si="130"/>
        <v>0.1215</v>
      </c>
      <c r="AM184" s="408">
        <f t="shared" si="135"/>
        <v>0.31645971316818772</v>
      </c>
      <c r="AN184" s="408">
        <f t="shared" si="153"/>
        <v>0.16949999999999998</v>
      </c>
      <c r="AO184" s="408">
        <f t="shared" si="154"/>
        <v>1.4471948754174802</v>
      </c>
      <c r="AP184">
        <f t="shared" si="131"/>
        <v>26.774999999999999</v>
      </c>
      <c r="AQ184" s="10">
        <f t="shared" si="155"/>
        <v>0.94872139173420433</v>
      </c>
      <c r="AR184" s="63">
        <f t="shared" si="156"/>
        <v>28.791154494193432</v>
      </c>
      <c r="AS184" s="63">
        <f t="shared" si="157"/>
        <v>10.584082043502567</v>
      </c>
      <c r="AT184" s="10"/>
      <c r="AU184">
        <f t="shared" si="158"/>
        <v>94.872139173420436</v>
      </c>
    </row>
    <row r="185" spans="7:47" x14ac:dyDescent="0.25">
      <c r="G185">
        <v>176</v>
      </c>
      <c r="H185">
        <f t="shared" si="120"/>
        <v>5.28</v>
      </c>
      <c r="I185" s="407">
        <f t="shared" si="136"/>
        <v>0.21491999999999997</v>
      </c>
      <c r="J185" s="408">
        <f t="shared" si="121"/>
        <v>1.3539959999999995</v>
      </c>
      <c r="K185" s="408">
        <f t="shared" si="132"/>
        <v>5.9569980000000005</v>
      </c>
      <c r="L185" s="408">
        <f t="shared" si="137"/>
        <v>4.603002</v>
      </c>
      <c r="M185" s="63">
        <f t="shared" si="122"/>
        <v>0</v>
      </c>
      <c r="N185" s="407">
        <f t="shared" si="138"/>
        <v>5.2944476039213004</v>
      </c>
      <c r="O185" s="407">
        <f t="shared" si="139"/>
        <v>0.14174519087812326</v>
      </c>
      <c r="P185">
        <f t="shared" si="123"/>
        <v>0.2</v>
      </c>
      <c r="Q185" s="407">
        <f t="shared" si="133"/>
        <v>0.34174519087812327</v>
      </c>
      <c r="R185" s="9">
        <f t="shared" si="140"/>
        <v>0.39086497754083815</v>
      </c>
      <c r="S185" s="9">
        <f t="shared" si="141"/>
        <v>1.5277543066799992E-3</v>
      </c>
      <c r="T185" s="9">
        <f t="shared" si="142"/>
        <v>1.5277543066799992E-3</v>
      </c>
      <c r="U185" s="407">
        <f t="shared" si="143"/>
        <v>2.4544775866891038</v>
      </c>
      <c r="V185" s="409">
        <f t="shared" si="144"/>
        <v>1.2048920447118335E-2</v>
      </c>
      <c r="W185" s="407">
        <f t="shared" si="145"/>
        <v>1.2048920447118335E-2</v>
      </c>
      <c r="X185" s="407">
        <f t="shared" si="146"/>
        <v>2.4544775866891038</v>
      </c>
      <c r="Y185" s="407">
        <f t="shared" si="147"/>
        <v>3.6146761341355006E-2</v>
      </c>
      <c r="Z185" s="407">
        <f t="shared" si="124"/>
        <v>0.39421859062916365</v>
      </c>
      <c r="AA185" s="407">
        <f t="shared" si="125"/>
        <v>0.14400000000000002</v>
      </c>
      <c r="AB185" s="407">
        <f t="shared" si="126"/>
        <v>0</v>
      </c>
      <c r="AC185" s="407">
        <f t="shared" si="148"/>
        <v>0.57854787838744226</v>
      </c>
      <c r="AD185" s="407">
        <f t="shared" si="149"/>
        <v>4.6911315486893814</v>
      </c>
      <c r="AE185" s="407">
        <f t="shared" si="150"/>
        <v>0.13204029124265301</v>
      </c>
      <c r="AF185" s="407">
        <f t="shared" si="127"/>
        <v>7.6032000000000002E-2</v>
      </c>
      <c r="AG185" s="407">
        <f t="shared" si="151"/>
        <v>0.21371611896082027</v>
      </c>
      <c r="AH185" s="407">
        <f t="shared" si="152"/>
        <v>0</v>
      </c>
      <c r="AI185">
        <f t="shared" si="128"/>
        <v>0</v>
      </c>
      <c r="AJ185" s="408">
        <f t="shared" si="129"/>
        <v>0.13661942399999999</v>
      </c>
      <c r="AK185">
        <f t="shared" si="134"/>
        <v>4.8000000000000001E-2</v>
      </c>
      <c r="AL185" s="408">
        <f t="shared" si="130"/>
        <v>0.1215</v>
      </c>
      <c r="AM185" s="408">
        <f t="shared" si="135"/>
        <v>0.31645971316818772</v>
      </c>
      <c r="AN185" s="408">
        <f t="shared" si="153"/>
        <v>0.16949999999999998</v>
      </c>
      <c r="AO185" s="408">
        <f t="shared" si="154"/>
        <v>1.4537052869801843</v>
      </c>
      <c r="AP185">
        <f t="shared" si="131"/>
        <v>26.928000000000001</v>
      </c>
      <c r="AQ185" s="10">
        <f t="shared" si="155"/>
        <v>0.94878019934739233</v>
      </c>
      <c r="AR185" s="63">
        <f t="shared" si="156"/>
        <v>28.927393919372115</v>
      </c>
      <c r="AS185" s="63">
        <f t="shared" si="157"/>
        <v>10.685805948041013</v>
      </c>
      <c r="AT185" s="10"/>
      <c r="AU185">
        <f t="shared" si="158"/>
        <v>94.878019934739228</v>
      </c>
    </row>
    <row r="186" spans="7:47" x14ac:dyDescent="0.25">
      <c r="G186">
        <v>177</v>
      </c>
      <c r="H186">
        <f t="shared" si="120"/>
        <v>5.3100000000000005</v>
      </c>
      <c r="I186" s="407">
        <f t="shared" si="136"/>
        <v>0.21493375000000001</v>
      </c>
      <c r="J186" s="408">
        <f t="shared" si="121"/>
        <v>1.3540826249999998</v>
      </c>
      <c r="K186" s="408">
        <f t="shared" si="132"/>
        <v>5.9870413125000006</v>
      </c>
      <c r="L186" s="408">
        <f t="shared" si="137"/>
        <v>4.6329586875000004</v>
      </c>
      <c r="M186" s="63">
        <f t="shared" si="122"/>
        <v>0</v>
      </c>
      <c r="N186" s="407">
        <f t="shared" si="138"/>
        <v>5.3243680357025074</v>
      </c>
      <c r="O186" s="407">
        <f t="shared" si="139"/>
        <v>0.1433702299347015</v>
      </c>
      <c r="P186">
        <f t="shared" si="123"/>
        <v>0.2</v>
      </c>
      <c r="Q186" s="407">
        <f t="shared" si="133"/>
        <v>0.34337022993470151</v>
      </c>
      <c r="R186" s="9">
        <f t="shared" si="140"/>
        <v>0.39088998402437247</v>
      </c>
      <c r="S186" s="9">
        <f t="shared" si="141"/>
        <v>1.5279497961057417E-3</v>
      </c>
      <c r="T186" s="9">
        <f t="shared" si="142"/>
        <v>1.5279497961057417E-3</v>
      </c>
      <c r="U186" s="407">
        <f t="shared" si="143"/>
        <v>2.468427496671489</v>
      </c>
      <c r="V186" s="409">
        <f t="shared" si="144"/>
        <v>1.2186268612647749E-2</v>
      </c>
      <c r="W186" s="407">
        <f t="shared" si="145"/>
        <v>1.2186268612647749E-2</v>
      </c>
      <c r="X186" s="407">
        <f t="shared" si="146"/>
        <v>2.468427496671489</v>
      </c>
      <c r="Y186" s="407">
        <f t="shared" si="147"/>
        <v>3.6558805837943242E-2</v>
      </c>
      <c r="Z186" s="407">
        <f t="shared" si="124"/>
        <v>0.39646682997918226</v>
      </c>
      <c r="AA186" s="407">
        <f t="shared" si="125"/>
        <v>0.14400000000000002</v>
      </c>
      <c r="AB186" s="407">
        <f t="shared" si="126"/>
        <v>0</v>
      </c>
      <c r="AC186" s="407">
        <f t="shared" si="148"/>
        <v>0.58127578553344861</v>
      </c>
      <c r="AD186" s="407">
        <f t="shared" si="149"/>
        <v>4.717601156656495</v>
      </c>
      <c r="AE186" s="407">
        <f t="shared" si="150"/>
        <v>0.13353456403972022</v>
      </c>
      <c r="AF186" s="407">
        <f t="shared" si="127"/>
        <v>7.6464000000000004E-2</v>
      </c>
      <c r="AG186" s="407">
        <f t="shared" si="151"/>
        <v>0.21576087080363909</v>
      </c>
      <c r="AH186" s="407">
        <f t="shared" si="152"/>
        <v>0</v>
      </c>
      <c r="AI186">
        <f t="shared" si="128"/>
        <v>0</v>
      </c>
      <c r="AJ186" s="408">
        <f t="shared" si="129"/>
        <v>0.136618398</v>
      </c>
      <c r="AK186">
        <f t="shared" si="134"/>
        <v>4.8000000000000001E-2</v>
      </c>
      <c r="AL186" s="408">
        <f t="shared" si="130"/>
        <v>0.1215</v>
      </c>
      <c r="AM186" s="408">
        <f t="shared" si="135"/>
        <v>0.31645971316818772</v>
      </c>
      <c r="AN186" s="408">
        <f t="shared" si="153"/>
        <v>0.16949999999999998</v>
      </c>
      <c r="AO186" s="408">
        <f t="shared" si="154"/>
        <v>1.4602395026805428</v>
      </c>
      <c r="AP186">
        <f t="shared" si="131"/>
        <v>27.081</v>
      </c>
      <c r="AQ186" s="10">
        <f t="shared" si="155"/>
        <v>0.94883755827971661</v>
      </c>
      <c r="AR186" s="63">
        <f t="shared" si="156"/>
        <v>29.063789276672431</v>
      </c>
      <c r="AS186" s="63">
        <f t="shared" si="157"/>
        <v>10.788043540181954</v>
      </c>
      <c r="AT186" s="10"/>
      <c r="AU186">
        <f t="shared" si="158"/>
        <v>94.883755827971655</v>
      </c>
    </row>
    <row r="187" spans="7:47" x14ac:dyDescent="0.25">
      <c r="G187">
        <v>178</v>
      </c>
      <c r="H187">
        <f t="shared" si="120"/>
        <v>5.34</v>
      </c>
      <c r="I187" s="407">
        <f t="shared" si="136"/>
        <v>0.21494749999999999</v>
      </c>
      <c r="J187" s="408">
        <f t="shared" si="121"/>
        <v>1.3541692499999995</v>
      </c>
      <c r="K187" s="408">
        <f t="shared" si="132"/>
        <v>6.0170846249999999</v>
      </c>
      <c r="L187" s="408">
        <f t="shared" si="137"/>
        <v>4.6629153749999999</v>
      </c>
      <c r="M187" s="63">
        <f t="shared" si="122"/>
        <v>0</v>
      </c>
      <c r="N187" s="407">
        <f t="shared" si="138"/>
        <v>5.3542893580571267</v>
      </c>
      <c r="O187" s="407">
        <f t="shared" si="139"/>
        <v>0.14500489684566822</v>
      </c>
      <c r="P187">
        <f t="shared" si="123"/>
        <v>0.2</v>
      </c>
      <c r="Q187" s="407">
        <f t="shared" si="133"/>
        <v>0.34500489684566826</v>
      </c>
      <c r="R187" s="9">
        <f t="shared" si="140"/>
        <v>0.39091499050790668</v>
      </c>
      <c r="S187" s="9">
        <f t="shared" si="141"/>
        <v>1.5281452980379676E-3</v>
      </c>
      <c r="T187" s="9">
        <f t="shared" si="142"/>
        <v>1.5281452980379676E-3</v>
      </c>
      <c r="U187" s="407">
        <f t="shared" si="143"/>
        <v>2.4823787044173984</v>
      </c>
      <c r="V187" s="409">
        <f t="shared" si="144"/>
        <v>1.2324408064290002E-2</v>
      </c>
      <c r="W187" s="407">
        <f t="shared" si="145"/>
        <v>1.2324408064290002E-2</v>
      </c>
      <c r="X187" s="407">
        <f t="shared" si="146"/>
        <v>2.4823787044173984</v>
      </c>
      <c r="Y187" s="407">
        <f t="shared" si="147"/>
        <v>3.6973224192870011E-2</v>
      </c>
      <c r="Z187" s="407">
        <f t="shared" si="124"/>
        <v>0.3987150693292007</v>
      </c>
      <c r="AA187" s="407">
        <f t="shared" si="125"/>
        <v>0.14400000000000002</v>
      </c>
      <c r="AB187" s="407">
        <f t="shared" si="126"/>
        <v>0</v>
      </c>
      <c r="AC187" s="407">
        <f t="shared" si="148"/>
        <v>0.58400681651349418</v>
      </c>
      <c r="AD187" s="407">
        <f t="shared" si="149"/>
        <v>4.7440710890182487</v>
      </c>
      <c r="AE187" s="407">
        <f t="shared" si="150"/>
        <v>0.13503726298595276</v>
      </c>
      <c r="AF187" s="407">
        <f t="shared" si="127"/>
        <v>7.6895999999999992E-2</v>
      </c>
      <c r="AG187" s="407">
        <f t="shared" si="151"/>
        <v>0.21781591601257602</v>
      </c>
      <c r="AH187" s="407">
        <f t="shared" si="152"/>
        <v>0</v>
      </c>
      <c r="AI187">
        <f t="shared" si="128"/>
        <v>0</v>
      </c>
      <c r="AJ187" s="408">
        <f t="shared" si="129"/>
        <v>0.13661737200000001</v>
      </c>
      <c r="AK187">
        <f t="shared" si="134"/>
        <v>4.8000000000000001E-2</v>
      </c>
      <c r="AL187" s="408">
        <f t="shared" si="130"/>
        <v>0.1215</v>
      </c>
      <c r="AM187" s="408">
        <f t="shared" si="135"/>
        <v>0.31645971316818772</v>
      </c>
      <c r="AN187" s="408">
        <f t="shared" si="153"/>
        <v>0.16949999999999998</v>
      </c>
      <c r="AO187" s="408">
        <f t="shared" si="154"/>
        <v>1.4667975547340664</v>
      </c>
      <c r="AP187">
        <f t="shared" si="131"/>
        <v>27.233999999999998</v>
      </c>
      <c r="AQ187" s="10">
        <f t="shared" si="155"/>
        <v>0.94889349148096669</v>
      </c>
      <c r="AR187" s="63">
        <f t="shared" si="156"/>
        <v>29.200340825674708</v>
      </c>
      <c r="AS187" s="63">
        <f t="shared" si="157"/>
        <v>10.890795800628801</v>
      </c>
      <c r="AT187" s="10"/>
      <c r="AU187">
        <f t="shared" si="158"/>
        <v>94.88934914809667</v>
      </c>
    </row>
    <row r="188" spans="7:47" x14ac:dyDescent="0.25">
      <c r="G188">
        <v>179</v>
      </c>
      <c r="H188">
        <f t="shared" si="120"/>
        <v>5.37</v>
      </c>
      <c r="I188" s="407">
        <f t="shared" si="136"/>
        <v>0.21496124999999996</v>
      </c>
      <c r="J188" s="408">
        <f t="shared" si="121"/>
        <v>1.3542558749999996</v>
      </c>
      <c r="K188" s="408">
        <f t="shared" si="132"/>
        <v>6.0471279375</v>
      </c>
      <c r="L188" s="408">
        <f t="shared" si="137"/>
        <v>4.6928720625000002</v>
      </c>
      <c r="M188" s="63">
        <f t="shared" si="122"/>
        <v>0</v>
      </c>
      <c r="N188" s="407">
        <f t="shared" si="138"/>
        <v>5.3842115561377852</v>
      </c>
      <c r="O188" s="407">
        <f t="shared" si="139"/>
        <v>0.14664919891818481</v>
      </c>
      <c r="P188">
        <f t="shared" si="123"/>
        <v>0.2</v>
      </c>
      <c r="Q188" s="407">
        <f t="shared" si="133"/>
        <v>0.3466491989181848</v>
      </c>
      <c r="R188" s="9">
        <f t="shared" si="140"/>
        <v>0.390939996991441</v>
      </c>
      <c r="S188" s="9">
        <f t="shared" si="141"/>
        <v>1.528340812476679E-3</v>
      </c>
      <c r="T188" s="9">
        <f t="shared" si="142"/>
        <v>1.528340812476679E-3</v>
      </c>
      <c r="U188" s="407">
        <f t="shared" si="143"/>
        <v>2.496331203040294</v>
      </c>
      <c r="V188" s="409">
        <f t="shared" si="144"/>
        <v>1.2463338950545204E-2</v>
      </c>
      <c r="W188" s="407">
        <f t="shared" si="145"/>
        <v>1.2463338950545204E-2</v>
      </c>
      <c r="X188" s="407">
        <f t="shared" si="146"/>
        <v>2.496331203040294</v>
      </c>
      <c r="Y188" s="407">
        <f t="shared" si="147"/>
        <v>3.7390016851635614E-2</v>
      </c>
      <c r="Z188" s="407">
        <f t="shared" si="124"/>
        <v>0.40096330867921914</v>
      </c>
      <c r="AA188" s="407">
        <f t="shared" si="125"/>
        <v>0.14400000000000002</v>
      </c>
      <c r="AB188" s="407">
        <f t="shared" si="126"/>
        <v>0</v>
      </c>
      <c r="AC188" s="407">
        <f t="shared" si="148"/>
        <v>0.58674097653086155</v>
      </c>
      <c r="AD188" s="407">
        <f t="shared" si="149"/>
        <v>4.7705413325926722</v>
      </c>
      <c r="AE188" s="407">
        <f t="shared" si="150"/>
        <v>0.13654838763585042</v>
      </c>
      <c r="AF188" s="407">
        <f t="shared" si="127"/>
        <v>7.7327999999999994E-2</v>
      </c>
      <c r="AG188" s="407">
        <f t="shared" si="151"/>
        <v>0.21988127433212395</v>
      </c>
      <c r="AH188" s="407">
        <f t="shared" si="152"/>
        <v>0</v>
      </c>
      <c r="AI188">
        <f t="shared" si="128"/>
        <v>0</v>
      </c>
      <c r="AJ188" s="408">
        <f t="shared" si="129"/>
        <v>0.136616346</v>
      </c>
      <c r="AK188">
        <f t="shared" si="134"/>
        <v>4.8000000000000001E-2</v>
      </c>
      <c r="AL188" s="408">
        <f t="shared" si="130"/>
        <v>0.1215</v>
      </c>
      <c r="AM188" s="408">
        <f t="shared" si="135"/>
        <v>0.31645971316818772</v>
      </c>
      <c r="AN188" s="408">
        <f t="shared" si="153"/>
        <v>0.16949999999999998</v>
      </c>
      <c r="AO188" s="408">
        <f t="shared" si="154"/>
        <v>1.473379475544192</v>
      </c>
      <c r="AP188">
        <f t="shared" si="131"/>
        <v>27.386999999999997</v>
      </c>
      <c r="AQ188" s="10">
        <f t="shared" si="155"/>
        <v>0.94894802139408074</v>
      </c>
      <c r="AR188" s="63">
        <f t="shared" si="156"/>
        <v>29.337048826543079</v>
      </c>
      <c r="AS188" s="63">
        <f t="shared" si="157"/>
        <v>10.994063716606197</v>
      </c>
      <c r="AT188" s="10"/>
      <c r="AU188">
        <f t="shared" si="158"/>
        <v>94.894802139408071</v>
      </c>
    </row>
    <row r="189" spans="7:47" x14ac:dyDescent="0.25">
      <c r="G189">
        <v>180</v>
      </c>
      <c r="H189">
        <f t="shared" si="120"/>
        <v>5.4</v>
      </c>
      <c r="I189" s="407">
        <f t="shared" si="136"/>
        <v>0.214975</v>
      </c>
      <c r="J189" s="408">
        <f t="shared" si="121"/>
        <v>1.3543424999999996</v>
      </c>
      <c r="K189" s="408">
        <f t="shared" si="132"/>
        <v>6.0771712500000001</v>
      </c>
      <c r="L189" s="408">
        <f t="shared" si="137"/>
        <v>4.7228287500000006</v>
      </c>
      <c r="M189" s="63">
        <f t="shared" si="122"/>
        <v>0</v>
      </c>
      <c r="N189" s="407">
        <f t="shared" si="138"/>
        <v>5.4141346154249055</v>
      </c>
      <c r="O189" s="407">
        <f t="shared" si="139"/>
        <v>0.14830314350532095</v>
      </c>
      <c r="P189">
        <f t="shared" si="123"/>
        <v>0.2</v>
      </c>
      <c r="Q189" s="407">
        <f t="shared" si="133"/>
        <v>0.34830314350532099</v>
      </c>
      <c r="R189" s="9">
        <f t="shared" si="140"/>
        <v>0.39096500347497526</v>
      </c>
      <c r="S189" s="9">
        <f t="shared" si="141"/>
        <v>1.5285363394218743E-3</v>
      </c>
      <c r="T189" s="9">
        <f t="shared" si="142"/>
        <v>1.5285363394218743E-3</v>
      </c>
      <c r="U189" s="407">
        <f t="shared" si="143"/>
        <v>2.5102849858047436</v>
      </c>
      <c r="V189" s="409">
        <f t="shared" si="144"/>
        <v>1.2603061419913443E-2</v>
      </c>
      <c r="W189" s="407">
        <f t="shared" si="145"/>
        <v>1.2603061419913443E-2</v>
      </c>
      <c r="X189" s="407">
        <f t="shared" si="146"/>
        <v>2.5102849858047436</v>
      </c>
      <c r="Y189" s="407">
        <f t="shared" si="147"/>
        <v>3.7809184259740329E-2</v>
      </c>
      <c r="Z189" s="407">
        <f t="shared" si="124"/>
        <v>0.40321154802923775</v>
      </c>
      <c r="AA189" s="407">
        <f t="shared" si="125"/>
        <v>0.14400000000000002</v>
      </c>
      <c r="AB189" s="407">
        <f t="shared" si="126"/>
        <v>0</v>
      </c>
      <c r="AC189" s="407">
        <f t="shared" si="148"/>
        <v>0.58947827080054027</v>
      </c>
      <c r="AD189" s="407">
        <f t="shared" si="149"/>
        <v>4.7970118744886872</v>
      </c>
      <c r="AE189" s="407">
        <f t="shared" si="150"/>
        <v>0.13806793754391281</v>
      </c>
      <c r="AF189" s="407">
        <f t="shared" si="127"/>
        <v>7.776000000000001E-2</v>
      </c>
      <c r="AG189" s="407">
        <f t="shared" si="151"/>
        <v>0.22195696563773423</v>
      </c>
      <c r="AH189" s="407">
        <f t="shared" si="152"/>
        <v>0</v>
      </c>
      <c r="AI189">
        <f t="shared" si="128"/>
        <v>0</v>
      </c>
      <c r="AJ189" s="408">
        <f t="shared" si="129"/>
        <v>0.13661532000000001</v>
      </c>
      <c r="AK189">
        <f t="shared" si="134"/>
        <v>4.8000000000000001E-2</v>
      </c>
      <c r="AL189" s="408">
        <f t="shared" si="130"/>
        <v>0.1215</v>
      </c>
      <c r="AM189" s="408">
        <f t="shared" si="135"/>
        <v>0.31645971316818772</v>
      </c>
      <c r="AN189" s="408">
        <f t="shared" si="153"/>
        <v>0.16949999999999998</v>
      </c>
      <c r="AO189" s="408">
        <f t="shared" si="154"/>
        <v>1.4799852977029309</v>
      </c>
      <c r="AP189">
        <f t="shared" si="131"/>
        <v>27.54</v>
      </c>
      <c r="AQ189" s="10">
        <f t="shared" si="155"/>
        <v>0.94900116996888761</v>
      </c>
      <c r="AR189" s="63">
        <f t="shared" si="156"/>
        <v>29.473913540027013</v>
      </c>
      <c r="AS189" s="63">
        <f t="shared" si="157"/>
        <v>11.097848281886712</v>
      </c>
      <c r="AT189" s="10"/>
      <c r="AU189">
        <f t="shared" si="158"/>
        <v>94.900116996888755</v>
      </c>
    </row>
    <row r="190" spans="7:47" x14ac:dyDescent="0.25">
      <c r="G190">
        <v>181</v>
      </c>
      <c r="H190">
        <f t="shared" si="120"/>
        <v>5.43</v>
      </c>
      <c r="I190" s="407">
        <f t="shared" si="136"/>
        <v>0.21498874999999998</v>
      </c>
      <c r="J190" s="408">
        <f t="shared" si="121"/>
        <v>1.3544291249999993</v>
      </c>
      <c r="K190" s="408">
        <f t="shared" si="132"/>
        <v>6.1072145624999994</v>
      </c>
      <c r="L190" s="408">
        <f t="shared" si="137"/>
        <v>4.7527854375</v>
      </c>
      <c r="M190" s="63">
        <f t="shared" si="122"/>
        <v>0</v>
      </c>
      <c r="N190" s="407">
        <f t="shared" si="138"/>
        <v>5.4440585217177224</v>
      </c>
      <c r="O190" s="407">
        <f t="shared" si="139"/>
        <v>0.14996673800613808</v>
      </c>
      <c r="P190">
        <f t="shared" si="123"/>
        <v>0.2</v>
      </c>
      <c r="Q190" s="407">
        <f t="shared" si="133"/>
        <v>0.34996673800613809</v>
      </c>
      <c r="R190" s="9">
        <f t="shared" si="140"/>
        <v>0.39099000995850947</v>
      </c>
      <c r="S190" s="9">
        <f t="shared" si="141"/>
        <v>1.5287318788735533E-3</v>
      </c>
      <c r="T190" s="9">
        <f t="shared" si="142"/>
        <v>1.5287318788735533E-3</v>
      </c>
      <c r="U190" s="407">
        <f t="shared" si="143"/>
        <v>2.5242400461222814</v>
      </c>
      <c r="V190" s="409">
        <f t="shared" si="144"/>
        <v>1.2743575620894834E-2</v>
      </c>
      <c r="W190" s="407">
        <f t="shared" si="145"/>
        <v>1.2743575620894834E-2</v>
      </c>
      <c r="X190" s="407">
        <f t="shared" si="146"/>
        <v>2.5242400461222814</v>
      </c>
      <c r="Y190" s="407">
        <f t="shared" si="147"/>
        <v>3.82307268626845E-2</v>
      </c>
      <c r="Z190" s="407">
        <f t="shared" si="124"/>
        <v>0.4054597873792562</v>
      </c>
      <c r="AA190" s="407">
        <f t="shared" si="125"/>
        <v>0.14400000000000002</v>
      </c>
      <c r="AB190" s="407">
        <f t="shared" si="126"/>
        <v>0</v>
      </c>
      <c r="AC190" s="407">
        <f t="shared" si="148"/>
        <v>0.59221870454925973</v>
      </c>
      <c r="AD190" s="407">
        <f t="shared" si="149"/>
        <v>4.8234827020981363</v>
      </c>
      <c r="AE190" s="407">
        <f t="shared" si="150"/>
        <v>0.13959591226463963</v>
      </c>
      <c r="AF190" s="407">
        <f t="shared" si="127"/>
        <v>7.8191999999999998E-2</v>
      </c>
      <c r="AG190" s="407">
        <f t="shared" si="151"/>
        <v>0.22404300993635587</v>
      </c>
      <c r="AH190" s="407">
        <f t="shared" si="152"/>
        <v>0</v>
      </c>
      <c r="AI190">
        <f t="shared" si="128"/>
        <v>0</v>
      </c>
      <c r="AJ190" s="408">
        <f t="shared" si="129"/>
        <v>0.136614294</v>
      </c>
      <c r="AK190">
        <f t="shared" si="134"/>
        <v>4.8000000000000001E-2</v>
      </c>
      <c r="AL190" s="408">
        <f t="shared" si="130"/>
        <v>0.1215</v>
      </c>
      <c r="AM190" s="408">
        <f t="shared" si="135"/>
        <v>0.31645971316818772</v>
      </c>
      <c r="AN190" s="408">
        <f t="shared" si="153"/>
        <v>0.16949999999999998</v>
      </c>
      <c r="AO190" s="408">
        <f t="shared" si="154"/>
        <v>1.4866150539915222</v>
      </c>
      <c r="AP190">
        <f t="shared" si="131"/>
        <v>27.692999999999998</v>
      </c>
      <c r="AQ190" s="10">
        <f t="shared" si="155"/>
        <v>0.94905295867540362</v>
      </c>
      <c r="AR190" s="63">
        <f t="shared" si="156"/>
        <v>29.610935227462988</v>
      </c>
      <c r="AS190" s="63">
        <f t="shared" si="157"/>
        <v>11.202150496817794</v>
      </c>
      <c r="AT190" s="10"/>
      <c r="AU190">
        <f t="shared" si="158"/>
        <v>94.90529586754036</v>
      </c>
    </row>
    <row r="191" spans="7:47" x14ac:dyDescent="0.25">
      <c r="G191">
        <v>182</v>
      </c>
      <c r="H191">
        <f t="shared" si="120"/>
        <v>5.46</v>
      </c>
      <c r="I191" s="407">
        <f t="shared" si="136"/>
        <v>0.21500249999999999</v>
      </c>
      <c r="J191" s="408">
        <f t="shared" si="121"/>
        <v>1.3545157499999996</v>
      </c>
      <c r="K191" s="408">
        <f t="shared" si="132"/>
        <v>6.1372578749999995</v>
      </c>
      <c r="L191" s="408">
        <f t="shared" si="137"/>
        <v>4.7827421250000004</v>
      </c>
      <c r="M191" s="63">
        <f t="shared" si="122"/>
        <v>0</v>
      </c>
      <c r="N191" s="407">
        <f t="shared" si="138"/>
        <v>5.4739832611255919</v>
      </c>
      <c r="O191" s="407">
        <f t="shared" si="139"/>
        <v>0.15163998986577351</v>
      </c>
      <c r="P191">
        <f t="shared" si="123"/>
        <v>0.2</v>
      </c>
      <c r="Q191" s="407">
        <f t="shared" si="133"/>
        <v>0.35163998986577349</v>
      </c>
      <c r="R191" s="9">
        <f t="shared" si="140"/>
        <v>0.39101501644204384</v>
      </c>
      <c r="S191" s="9">
        <f t="shared" si="141"/>
        <v>1.528927430831718E-3</v>
      </c>
      <c r="T191" s="9">
        <f t="shared" si="142"/>
        <v>1.528927430831718E-3</v>
      </c>
      <c r="U191" s="407">
        <f t="shared" si="143"/>
        <v>2.5381963775473988</v>
      </c>
      <c r="V191" s="409">
        <f t="shared" si="144"/>
        <v>1.2884881701989474E-2</v>
      </c>
      <c r="W191" s="407">
        <f t="shared" si="145"/>
        <v>1.2884881701989474E-2</v>
      </c>
      <c r="X191" s="407">
        <f t="shared" si="146"/>
        <v>2.5381963775473988</v>
      </c>
      <c r="Y191" s="407">
        <f t="shared" si="147"/>
        <v>3.8654645105968423E-2</v>
      </c>
      <c r="Z191" s="407">
        <f t="shared" si="124"/>
        <v>0.40770802672927464</v>
      </c>
      <c r="AA191" s="407">
        <f t="shared" si="125"/>
        <v>0.14400000000000002</v>
      </c>
      <c r="AB191" s="407">
        <f t="shared" si="126"/>
        <v>0</v>
      </c>
      <c r="AC191" s="407">
        <f t="shared" si="148"/>
        <v>0.59496228301552334</v>
      </c>
      <c r="AD191" s="407">
        <f t="shared" si="149"/>
        <v>4.84995380308807</v>
      </c>
      <c r="AE191" s="407">
        <f t="shared" si="150"/>
        <v>0.1411323113525306</v>
      </c>
      <c r="AF191" s="407">
        <f t="shared" si="127"/>
        <v>7.8623999999999999E-2</v>
      </c>
      <c r="AG191" s="407">
        <f t="shared" si="151"/>
        <v>0.22613942736697845</v>
      </c>
      <c r="AH191" s="407">
        <f t="shared" si="152"/>
        <v>0</v>
      </c>
      <c r="AI191">
        <f t="shared" si="128"/>
        <v>0</v>
      </c>
      <c r="AJ191" s="408">
        <f t="shared" si="129"/>
        <v>0.13661326800000001</v>
      </c>
      <c r="AK191">
        <f t="shared" si="134"/>
        <v>4.8000000000000001E-2</v>
      </c>
      <c r="AL191" s="408">
        <f t="shared" si="130"/>
        <v>0.1215</v>
      </c>
      <c r="AM191" s="408">
        <f t="shared" si="135"/>
        <v>0.31645971316818772</v>
      </c>
      <c r="AN191" s="408">
        <f t="shared" si="153"/>
        <v>0.16949999999999998</v>
      </c>
      <c r="AO191" s="408">
        <f t="shared" si="154"/>
        <v>1.4932687773810966</v>
      </c>
      <c r="AP191">
        <f t="shared" si="131"/>
        <v>27.845999999999997</v>
      </c>
      <c r="AQ191" s="10">
        <f t="shared" si="155"/>
        <v>0.94910340851670028</v>
      </c>
      <c r="AR191" s="63">
        <f t="shared" si="156"/>
        <v>29.748114150776168</v>
      </c>
      <c r="AS191" s="63">
        <f t="shared" si="157"/>
        <v>11.306971368348922</v>
      </c>
      <c r="AT191" s="10"/>
      <c r="AU191">
        <f t="shared" si="158"/>
        <v>94.910340851670028</v>
      </c>
    </row>
    <row r="192" spans="7:47" x14ac:dyDescent="0.25">
      <c r="G192">
        <v>183</v>
      </c>
      <c r="H192">
        <f t="shared" si="120"/>
        <v>5.49</v>
      </c>
      <c r="I192" s="407">
        <f t="shared" si="136"/>
        <v>0.21501624999999999</v>
      </c>
      <c r="J192" s="408">
        <f t="shared" si="121"/>
        <v>1.3546023749999996</v>
      </c>
      <c r="K192" s="408">
        <f t="shared" si="132"/>
        <v>6.1673011874999997</v>
      </c>
      <c r="L192" s="408">
        <f t="shared" si="137"/>
        <v>4.8126988125000008</v>
      </c>
      <c r="M192" s="63">
        <f t="shared" si="122"/>
        <v>0</v>
      </c>
      <c r="N192" s="407">
        <f t="shared" si="138"/>
        <v>5.5039088200595803</v>
      </c>
      <c r="O192" s="407">
        <f t="shared" si="139"/>
        <v>0.15332290657552503</v>
      </c>
      <c r="P192">
        <f t="shared" si="123"/>
        <v>0.2</v>
      </c>
      <c r="Q192" s="407">
        <f t="shared" si="133"/>
        <v>0.35332290657552501</v>
      </c>
      <c r="R192" s="9">
        <f t="shared" si="140"/>
        <v>0.3910400229255781</v>
      </c>
      <c r="S192" s="9">
        <f t="shared" si="141"/>
        <v>1.5291229952963665E-3</v>
      </c>
      <c r="T192" s="9">
        <f t="shared" si="142"/>
        <v>1.5291229952963665E-3</v>
      </c>
      <c r="U192" s="407">
        <f t="shared" si="143"/>
        <v>2.5521539737736711</v>
      </c>
      <c r="V192" s="409">
        <f t="shared" si="144"/>
        <v>1.3026979811697481E-2</v>
      </c>
      <c r="W192" s="407">
        <f t="shared" si="145"/>
        <v>1.3026979811697481E-2</v>
      </c>
      <c r="X192" s="407">
        <f t="shared" si="146"/>
        <v>2.5521539737736711</v>
      </c>
      <c r="Y192" s="407">
        <f t="shared" si="147"/>
        <v>3.9080939435092443E-2</v>
      </c>
      <c r="Z192" s="407">
        <f t="shared" si="124"/>
        <v>0.40995626607929314</v>
      </c>
      <c r="AA192" s="407">
        <f t="shared" si="125"/>
        <v>0.14400000000000002</v>
      </c>
      <c r="AB192" s="407">
        <f t="shared" si="126"/>
        <v>0</v>
      </c>
      <c r="AC192" s="407">
        <f t="shared" si="148"/>
        <v>0.59770901144963995</v>
      </c>
      <c r="AD192" s="407">
        <f t="shared" si="149"/>
        <v>4.8764251653932824</v>
      </c>
      <c r="AE192" s="407">
        <f t="shared" si="150"/>
        <v>0.14267713436208543</v>
      </c>
      <c r="AF192" s="407">
        <f t="shared" si="127"/>
        <v>7.9056000000000001E-2</v>
      </c>
      <c r="AG192" s="407">
        <f t="shared" si="151"/>
        <v>0.22824623820117945</v>
      </c>
      <c r="AH192" s="407">
        <f t="shared" si="152"/>
        <v>0</v>
      </c>
      <c r="AI192">
        <f t="shared" si="128"/>
        <v>0</v>
      </c>
      <c r="AJ192" s="408">
        <f t="shared" si="129"/>
        <v>0.13661224199999999</v>
      </c>
      <c r="AK192">
        <f t="shared" si="134"/>
        <v>4.8000000000000001E-2</v>
      </c>
      <c r="AL192" s="408">
        <f t="shared" si="130"/>
        <v>0.1215</v>
      </c>
      <c r="AM192" s="408">
        <f t="shared" si="135"/>
        <v>0.31645971316818772</v>
      </c>
      <c r="AN192" s="408">
        <f t="shared" si="153"/>
        <v>0.16949999999999998</v>
      </c>
      <c r="AO192" s="408">
        <f t="shared" si="154"/>
        <v>1.4999465010333382</v>
      </c>
      <c r="AP192">
        <f t="shared" si="131"/>
        <v>27.998999999999999</v>
      </c>
      <c r="AQ192" s="10">
        <f t="shared" si="155"/>
        <v>0.94915254004136063</v>
      </c>
      <c r="AR192" s="63">
        <f t="shared" si="156"/>
        <v>29.885450572481997</v>
      </c>
      <c r="AS192" s="63">
        <f t="shared" si="157"/>
        <v>11.412311910058973</v>
      </c>
      <c r="AT192" s="10"/>
      <c r="AU192">
        <f t="shared" si="158"/>
        <v>94.91525400413606</v>
      </c>
    </row>
    <row r="193" spans="7:47" x14ac:dyDescent="0.25">
      <c r="G193">
        <v>184</v>
      </c>
      <c r="H193">
        <f t="shared" si="120"/>
        <v>5.5200000000000005</v>
      </c>
      <c r="I193" s="407">
        <f t="shared" si="136"/>
        <v>0.21502999999999997</v>
      </c>
      <c r="J193" s="408">
        <f t="shared" si="121"/>
        <v>1.3546889999999994</v>
      </c>
      <c r="K193" s="408">
        <f t="shared" si="132"/>
        <v>6.1973444999999998</v>
      </c>
      <c r="L193" s="408">
        <f t="shared" si="137"/>
        <v>4.8426555000000011</v>
      </c>
      <c r="M193" s="63">
        <f t="shared" si="122"/>
        <v>0</v>
      </c>
      <c r="N193" s="407">
        <f t="shared" si="138"/>
        <v>5.5338351852243264</v>
      </c>
      <c r="O193" s="407">
        <f t="shared" si="139"/>
        <v>0.15501549567293571</v>
      </c>
      <c r="P193">
        <f t="shared" si="123"/>
        <v>0.2</v>
      </c>
      <c r="Q193" s="407">
        <f t="shared" si="133"/>
        <v>0.35501549567293572</v>
      </c>
      <c r="R193" s="9">
        <f t="shared" si="140"/>
        <v>0.39106502940911231</v>
      </c>
      <c r="S193" s="9">
        <f t="shared" si="141"/>
        <v>1.5293185722674988E-3</v>
      </c>
      <c r="T193" s="9">
        <f t="shared" si="142"/>
        <v>1.5293185722674988E-3</v>
      </c>
      <c r="U193" s="407">
        <f t="shared" si="143"/>
        <v>2.5661128286300015</v>
      </c>
      <c r="V193" s="409">
        <f t="shared" si="144"/>
        <v>1.3169870098518935E-2</v>
      </c>
      <c r="W193" s="407">
        <f t="shared" si="145"/>
        <v>1.3169870098518935E-2</v>
      </c>
      <c r="X193" s="407">
        <f t="shared" si="146"/>
        <v>2.5661128286300015</v>
      </c>
      <c r="Y193" s="407">
        <f t="shared" si="147"/>
        <v>3.9509610295556802E-2</v>
      </c>
      <c r="Z193" s="407">
        <f t="shared" si="124"/>
        <v>0.4122045054293117</v>
      </c>
      <c r="AA193" s="407">
        <f t="shared" si="125"/>
        <v>0.14400000000000002</v>
      </c>
      <c r="AB193" s="407">
        <f t="shared" si="126"/>
        <v>0</v>
      </c>
      <c r="AC193" s="407">
        <f t="shared" si="148"/>
        <v>0.6004588951137575</v>
      </c>
      <c r="AD193" s="407">
        <f t="shared" si="149"/>
        <v>4.9028967772090901</v>
      </c>
      <c r="AE193" s="407">
        <f t="shared" si="150"/>
        <v>0.14423038084780368</v>
      </c>
      <c r="AF193" s="407">
        <f t="shared" si="127"/>
        <v>7.9488000000000003E-2</v>
      </c>
      <c r="AG193" s="407">
        <f t="shared" si="151"/>
        <v>0.23036346284367612</v>
      </c>
      <c r="AH193" s="407">
        <f t="shared" si="152"/>
        <v>0</v>
      </c>
      <c r="AI193">
        <f t="shared" si="128"/>
        <v>0</v>
      </c>
      <c r="AJ193" s="408">
        <f t="shared" si="129"/>
        <v>0.13661121600000001</v>
      </c>
      <c r="AK193">
        <f t="shared" si="134"/>
        <v>4.8000000000000001E-2</v>
      </c>
      <c r="AL193" s="408">
        <f t="shared" si="130"/>
        <v>0.1215</v>
      </c>
      <c r="AM193" s="408">
        <f t="shared" si="135"/>
        <v>0.31645971316818772</v>
      </c>
      <c r="AN193" s="408">
        <f t="shared" si="153"/>
        <v>0.16949999999999998</v>
      </c>
      <c r="AO193" s="408">
        <f t="shared" si="154"/>
        <v>1.5066482583011558</v>
      </c>
      <c r="AP193">
        <f t="shared" si="131"/>
        <v>28.152000000000001</v>
      </c>
      <c r="AQ193" s="10">
        <f t="shared" si="155"/>
        <v>0.94920037335553686</v>
      </c>
      <c r="AR193" s="63">
        <f t="shared" si="156"/>
        <v>30.022944755687874</v>
      </c>
      <c r="AS193" s="63">
        <f t="shared" si="157"/>
        <v>11.518173142183805</v>
      </c>
      <c r="AT193" s="10"/>
      <c r="AU193">
        <f t="shared" si="158"/>
        <v>94.920037335553687</v>
      </c>
    </row>
    <row r="194" spans="7:47" x14ac:dyDescent="0.25">
      <c r="G194">
        <v>185</v>
      </c>
      <c r="H194">
        <f t="shared" si="120"/>
        <v>5.5500000000000007</v>
      </c>
      <c r="I194" s="407">
        <f t="shared" si="136"/>
        <v>0.21504374999999998</v>
      </c>
      <c r="J194" s="408">
        <f t="shared" si="121"/>
        <v>1.3547756249999994</v>
      </c>
      <c r="K194" s="408">
        <f t="shared" si="132"/>
        <v>6.2273878125</v>
      </c>
      <c r="L194" s="408">
        <f t="shared" si="137"/>
        <v>4.8726121875000015</v>
      </c>
      <c r="M194" s="63">
        <f t="shared" si="122"/>
        <v>0</v>
      </c>
      <c r="N194" s="407">
        <f t="shared" si="138"/>
        <v>5.5637623436101693</v>
      </c>
      <c r="O194" s="407">
        <f t="shared" si="139"/>
        <v>0.15671776474188009</v>
      </c>
      <c r="P194">
        <f t="shared" si="123"/>
        <v>0.2</v>
      </c>
      <c r="Q194" s="407">
        <f t="shared" si="133"/>
        <v>0.35671776474188011</v>
      </c>
      <c r="R194" s="9">
        <f t="shared" si="140"/>
        <v>0.39109003589264657</v>
      </c>
      <c r="S194" s="9">
        <f t="shared" si="141"/>
        <v>1.5295141617451158E-3</v>
      </c>
      <c r="T194" s="9">
        <f t="shared" si="142"/>
        <v>1.5295141617451158E-3</v>
      </c>
      <c r="U194" s="407">
        <f t="shared" si="143"/>
        <v>2.5800729360769976</v>
      </c>
      <c r="V194" s="409">
        <f t="shared" si="144"/>
        <v>1.3313552710953958E-2</v>
      </c>
      <c r="W194" s="407">
        <f t="shared" si="145"/>
        <v>1.3313552710953958E-2</v>
      </c>
      <c r="X194" s="407">
        <f t="shared" si="146"/>
        <v>2.5800729360769976</v>
      </c>
      <c r="Y194" s="407">
        <f t="shared" si="147"/>
        <v>3.9940658132861878E-2</v>
      </c>
      <c r="Z194" s="407">
        <f t="shared" si="124"/>
        <v>0.41445274477933025</v>
      </c>
      <c r="AA194" s="407">
        <f t="shared" si="125"/>
        <v>0.14400000000000002</v>
      </c>
      <c r="AB194" s="407">
        <f t="shared" si="126"/>
        <v>0</v>
      </c>
      <c r="AC194" s="407">
        <f t="shared" si="148"/>
        <v>0.60321193928189587</v>
      </c>
      <c r="AD194" s="407">
        <f t="shared" si="149"/>
        <v>4.9293686269843464</v>
      </c>
      <c r="AE194" s="407">
        <f t="shared" si="150"/>
        <v>0.14579205036418524</v>
      </c>
      <c r="AF194" s="407">
        <f t="shared" si="127"/>
        <v>7.9920000000000005E-2</v>
      </c>
      <c r="AG194" s="407">
        <f t="shared" si="151"/>
        <v>0.23249112183288234</v>
      </c>
      <c r="AH194" s="407">
        <f t="shared" si="152"/>
        <v>0</v>
      </c>
      <c r="AI194">
        <f t="shared" si="128"/>
        <v>0</v>
      </c>
      <c r="AJ194" s="408">
        <f t="shared" si="129"/>
        <v>0.13661018999999999</v>
      </c>
      <c r="AK194">
        <f t="shared" si="134"/>
        <v>4.8000000000000001E-2</v>
      </c>
      <c r="AL194" s="408">
        <f t="shared" si="130"/>
        <v>0.1215</v>
      </c>
      <c r="AM194" s="408">
        <f t="shared" si="135"/>
        <v>0.31645971316818772</v>
      </c>
      <c r="AN194" s="408">
        <f t="shared" si="153"/>
        <v>0.16949999999999998</v>
      </c>
      <c r="AO194" s="408">
        <f t="shared" si="154"/>
        <v>1.5133740827293576</v>
      </c>
      <c r="AP194">
        <f t="shared" si="131"/>
        <v>28.305000000000003</v>
      </c>
      <c r="AQ194" s="10">
        <f t="shared" si="155"/>
        <v>0.94924692813462641</v>
      </c>
      <c r="AR194" s="63">
        <f t="shared" si="156"/>
        <v>30.160596964094793</v>
      </c>
      <c r="AS194" s="63">
        <f t="shared" si="157"/>
        <v>11.624556091644116</v>
      </c>
      <c r="AT194" s="10"/>
      <c r="AU194">
        <f t="shared" si="158"/>
        <v>94.924692813462642</v>
      </c>
    </row>
    <row r="195" spans="7:47" x14ac:dyDescent="0.25">
      <c r="G195">
        <v>186</v>
      </c>
      <c r="H195">
        <f t="shared" si="120"/>
        <v>5.58</v>
      </c>
      <c r="I195" s="407">
        <f t="shared" si="136"/>
        <v>0.21505749999999998</v>
      </c>
      <c r="J195" s="408">
        <f t="shared" si="121"/>
        <v>1.3548622499999996</v>
      </c>
      <c r="K195" s="408">
        <f t="shared" si="132"/>
        <v>6.2574311250000001</v>
      </c>
      <c r="L195" s="408">
        <f t="shared" si="137"/>
        <v>4.902568875</v>
      </c>
      <c r="M195" s="63">
        <f t="shared" si="122"/>
        <v>0</v>
      </c>
      <c r="N195" s="407">
        <f t="shared" si="138"/>
        <v>5.593690282485519</v>
      </c>
      <c r="O195" s="407">
        <f t="shared" si="139"/>
        <v>0.15842972141265016</v>
      </c>
      <c r="P195">
        <f t="shared" si="123"/>
        <v>0.2</v>
      </c>
      <c r="Q195" s="407">
        <f t="shared" si="133"/>
        <v>0.35842972141265017</v>
      </c>
      <c r="R195" s="9">
        <f t="shared" si="140"/>
        <v>0.39111504237618094</v>
      </c>
      <c r="S195" s="9">
        <f t="shared" si="141"/>
        <v>1.5297097637292181E-3</v>
      </c>
      <c r="T195" s="9">
        <f t="shared" si="142"/>
        <v>1.5297097637292181E-3</v>
      </c>
      <c r="U195" s="407">
        <f t="shared" si="143"/>
        <v>2.5940342902034508</v>
      </c>
      <c r="V195" s="409">
        <f t="shared" si="144"/>
        <v>1.3458027797502641E-2</v>
      </c>
      <c r="W195" s="407">
        <f t="shared" si="145"/>
        <v>1.3458027797502641E-2</v>
      </c>
      <c r="X195" s="407">
        <f t="shared" si="146"/>
        <v>2.5940342902034508</v>
      </c>
      <c r="Y195" s="407">
        <f t="shared" si="147"/>
        <v>4.0374083392507927E-2</v>
      </c>
      <c r="Z195" s="407">
        <f t="shared" si="124"/>
        <v>0.41670098412934875</v>
      </c>
      <c r="AA195" s="407">
        <f t="shared" si="125"/>
        <v>0.14400000000000002</v>
      </c>
      <c r="AB195" s="407">
        <f t="shared" si="126"/>
        <v>0</v>
      </c>
      <c r="AC195" s="407">
        <f t="shared" si="148"/>
        <v>0.60596814923998044</v>
      </c>
      <c r="AD195" s="407">
        <f t="shared" si="149"/>
        <v>4.955840703414669</v>
      </c>
      <c r="AE195" s="407">
        <f t="shared" si="150"/>
        <v>0.1473621424657296</v>
      </c>
      <c r="AF195" s="407">
        <f t="shared" si="127"/>
        <v>8.0351999999999993E-2</v>
      </c>
      <c r="AG195" s="407">
        <f t="shared" si="151"/>
        <v>0.23462923584146872</v>
      </c>
      <c r="AH195" s="407">
        <f t="shared" si="152"/>
        <v>0</v>
      </c>
      <c r="AI195">
        <f t="shared" si="128"/>
        <v>0</v>
      </c>
      <c r="AJ195" s="408">
        <f t="shared" si="129"/>
        <v>0.13660916400000001</v>
      </c>
      <c r="AK195">
        <f t="shared" si="134"/>
        <v>4.8000000000000001E-2</v>
      </c>
      <c r="AL195" s="408">
        <f t="shared" si="130"/>
        <v>0.1215</v>
      </c>
      <c r="AM195" s="408">
        <f t="shared" si="135"/>
        <v>0.31645971316818772</v>
      </c>
      <c r="AN195" s="408">
        <f t="shared" si="153"/>
        <v>0.16949999999999998</v>
      </c>
      <c r="AO195" s="408">
        <f t="shared" si="154"/>
        <v>1.5201240080553313</v>
      </c>
      <c r="AP195">
        <f t="shared" si="131"/>
        <v>28.457999999999998</v>
      </c>
      <c r="AQ195" s="10">
        <f t="shared" si="155"/>
        <v>0.94929222363457888</v>
      </c>
      <c r="AR195" s="63">
        <f t="shared" si="156"/>
        <v>30.298407461999023</v>
      </c>
      <c r="AS195" s="63">
        <f t="shared" si="157"/>
        <v>11.731461792073436</v>
      </c>
      <c r="AT195" s="10"/>
      <c r="AU195">
        <f t="shared" si="158"/>
        <v>94.929222363457882</v>
      </c>
    </row>
    <row r="196" spans="7:47" x14ac:dyDescent="0.25">
      <c r="G196">
        <v>187</v>
      </c>
      <c r="H196">
        <f t="shared" si="120"/>
        <v>5.61</v>
      </c>
      <c r="I196" s="407">
        <f t="shared" si="136"/>
        <v>0.21507125000000002</v>
      </c>
      <c r="J196" s="408">
        <f t="shared" si="121"/>
        <v>1.3549488749999998</v>
      </c>
      <c r="K196" s="408">
        <f t="shared" si="132"/>
        <v>6.2874744375000002</v>
      </c>
      <c r="L196" s="408">
        <f t="shared" si="137"/>
        <v>4.9325255625000004</v>
      </c>
      <c r="M196" s="63">
        <f t="shared" si="122"/>
        <v>0</v>
      </c>
      <c r="N196" s="407">
        <f t="shared" si="138"/>
        <v>5.6236189893894828</v>
      </c>
      <c r="O196" s="407">
        <f t="shared" si="139"/>
        <v>0.16015137336204238</v>
      </c>
      <c r="P196">
        <f t="shared" si="123"/>
        <v>0.2</v>
      </c>
      <c r="Q196" s="407">
        <f t="shared" si="133"/>
        <v>0.36015137336204239</v>
      </c>
      <c r="R196" s="9">
        <f t="shared" si="140"/>
        <v>0.39114004885971526</v>
      </c>
      <c r="S196" s="9">
        <f t="shared" si="141"/>
        <v>1.5299053782198045E-3</v>
      </c>
      <c r="T196" s="9">
        <f t="shared" si="142"/>
        <v>1.5299053782198045E-3</v>
      </c>
      <c r="U196" s="407">
        <f t="shared" si="143"/>
        <v>2.6079968852229385</v>
      </c>
      <c r="V196" s="409">
        <f t="shared" si="144"/>
        <v>1.3603295506665098E-2</v>
      </c>
      <c r="W196" s="407">
        <f t="shared" si="145"/>
        <v>1.3603295506665098E-2</v>
      </c>
      <c r="X196" s="407">
        <f t="shared" si="146"/>
        <v>2.6079968852229385</v>
      </c>
      <c r="Y196" s="407">
        <f t="shared" si="147"/>
        <v>4.0809886519995293E-2</v>
      </c>
      <c r="Z196" s="407">
        <f t="shared" si="124"/>
        <v>0.41894922347936719</v>
      </c>
      <c r="AA196" s="407">
        <f t="shared" si="125"/>
        <v>0.14400000000000002</v>
      </c>
      <c r="AB196" s="407">
        <f t="shared" si="126"/>
        <v>0</v>
      </c>
      <c r="AC196" s="407">
        <f t="shared" si="148"/>
        <v>0.60872753028587512</v>
      </c>
      <c r="AD196" s="407">
        <f t="shared" si="149"/>
        <v>4.9823129954358985</v>
      </c>
      <c r="AE196" s="407">
        <f t="shared" si="150"/>
        <v>0.1489406567069366</v>
      </c>
      <c r="AF196" s="407">
        <f t="shared" si="127"/>
        <v>8.0784000000000009E-2</v>
      </c>
      <c r="AG196" s="407">
        <f t="shared" si="151"/>
        <v>0.23677782567692907</v>
      </c>
      <c r="AH196" s="407">
        <f t="shared" si="152"/>
        <v>0</v>
      </c>
      <c r="AI196">
        <f t="shared" si="128"/>
        <v>0</v>
      </c>
      <c r="AJ196" s="408">
        <f t="shared" si="129"/>
        <v>0.13660813799999999</v>
      </c>
      <c r="AK196">
        <f t="shared" si="134"/>
        <v>4.8000000000000001E-2</v>
      </c>
      <c r="AL196" s="408">
        <f t="shared" si="130"/>
        <v>0.1215</v>
      </c>
      <c r="AM196" s="408">
        <f t="shared" si="135"/>
        <v>0.31645971316818772</v>
      </c>
      <c r="AN196" s="408">
        <f t="shared" si="153"/>
        <v>0.16949999999999998</v>
      </c>
      <c r="AO196" s="408">
        <f t="shared" si="154"/>
        <v>1.5268980682097315</v>
      </c>
      <c r="AP196">
        <f t="shared" si="131"/>
        <v>28.611000000000001</v>
      </c>
      <c r="AQ196" s="10">
        <f t="shared" si="155"/>
        <v>0.94933627870284876</v>
      </c>
      <c r="AR196" s="63">
        <f t="shared" si="156"/>
        <v>30.436376514293755</v>
      </c>
      <c r="AS196" s="63">
        <f t="shared" si="157"/>
        <v>11.838891283846454</v>
      </c>
      <c r="AT196" s="10"/>
      <c r="AU196">
        <f t="shared" si="158"/>
        <v>94.93362787028488</v>
      </c>
    </row>
    <row r="197" spans="7:47" x14ac:dyDescent="0.25">
      <c r="G197">
        <v>188</v>
      </c>
      <c r="H197">
        <f t="shared" si="120"/>
        <v>5.64</v>
      </c>
      <c r="I197" s="407">
        <f t="shared" si="136"/>
        <v>0.21508499999999997</v>
      </c>
      <c r="J197" s="408">
        <f t="shared" si="121"/>
        <v>1.3550354999999994</v>
      </c>
      <c r="K197" s="408">
        <f t="shared" si="132"/>
        <v>6.3175177499999995</v>
      </c>
      <c r="L197" s="408">
        <f t="shared" si="137"/>
        <v>4.9624822499999999</v>
      </c>
      <c r="M197" s="63">
        <f t="shared" si="122"/>
        <v>0</v>
      </c>
      <c r="N197" s="407">
        <f t="shared" si="138"/>
        <v>5.6535484521247081</v>
      </c>
      <c r="O197" s="407">
        <f t="shared" si="139"/>
        <v>0.16188272831344494</v>
      </c>
      <c r="P197">
        <f t="shared" si="123"/>
        <v>0.2</v>
      </c>
      <c r="Q197" s="407">
        <f t="shared" si="133"/>
        <v>0.36188272831344492</v>
      </c>
      <c r="R197" s="9">
        <f t="shared" si="140"/>
        <v>0.39116505534324941</v>
      </c>
      <c r="S197" s="9">
        <f t="shared" si="141"/>
        <v>1.5301010052168737E-3</v>
      </c>
      <c r="T197" s="9">
        <f t="shared" si="142"/>
        <v>1.5301010052168737E-3</v>
      </c>
      <c r="U197" s="407">
        <f t="shared" si="143"/>
        <v>2.6219607154705247</v>
      </c>
      <c r="V197" s="409">
        <f t="shared" si="144"/>
        <v>1.3749355986941412E-2</v>
      </c>
      <c r="W197" s="407">
        <f t="shared" si="145"/>
        <v>1.3749355986941412E-2</v>
      </c>
      <c r="X197" s="407">
        <f t="shared" si="146"/>
        <v>2.6219607154705247</v>
      </c>
      <c r="Y197" s="407">
        <f t="shared" si="147"/>
        <v>4.1248067960824239E-2</v>
      </c>
      <c r="Z197" s="407">
        <f t="shared" si="124"/>
        <v>0.42119746282938564</v>
      </c>
      <c r="AA197" s="407">
        <f t="shared" si="125"/>
        <v>0.14400000000000002</v>
      </c>
      <c r="AB197" s="407">
        <f t="shared" si="126"/>
        <v>0</v>
      </c>
      <c r="AC197" s="407">
        <f t="shared" si="148"/>
        <v>0.6114900877294166</v>
      </c>
      <c r="AD197" s="407">
        <f t="shared" si="149"/>
        <v>5.008785492217747</v>
      </c>
      <c r="AE197" s="407">
        <f t="shared" si="150"/>
        <v>0.15052759264230586</v>
      </c>
      <c r="AF197" s="407">
        <f t="shared" si="127"/>
        <v>8.1215999999999997E-2</v>
      </c>
      <c r="AG197" s="407">
        <f t="shared" si="151"/>
        <v>0.23893691228214944</v>
      </c>
      <c r="AH197" s="407">
        <f t="shared" si="152"/>
        <v>0</v>
      </c>
      <c r="AI197">
        <f t="shared" si="128"/>
        <v>0</v>
      </c>
      <c r="AJ197" s="408">
        <f t="shared" si="129"/>
        <v>0.136607112</v>
      </c>
      <c r="AK197">
        <f t="shared" si="134"/>
        <v>4.8000000000000001E-2</v>
      </c>
      <c r="AL197" s="408">
        <f t="shared" si="130"/>
        <v>0.1215</v>
      </c>
      <c r="AM197" s="408">
        <f t="shared" si="135"/>
        <v>0.31645971316818772</v>
      </c>
      <c r="AN197" s="408">
        <f t="shared" si="153"/>
        <v>0.16949999999999998</v>
      </c>
      <c r="AO197" s="408">
        <f t="shared" si="154"/>
        <v>1.5336962973171693</v>
      </c>
      <c r="AP197">
        <f t="shared" si="131"/>
        <v>28.763999999999996</v>
      </c>
      <c r="AQ197" s="10">
        <f t="shared" si="155"/>
        <v>0.94937911178900491</v>
      </c>
      <c r="AR197" s="63">
        <f t="shared" si="156"/>
        <v>30.574504386470831</v>
      </c>
      <c r="AS197" s="63">
        <f t="shared" si="157"/>
        <v>11.946845614107472</v>
      </c>
      <c r="AT197" s="10"/>
      <c r="AU197">
        <f t="shared" si="158"/>
        <v>94.937911178900492</v>
      </c>
    </row>
    <row r="198" spans="7:47" x14ac:dyDescent="0.25">
      <c r="G198">
        <v>189</v>
      </c>
      <c r="H198">
        <f t="shared" si="120"/>
        <v>5.67</v>
      </c>
      <c r="I198" s="407">
        <f t="shared" si="136"/>
        <v>0.21509874999999998</v>
      </c>
      <c r="J198" s="408">
        <f t="shared" si="121"/>
        <v>1.3551221249999994</v>
      </c>
      <c r="K198" s="408">
        <f t="shared" si="132"/>
        <v>6.3475610624999996</v>
      </c>
      <c r="L198" s="408">
        <f t="shared" si="137"/>
        <v>4.9924389375000002</v>
      </c>
      <c r="M198" s="63">
        <f t="shared" si="122"/>
        <v>0</v>
      </c>
      <c r="N198" s="407">
        <f t="shared" si="138"/>
        <v>5.6834786587504702</v>
      </c>
      <c r="O198" s="407">
        <f t="shared" si="139"/>
        <v>0.16362379403692612</v>
      </c>
      <c r="P198">
        <f t="shared" si="123"/>
        <v>0.2</v>
      </c>
      <c r="Q198" s="407">
        <f t="shared" si="133"/>
        <v>0.36362379403692613</v>
      </c>
      <c r="R198" s="9">
        <f t="shared" si="140"/>
        <v>0.39119006182678367</v>
      </c>
      <c r="S198" s="9">
        <f t="shared" si="141"/>
        <v>1.5302966447204283E-3</v>
      </c>
      <c r="T198" s="9">
        <f t="shared" si="142"/>
        <v>1.5302966447204283E-3</v>
      </c>
      <c r="U198" s="407">
        <f t="shared" si="143"/>
        <v>2.635925775399576</v>
      </c>
      <c r="V198" s="409">
        <f t="shared" si="144"/>
        <v>1.3896209386831712E-2</v>
      </c>
      <c r="W198" s="407">
        <f t="shared" si="145"/>
        <v>1.3896209386831712E-2</v>
      </c>
      <c r="X198" s="407">
        <f t="shared" si="146"/>
        <v>2.635925775399576</v>
      </c>
      <c r="Y198" s="407">
        <f t="shared" si="147"/>
        <v>4.1688628160495136E-2</v>
      </c>
      <c r="Z198" s="407">
        <f t="shared" si="124"/>
        <v>0.42344570217940425</v>
      </c>
      <c r="AA198" s="407">
        <f t="shared" si="125"/>
        <v>0.14400000000000002</v>
      </c>
      <c r="AB198" s="407">
        <f t="shared" si="126"/>
        <v>0</v>
      </c>
      <c r="AC198" s="407">
        <f t="shared" si="148"/>
        <v>0.61425582689244673</v>
      </c>
      <c r="AD198" s="407">
        <f t="shared" si="149"/>
        <v>5.0352581831576604</v>
      </c>
      <c r="AE198" s="407">
        <f t="shared" si="150"/>
        <v>0.15212294982633712</v>
      </c>
      <c r="AF198" s="407">
        <f t="shared" si="127"/>
        <v>8.1647999999999998E-2</v>
      </c>
      <c r="AG198" s="407">
        <f t="shared" si="151"/>
        <v>0.2411065167359833</v>
      </c>
      <c r="AH198" s="407">
        <f t="shared" si="152"/>
        <v>0</v>
      </c>
      <c r="AI198">
        <f t="shared" si="128"/>
        <v>0</v>
      </c>
      <c r="AJ198" s="408">
        <f t="shared" si="129"/>
        <v>0.13660608599999999</v>
      </c>
      <c r="AK198">
        <f t="shared" si="134"/>
        <v>4.8000000000000001E-2</v>
      </c>
      <c r="AL198" s="408">
        <f t="shared" si="130"/>
        <v>0.1215</v>
      </c>
      <c r="AM198" s="408">
        <f t="shared" si="135"/>
        <v>0.31645971316818772</v>
      </c>
      <c r="AN198" s="408">
        <f t="shared" si="153"/>
        <v>0.16949999999999998</v>
      </c>
      <c r="AO198" s="408">
        <f t="shared" si="154"/>
        <v>1.5405187296969083</v>
      </c>
      <c r="AP198">
        <f t="shared" si="131"/>
        <v>28.916999999999998</v>
      </c>
      <c r="AQ198" s="10">
        <f t="shared" si="155"/>
        <v>0.94942074095501217</v>
      </c>
      <c r="AR198" s="63">
        <f t="shared" si="156"/>
        <v>30.712791344622335</v>
      </c>
      <c r="AS198" s="63">
        <f t="shared" si="157"/>
        <v>12.055325836799165</v>
      </c>
      <c r="AT198" s="10"/>
      <c r="AU198">
        <f t="shared" si="158"/>
        <v>94.942074095501212</v>
      </c>
    </row>
    <row r="199" spans="7:47" x14ac:dyDescent="0.25">
      <c r="G199">
        <v>190</v>
      </c>
      <c r="H199">
        <f t="shared" si="120"/>
        <v>5.6999999999999993</v>
      </c>
      <c r="I199" s="407">
        <f t="shared" si="136"/>
        <v>0.21511250000000001</v>
      </c>
      <c r="J199" s="408">
        <f t="shared" si="121"/>
        <v>1.3552087499999999</v>
      </c>
      <c r="K199" s="408">
        <f t="shared" si="132"/>
        <v>6.3776043749999989</v>
      </c>
      <c r="L199" s="408">
        <f t="shared" si="137"/>
        <v>5.0223956249999997</v>
      </c>
      <c r="M199" s="63">
        <f t="shared" si="122"/>
        <v>0</v>
      </c>
      <c r="N199" s="407">
        <f t="shared" si="138"/>
        <v>5.7134095975759553</v>
      </c>
      <c r="O199" s="407">
        <f t="shared" si="139"/>
        <v>0.16537457834932254</v>
      </c>
      <c r="P199">
        <f t="shared" si="123"/>
        <v>0.2</v>
      </c>
      <c r="Q199" s="407">
        <f t="shared" si="133"/>
        <v>0.36537457834932252</v>
      </c>
      <c r="R199" s="9">
        <f t="shared" si="140"/>
        <v>0.3912150683103181</v>
      </c>
      <c r="S199" s="9">
        <f t="shared" si="141"/>
        <v>1.5304922967304686E-3</v>
      </c>
      <c r="T199" s="9">
        <f t="shared" si="142"/>
        <v>1.5304922967304686E-3</v>
      </c>
      <c r="U199" s="407">
        <f t="shared" si="143"/>
        <v>2.6498920595786619</v>
      </c>
      <c r="V199" s="409">
        <f t="shared" si="144"/>
        <v>1.4043855854836085E-2</v>
      </c>
      <c r="W199" s="407">
        <f t="shared" si="145"/>
        <v>1.4043855854836085E-2</v>
      </c>
      <c r="X199" s="407">
        <f t="shared" si="146"/>
        <v>2.6498920595786619</v>
      </c>
      <c r="Y199" s="407">
        <f t="shared" si="147"/>
        <v>4.2131567564508254E-2</v>
      </c>
      <c r="Z199" s="407">
        <f t="shared" si="124"/>
        <v>0.42569394152942269</v>
      </c>
      <c r="AA199" s="407">
        <f t="shared" si="125"/>
        <v>0.14400000000000002</v>
      </c>
      <c r="AB199" s="407">
        <f t="shared" si="126"/>
        <v>0</v>
      </c>
      <c r="AC199" s="407">
        <f t="shared" si="148"/>
        <v>0.61702475310884675</v>
      </c>
      <c r="AD199" s="407">
        <f t="shared" si="149"/>
        <v>5.0617310578748649</v>
      </c>
      <c r="AE199" s="407">
        <f t="shared" si="150"/>
        <v>0.15372672781353</v>
      </c>
      <c r="AF199" s="407">
        <f t="shared" si="127"/>
        <v>8.2079999999999986E-2</v>
      </c>
      <c r="AG199" s="407">
        <f t="shared" si="151"/>
        <v>0.24328666025383067</v>
      </c>
      <c r="AH199" s="407">
        <f t="shared" si="152"/>
        <v>0</v>
      </c>
      <c r="AI199">
        <f t="shared" si="128"/>
        <v>0</v>
      </c>
      <c r="AJ199" s="408">
        <f t="shared" si="129"/>
        <v>0.13660506</v>
      </c>
      <c r="AK199">
        <f t="shared" si="134"/>
        <v>4.8000000000000001E-2</v>
      </c>
      <c r="AL199" s="408">
        <f t="shared" si="130"/>
        <v>0.1215</v>
      </c>
      <c r="AM199" s="408">
        <f t="shared" si="135"/>
        <v>0.31645971316818772</v>
      </c>
      <c r="AN199" s="408">
        <f t="shared" si="153"/>
        <v>0.16949999999999998</v>
      </c>
      <c r="AO199" s="408">
        <f t="shared" si="154"/>
        <v>1.5473653998635664</v>
      </c>
      <c r="AP199">
        <f t="shared" si="131"/>
        <v>29.069999999999993</v>
      </c>
      <c r="AQ199" s="10">
        <f t="shared" si="155"/>
        <v>0.94946118388519274</v>
      </c>
      <c r="AR199" s="63">
        <f t="shared" si="156"/>
        <v>30.851237655442336</v>
      </c>
      <c r="AS199" s="63">
        <f t="shared" si="157"/>
        <v>12.164333012691534</v>
      </c>
      <c r="AT199" s="10"/>
      <c r="AU199">
        <f t="shared" si="158"/>
        <v>94.946118388519267</v>
      </c>
    </row>
    <row r="200" spans="7:47" x14ac:dyDescent="0.25">
      <c r="G200">
        <v>191</v>
      </c>
      <c r="H200">
        <f t="shared" si="120"/>
        <v>5.7299999999999995</v>
      </c>
      <c r="I200" s="407">
        <f t="shared" si="136"/>
        <v>0.21512624999999996</v>
      </c>
      <c r="J200" s="408">
        <f t="shared" si="121"/>
        <v>1.3552953749999994</v>
      </c>
      <c r="K200" s="408">
        <f t="shared" si="132"/>
        <v>6.407647687499999</v>
      </c>
      <c r="L200" s="408">
        <f t="shared" si="137"/>
        <v>5.0523523125000001</v>
      </c>
      <c r="M200" s="63">
        <f t="shared" si="122"/>
        <v>0</v>
      </c>
      <c r="N200" s="407">
        <f t="shared" si="138"/>
        <v>5.7433412571537739</v>
      </c>
      <c r="O200" s="407">
        <f t="shared" si="139"/>
        <v>0.16713508911432859</v>
      </c>
      <c r="P200">
        <f t="shared" si="123"/>
        <v>0.2</v>
      </c>
      <c r="Q200" s="407">
        <f t="shared" si="133"/>
        <v>0.36713508911432857</v>
      </c>
      <c r="R200" s="9">
        <f t="shared" si="140"/>
        <v>0.39124007479385225</v>
      </c>
      <c r="S200" s="9">
        <f t="shared" si="141"/>
        <v>1.5306879612469913E-3</v>
      </c>
      <c r="T200" s="9">
        <f t="shared" si="142"/>
        <v>1.5306879612469913E-3</v>
      </c>
      <c r="U200" s="407">
        <f t="shared" si="143"/>
        <v>2.6638595626885659</v>
      </c>
      <c r="V200" s="409">
        <f t="shared" si="144"/>
        <v>1.4192295539454636E-2</v>
      </c>
      <c r="W200" s="407">
        <f t="shared" si="145"/>
        <v>1.4192295539454636E-2</v>
      </c>
      <c r="X200" s="407">
        <f t="shared" si="146"/>
        <v>2.6638595626885659</v>
      </c>
      <c r="Y200" s="407">
        <f t="shared" si="147"/>
        <v>4.257688661836391E-2</v>
      </c>
      <c r="Z200" s="407">
        <f t="shared" si="124"/>
        <v>0.42794218087944119</v>
      </c>
      <c r="AA200" s="407">
        <f t="shared" si="125"/>
        <v>0.14400000000000002</v>
      </c>
      <c r="AB200" s="407">
        <f t="shared" si="126"/>
        <v>0</v>
      </c>
      <c r="AC200" s="407">
        <f t="shared" si="148"/>
        <v>0.61979687172457176</v>
      </c>
      <c r="AD200" s="407">
        <f t="shared" si="149"/>
        <v>5.0882041062046026</v>
      </c>
      <c r="AE200" s="407">
        <f t="shared" si="150"/>
        <v>0.15533892615838427</v>
      </c>
      <c r="AF200" s="407">
        <f t="shared" si="127"/>
        <v>8.2511999999999988E-2</v>
      </c>
      <c r="AG200" s="407">
        <f t="shared" si="151"/>
        <v>0.24547736418822208</v>
      </c>
      <c r="AH200" s="407">
        <f t="shared" si="152"/>
        <v>0</v>
      </c>
      <c r="AI200">
        <f t="shared" si="128"/>
        <v>0</v>
      </c>
      <c r="AJ200" s="408">
        <f t="shared" si="129"/>
        <v>0.13660403400000001</v>
      </c>
      <c r="AK200">
        <f t="shared" si="134"/>
        <v>4.8000000000000001E-2</v>
      </c>
      <c r="AL200" s="408">
        <f t="shared" si="130"/>
        <v>0.1215</v>
      </c>
      <c r="AM200" s="408">
        <f t="shared" si="135"/>
        <v>0.31645971316818772</v>
      </c>
      <c r="AN200" s="408">
        <f t="shared" si="153"/>
        <v>0.16949999999999998</v>
      </c>
      <c r="AO200" s="408">
        <f t="shared" si="154"/>
        <v>1.5542363425278241</v>
      </c>
      <c r="AP200">
        <f t="shared" si="131"/>
        <v>29.222999999999995</v>
      </c>
      <c r="AQ200" s="10">
        <f t="shared" si="155"/>
        <v>0.94950045789588366</v>
      </c>
      <c r="AR200" s="63">
        <f t="shared" si="156"/>
        <v>30.989843586228588</v>
      </c>
      <c r="AS200" s="63">
        <f t="shared" si="157"/>
        <v>12.273868209411104</v>
      </c>
      <c r="AT200" s="10"/>
      <c r="AU200">
        <f t="shared" si="158"/>
        <v>94.950045789588373</v>
      </c>
    </row>
    <row r="201" spans="7:47" x14ac:dyDescent="0.25">
      <c r="G201">
        <v>192</v>
      </c>
      <c r="H201">
        <f t="shared" ref="H201:H209" si="159">Iout*(G201/200)</f>
        <v>5.76</v>
      </c>
      <c r="I201" s="407">
        <f t="shared" si="136"/>
        <v>0.21514</v>
      </c>
      <c r="J201" s="408">
        <f t="shared" ref="J201:J209" si="160">(Vin-Vout)*I201/(Fsw*Lout2)</f>
        <v>1.3553819999999996</v>
      </c>
      <c r="K201" s="408">
        <f t="shared" si="132"/>
        <v>6.4376909999999992</v>
      </c>
      <c r="L201" s="408">
        <f t="shared" si="137"/>
        <v>5.0823090000000004</v>
      </c>
      <c r="M201" s="63">
        <f t="shared" ref="M201:M209" si="161">IF(MIN(Vin, -L201/(CossTop+CossBot)*0.00000002)&lt;0, 0, MIN(Vin, -L201/(CossTop+CossBot)*0.00000002))</f>
        <v>0</v>
      </c>
      <c r="N201" s="407">
        <f t="shared" si="138"/>
        <v>5.7732736262736584</v>
      </c>
      <c r="O201" s="407">
        <f t="shared" si="139"/>
        <v>0.16890533424258605</v>
      </c>
      <c r="P201">
        <f t="shared" ref="P201:P209" si="162">Core_Loss</f>
        <v>0.2</v>
      </c>
      <c r="Q201" s="407">
        <f t="shared" si="133"/>
        <v>0.36890533424258609</v>
      </c>
      <c r="R201" s="9">
        <f t="shared" si="140"/>
        <v>0.39126508127738657</v>
      </c>
      <c r="S201" s="9">
        <f t="shared" si="141"/>
        <v>1.5308836382699992E-3</v>
      </c>
      <c r="T201" s="9">
        <f t="shared" si="142"/>
        <v>1.5308836382699992E-3</v>
      </c>
      <c r="U201" s="407">
        <f t="shared" si="143"/>
        <v>2.6778282795193831</v>
      </c>
      <c r="V201" s="409">
        <f t="shared" si="144"/>
        <v>1.4341528589187478E-2</v>
      </c>
      <c r="W201" s="407">
        <f t="shared" si="145"/>
        <v>1.4341528589187478E-2</v>
      </c>
      <c r="X201" s="407">
        <f t="shared" si="146"/>
        <v>2.6778282795193831</v>
      </c>
      <c r="Y201" s="407">
        <f t="shared" si="147"/>
        <v>4.3024585767562434E-2</v>
      </c>
      <c r="Z201" s="407">
        <f t="shared" ref="Z201:Z209" si="163">IF(L201&lt;0, (Vin*K201*Tf/2)*Fsw, (Vin*L201*Tr/2+Vin*K201*Tf/2)*Fsw)</f>
        <v>0.43019042022945975</v>
      </c>
      <c r="AA201" s="407">
        <f t="shared" ref="AA201:AA209" si="164">(0.5*CossTop*(Vin-M201)^2-0.5*CossBot*(Vin-M201)^2+(QossBot*(Vin-M201)/Vin)*Vin)*Fsw</f>
        <v>0.14400000000000002</v>
      </c>
      <c r="AB201" s="407">
        <f t="shared" ref="AB201:AB209" si="165">IF(L201&gt;0,0,-L201*VsdTop*Deadtime*Fsw)</f>
        <v>0</v>
      </c>
      <c r="AC201" s="407">
        <f t="shared" si="148"/>
        <v>0.62257218809768378</v>
      </c>
      <c r="AD201" s="407">
        <f t="shared" si="149"/>
        <v>5.1146773181925429</v>
      </c>
      <c r="AE201" s="407">
        <f t="shared" si="150"/>
        <v>0.15695954441539958</v>
      </c>
      <c r="AF201" s="407">
        <f t="shared" ref="AF201:AF209" si="166">IF(L201&lt;0, Deadtime*Fsw*IF(VfdSky&gt;0,0,VsdBot)*K201, Deadtime*Fsw*IF(VfdSky&gt;0,0,VsdBot)*(K201+L201))</f>
        <v>8.294399999999999E-2</v>
      </c>
      <c r="AG201" s="407">
        <f t="shared" si="151"/>
        <v>0.24767865002940698</v>
      </c>
      <c r="AH201" s="407">
        <f t="shared" si="152"/>
        <v>0</v>
      </c>
      <c r="AI201">
        <f t="shared" ref="AI201:AI209" si="167">2*Deadtime*Fsw*IF(VfdSky&gt;0,VfdSky,0)*H201</f>
        <v>0</v>
      </c>
      <c r="AJ201" s="408">
        <f t="shared" ref="AJ201:AJ209" si="168">IF(QrrSky&gt;0,QrrSky,QrrBot)*Fsw*(Vin-H201*RdsonTop)</f>
        <v>0.136603008</v>
      </c>
      <c r="AK201">
        <f t="shared" si="134"/>
        <v>4.8000000000000001E-2</v>
      </c>
      <c r="AL201" s="408">
        <f t="shared" ref="AL201:AL209" si="169">IF(Ext_VCC=1, Vdd*(QgTop+QgBot)*Fsw, Vin*(QgTop+QgBot)*Fsw)</f>
        <v>0.1215</v>
      </c>
      <c r="AM201" s="408">
        <f t="shared" si="135"/>
        <v>0.31645971316818772</v>
      </c>
      <c r="AN201" s="408">
        <f t="shared" si="153"/>
        <v>0.16949999999999998</v>
      </c>
      <c r="AO201" s="408">
        <f t="shared" si="154"/>
        <v>1.5611315925971343</v>
      </c>
      <c r="AP201">
        <f t="shared" ref="AP201:AP209" si="170">Vout*H201</f>
        <v>29.375999999999998</v>
      </c>
      <c r="AQ201" s="10">
        <f t="shared" si="155"/>
        <v>0.94953857994479696</v>
      </c>
      <c r="AR201" s="63">
        <f t="shared" si="156"/>
        <v>31.128609404884187</v>
      </c>
      <c r="AS201" s="63">
        <f t="shared" si="157"/>
        <v>12.383932501470349</v>
      </c>
      <c r="AT201" s="10"/>
      <c r="AU201">
        <f t="shared" si="158"/>
        <v>94.953857994479691</v>
      </c>
    </row>
    <row r="202" spans="7:47" x14ac:dyDescent="0.25">
      <c r="G202">
        <v>193</v>
      </c>
      <c r="H202">
        <f t="shared" si="159"/>
        <v>5.79</v>
      </c>
      <c r="I202" s="407">
        <f t="shared" si="136"/>
        <v>0.21515375</v>
      </c>
      <c r="J202" s="408">
        <f t="shared" si="160"/>
        <v>1.3554686249999999</v>
      </c>
      <c r="K202" s="408">
        <f t="shared" ref="K202:K209" si="171">H202+J202/2</f>
        <v>6.4677343125000002</v>
      </c>
      <c r="L202" s="408">
        <f t="shared" si="137"/>
        <v>5.1122656874999999</v>
      </c>
      <c r="M202" s="63">
        <f t="shared" si="161"/>
        <v>0</v>
      </c>
      <c r="N202" s="407">
        <f t="shared" si="138"/>
        <v>5.8032066939563629</v>
      </c>
      <c r="O202" s="407">
        <f t="shared" si="139"/>
        <v>0.17068532169177461</v>
      </c>
      <c r="P202">
        <f t="shared" si="162"/>
        <v>0.2</v>
      </c>
      <c r="Q202" s="407">
        <f t="shared" ref="Q202:Q209" si="172">O202+P202</f>
        <v>0.37068532169177459</v>
      </c>
      <c r="R202" s="9">
        <f t="shared" si="140"/>
        <v>0.39129008776092095</v>
      </c>
      <c r="S202" s="9">
        <f t="shared" si="141"/>
        <v>1.5310793277994923E-3</v>
      </c>
      <c r="T202" s="9">
        <f t="shared" si="142"/>
        <v>1.5310793277994923E-3</v>
      </c>
      <c r="U202" s="407">
        <f t="shared" si="143"/>
        <v>2.6917982049677041</v>
      </c>
      <c r="V202" s="409">
        <f t="shared" si="144"/>
        <v>1.4491555152534707E-2</v>
      </c>
      <c r="W202" s="407">
        <f t="shared" si="145"/>
        <v>1.4491555152534707E-2</v>
      </c>
      <c r="X202" s="407">
        <f t="shared" si="146"/>
        <v>2.6917982049677041</v>
      </c>
      <c r="Y202" s="407">
        <f t="shared" si="147"/>
        <v>4.3474665457604124E-2</v>
      </c>
      <c r="Z202" s="407">
        <f t="shared" si="163"/>
        <v>0.43243865957947825</v>
      </c>
      <c r="AA202" s="407">
        <f t="shared" si="164"/>
        <v>0.14400000000000002</v>
      </c>
      <c r="AB202" s="407">
        <f t="shared" si="165"/>
        <v>0</v>
      </c>
      <c r="AC202" s="407">
        <f t="shared" si="148"/>
        <v>0.62535070759838551</v>
      </c>
      <c r="AD202" s="407">
        <f t="shared" si="149"/>
        <v>5.1411506840893688</v>
      </c>
      <c r="AE202" s="407">
        <f t="shared" si="150"/>
        <v>0.15858858213907551</v>
      </c>
      <c r="AF202" s="407">
        <f t="shared" si="166"/>
        <v>8.3375999999999992E-2</v>
      </c>
      <c r="AG202" s="407">
        <f t="shared" si="151"/>
        <v>0.24989053940594708</v>
      </c>
      <c r="AH202" s="407">
        <f t="shared" si="152"/>
        <v>0</v>
      </c>
      <c r="AI202">
        <f t="shared" si="167"/>
        <v>0</v>
      </c>
      <c r="AJ202" s="408">
        <f t="shared" si="168"/>
        <v>0.13660198200000001</v>
      </c>
      <c r="AK202">
        <f t="shared" ref="AK202:AK209" si="173">Iq*Vin</f>
        <v>4.8000000000000001E-2</v>
      </c>
      <c r="AL202" s="408">
        <f t="shared" si="169"/>
        <v>0.1215</v>
      </c>
      <c r="AM202" s="408">
        <f t="shared" ref="AM202:AM209" si="174">(Vin-Vdd)*Fsw*(QgTop+QgBot)+(RdsonDRT+RdsonDRT2)*Fsw*QgTop*Vdd/(RdsonDRT+2*RGateTop+RdsonDRT2)+(RdsonDRB+RdsonDRB2)*Fsw*QgBot*Vdd/(RdsonDRB+2*RGateBot+RdsonDRB2)</f>
        <v>0.31645971316818772</v>
      </c>
      <c r="AN202" s="408">
        <f t="shared" si="153"/>
        <v>0.16949999999999998</v>
      </c>
      <c r="AO202" s="408">
        <f t="shared" si="154"/>
        <v>1.5680511851764412</v>
      </c>
      <c r="AP202">
        <f t="shared" si="170"/>
        <v>29.528999999999996</v>
      </c>
      <c r="AQ202" s="10">
        <f t="shared" si="155"/>
        <v>0.94957556664009646</v>
      </c>
      <c r="AR202" s="63">
        <f t="shared" si="156"/>
        <v>31.267535379919277</v>
      </c>
      <c r="AS202" s="63">
        <f t="shared" si="157"/>
        <v>12.494526970297354</v>
      </c>
      <c r="AT202" s="10"/>
      <c r="AU202">
        <f t="shared" si="158"/>
        <v>94.957556664009644</v>
      </c>
    </row>
    <row r="203" spans="7:47" x14ac:dyDescent="0.25">
      <c r="G203">
        <v>194</v>
      </c>
      <c r="H203">
        <f t="shared" si="159"/>
        <v>5.82</v>
      </c>
      <c r="I203" s="407">
        <f t="shared" si="136"/>
        <v>0.21516749999999996</v>
      </c>
      <c r="J203" s="408">
        <f t="shared" si="160"/>
        <v>1.3555552499999992</v>
      </c>
      <c r="K203" s="408">
        <f t="shared" si="171"/>
        <v>6.4977776249999994</v>
      </c>
      <c r="L203" s="408">
        <f t="shared" si="137"/>
        <v>5.1422223750000011</v>
      </c>
      <c r="M203" s="63">
        <f t="shared" si="161"/>
        <v>0</v>
      </c>
      <c r="N203" s="407">
        <f t="shared" si="138"/>
        <v>5.8331404494477548</v>
      </c>
      <c r="O203" s="407">
        <f t="shared" si="139"/>
        <v>0.17247505946670302</v>
      </c>
      <c r="P203">
        <f t="shared" si="162"/>
        <v>0.2</v>
      </c>
      <c r="Q203" s="407">
        <f t="shared" si="172"/>
        <v>0.37247505946670301</v>
      </c>
      <c r="R203" s="9">
        <f t="shared" si="140"/>
        <v>0.39131509424445504</v>
      </c>
      <c r="S203" s="9">
        <f t="shared" si="141"/>
        <v>1.5312750298354676E-3</v>
      </c>
      <c r="T203" s="9">
        <f t="shared" si="142"/>
        <v>1.5312750298354676E-3</v>
      </c>
      <c r="U203" s="407">
        <f t="shared" si="143"/>
        <v>2.7057693340338922</v>
      </c>
      <c r="V203" s="409">
        <f t="shared" si="144"/>
        <v>1.4642375377996425E-2</v>
      </c>
      <c r="W203" s="407">
        <f t="shared" si="145"/>
        <v>1.4642375377996425E-2</v>
      </c>
      <c r="X203" s="407">
        <f t="shared" si="146"/>
        <v>2.7057693340338922</v>
      </c>
      <c r="Y203" s="407">
        <f t="shared" si="147"/>
        <v>4.3927126133989275E-2</v>
      </c>
      <c r="Z203" s="407">
        <f t="shared" si="163"/>
        <v>0.43468689892949675</v>
      </c>
      <c r="AA203" s="407">
        <f t="shared" si="164"/>
        <v>0.14400000000000002</v>
      </c>
      <c r="AB203" s="407">
        <f t="shared" si="165"/>
        <v>0</v>
      </c>
      <c r="AC203" s="407">
        <f t="shared" si="148"/>
        <v>0.62813243560905585</v>
      </c>
      <c r="AD203" s="407">
        <f t="shared" si="149"/>
        <v>5.1676241943455352</v>
      </c>
      <c r="AE203" s="407">
        <f t="shared" si="150"/>
        <v>0.16022603888391207</v>
      </c>
      <c r="AF203" s="407">
        <f t="shared" si="166"/>
        <v>8.3808000000000007E-2</v>
      </c>
      <c r="AG203" s="407">
        <f t="shared" si="151"/>
        <v>0.2521130540853152</v>
      </c>
      <c r="AH203" s="407">
        <f t="shared" si="152"/>
        <v>0</v>
      </c>
      <c r="AI203">
        <f t="shared" si="167"/>
        <v>0</v>
      </c>
      <c r="AJ203" s="408">
        <f t="shared" si="168"/>
        <v>0.136600956</v>
      </c>
      <c r="AK203">
        <f t="shared" si="173"/>
        <v>4.8000000000000001E-2</v>
      </c>
      <c r="AL203" s="408">
        <f t="shared" si="169"/>
        <v>0.1215</v>
      </c>
      <c r="AM203" s="408">
        <f t="shared" si="174"/>
        <v>0.31645971316818772</v>
      </c>
      <c r="AN203" s="408">
        <f t="shared" si="153"/>
        <v>0.16949999999999998</v>
      </c>
      <c r="AO203" s="408">
        <f t="shared" si="154"/>
        <v>1.5749951555689061</v>
      </c>
      <c r="AP203">
        <f t="shared" si="170"/>
        <v>29.681999999999999</v>
      </c>
      <c r="AQ203" s="10">
        <f t="shared" si="155"/>
        <v>0.94961143424919725</v>
      </c>
      <c r="AR203" s="63">
        <f t="shared" si="156"/>
        <v>31.406621780452792</v>
      </c>
      <c r="AS203" s="63">
        <f t="shared" si="157"/>
        <v>12.60565270426576</v>
      </c>
      <c r="AT203" s="10"/>
      <c r="AU203">
        <f t="shared" si="158"/>
        <v>94.961143424919726</v>
      </c>
    </row>
    <row r="204" spans="7:47" x14ac:dyDescent="0.25">
      <c r="G204">
        <v>195</v>
      </c>
      <c r="H204">
        <f t="shared" si="159"/>
        <v>5.85</v>
      </c>
      <c r="I204" s="407">
        <f t="shared" si="136"/>
        <v>0.21518124999999999</v>
      </c>
      <c r="J204" s="408">
        <f t="shared" si="160"/>
        <v>1.3556418749999997</v>
      </c>
      <c r="K204" s="408">
        <f t="shared" si="171"/>
        <v>6.5278209374999996</v>
      </c>
      <c r="L204" s="408">
        <f t="shared" si="137"/>
        <v>5.1721790624999997</v>
      </c>
      <c r="M204" s="63">
        <f t="shared" si="161"/>
        <v>0</v>
      </c>
      <c r="N204" s="407">
        <f t="shared" si="138"/>
        <v>5.8630748822130681</v>
      </c>
      <c r="O204" s="407">
        <f t="shared" si="139"/>
        <v>0.1742745556193997</v>
      </c>
      <c r="P204">
        <f t="shared" si="162"/>
        <v>0.2</v>
      </c>
      <c r="Q204" s="407">
        <f t="shared" si="172"/>
        <v>0.37427455561939971</v>
      </c>
      <c r="R204" s="9">
        <f t="shared" si="140"/>
        <v>0.39134010072798942</v>
      </c>
      <c r="S204" s="9">
        <f t="shared" si="141"/>
        <v>1.5314707443779291E-3</v>
      </c>
      <c r="T204" s="9">
        <f t="shared" si="142"/>
        <v>1.5314707443779291E-3</v>
      </c>
      <c r="U204" s="407">
        <f t="shared" si="143"/>
        <v>2.7197416618194392</v>
      </c>
      <c r="V204" s="409">
        <f t="shared" si="144"/>
        <v>1.479398941407273E-2</v>
      </c>
      <c r="W204" s="407">
        <f t="shared" si="145"/>
        <v>1.479398941407273E-2</v>
      </c>
      <c r="X204" s="407">
        <f t="shared" si="146"/>
        <v>2.7197416618194392</v>
      </c>
      <c r="Y204" s="407">
        <f t="shared" si="147"/>
        <v>4.4381968242218191E-2</v>
      </c>
      <c r="Z204" s="407">
        <f t="shared" si="163"/>
        <v>0.43693513827951524</v>
      </c>
      <c r="AA204" s="407">
        <f t="shared" si="164"/>
        <v>0.14400000000000002</v>
      </c>
      <c r="AB204" s="407">
        <f t="shared" si="165"/>
        <v>0</v>
      </c>
      <c r="AC204" s="407">
        <f t="shared" si="148"/>
        <v>0.63091737752428267</v>
      </c>
      <c r="AD204" s="407">
        <f t="shared" si="149"/>
        <v>5.1940978396061634</v>
      </c>
      <c r="AE204" s="407">
        <f t="shared" si="150"/>
        <v>0.16187191420440847</v>
      </c>
      <c r="AF204" s="407">
        <f t="shared" si="166"/>
        <v>8.4239999999999995E-2</v>
      </c>
      <c r="AG204" s="407">
        <f t="shared" si="151"/>
        <v>0.25434621597449641</v>
      </c>
      <c r="AH204" s="407">
        <f t="shared" si="152"/>
        <v>0</v>
      </c>
      <c r="AI204">
        <f t="shared" si="167"/>
        <v>0</v>
      </c>
      <c r="AJ204" s="408">
        <f t="shared" si="168"/>
        <v>0.13659993000000001</v>
      </c>
      <c r="AK204">
        <f t="shared" si="173"/>
        <v>4.8000000000000001E-2</v>
      </c>
      <c r="AL204" s="408">
        <f t="shared" si="169"/>
        <v>0.1215</v>
      </c>
      <c r="AM204" s="408">
        <f t="shared" si="174"/>
        <v>0.31645971316818772</v>
      </c>
      <c r="AN204" s="408">
        <f t="shared" si="153"/>
        <v>0.16949999999999998</v>
      </c>
      <c r="AO204" s="408">
        <f t="shared" si="154"/>
        <v>1.5819635392766296</v>
      </c>
      <c r="AP204">
        <f t="shared" si="170"/>
        <v>29.834999999999997</v>
      </c>
      <c r="AQ204" s="10">
        <f t="shared" si="155"/>
        <v>0.94964619870730338</v>
      </c>
      <c r="AR204" s="63">
        <f t="shared" si="156"/>
        <v>31.545868876214133</v>
      </c>
      <c r="AS204" s="63">
        <f t="shared" si="157"/>
        <v>12.717310798724821</v>
      </c>
      <c r="AT204" s="10"/>
      <c r="AU204">
        <f t="shared" si="158"/>
        <v>94.964619870730331</v>
      </c>
    </row>
    <row r="205" spans="7:47" x14ac:dyDescent="0.25">
      <c r="G205">
        <v>196</v>
      </c>
      <c r="H205">
        <f t="shared" si="159"/>
        <v>5.88</v>
      </c>
      <c r="I205" s="407">
        <f t="shared" si="136"/>
        <v>0.215195</v>
      </c>
      <c r="J205" s="408">
        <f t="shared" si="160"/>
        <v>1.3557284999999997</v>
      </c>
      <c r="K205" s="408">
        <f t="shared" si="171"/>
        <v>6.5578642499999997</v>
      </c>
      <c r="L205" s="408">
        <f t="shared" si="137"/>
        <v>5.2021357500000001</v>
      </c>
      <c r="M205" s="63">
        <f t="shared" si="161"/>
        <v>0</v>
      </c>
      <c r="N205" s="407">
        <f t="shared" si="138"/>
        <v>5.8930099819313631</v>
      </c>
      <c r="O205" s="407">
        <f t="shared" si="139"/>
        <v>0.17608381824920652</v>
      </c>
      <c r="P205">
        <f t="shared" si="162"/>
        <v>0.2</v>
      </c>
      <c r="Q205" s="407">
        <f t="shared" si="172"/>
        <v>0.37608381824920656</v>
      </c>
      <c r="R205" s="9">
        <f t="shared" si="140"/>
        <v>0.39136510721152368</v>
      </c>
      <c r="S205" s="9">
        <f t="shared" si="141"/>
        <v>1.5316664714268744E-3</v>
      </c>
      <c r="T205" s="9">
        <f t="shared" si="142"/>
        <v>1.5316664714268744E-3</v>
      </c>
      <c r="U205" s="407">
        <f t="shared" si="143"/>
        <v>2.7337151835244047</v>
      </c>
      <c r="V205" s="409">
        <f t="shared" si="144"/>
        <v>1.4946397409263739E-2</v>
      </c>
      <c r="W205" s="407">
        <f t="shared" si="145"/>
        <v>1.4946397409263739E-2</v>
      </c>
      <c r="X205" s="407">
        <f t="shared" si="146"/>
        <v>2.7337151835244047</v>
      </c>
      <c r="Y205" s="407">
        <f t="shared" si="147"/>
        <v>4.4839192227791216E-2</v>
      </c>
      <c r="Z205" s="407">
        <f t="shared" si="163"/>
        <v>0.43918337762953369</v>
      </c>
      <c r="AA205" s="407">
        <f t="shared" si="164"/>
        <v>0.14400000000000002</v>
      </c>
      <c r="AB205" s="407">
        <f t="shared" si="165"/>
        <v>0</v>
      </c>
      <c r="AC205" s="407">
        <f t="shared" si="148"/>
        <v>0.63370553875089841</v>
      </c>
      <c r="AD205" s="407">
        <f t="shared" si="149"/>
        <v>5.2205716107061315</v>
      </c>
      <c r="AE205" s="407">
        <f t="shared" si="150"/>
        <v>0.16352620765506487</v>
      </c>
      <c r="AF205" s="407">
        <f t="shared" si="166"/>
        <v>8.4671999999999997E-2</v>
      </c>
      <c r="AG205" s="407">
        <f t="shared" si="151"/>
        <v>0.25659004712059802</v>
      </c>
      <c r="AH205" s="407">
        <f t="shared" si="152"/>
        <v>0</v>
      </c>
      <c r="AI205">
        <f t="shared" si="167"/>
        <v>0</v>
      </c>
      <c r="AJ205" s="408">
        <f t="shared" si="168"/>
        <v>0.13659890399999999</v>
      </c>
      <c r="AK205">
        <f t="shared" si="173"/>
        <v>4.8000000000000001E-2</v>
      </c>
      <c r="AL205" s="408">
        <f t="shared" si="169"/>
        <v>0.1215</v>
      </c>
      <c r="AM205" s="408">
        <f t="shared" si="174"/>
        <v>0.31645971316818772</v>
      </c>
      <c r="AN205" s="408">
        <f t="shared" si="153"/>
        <v>0.16949999999999998</v>
      </c>
      <c r="AO205" s="408">
        <f t="shared" si="154"/>
        <v>1.5889563720013935</v>
      </c>
      <c r="AP205">
        <f t="shared" si="170"/>
        <v>29.987999999999996</v>
      </c>
      <c r="AQ205" s="10">
        <f t="shared" si="155"/>
        <v>0.94967987562568612</v>
      </c>
      <c r="AR205" s="63">
        <f t="shared" si="156"/>
        <v>31.68527693754492</v>
      </c>
      <c r="AS205" s="63">
        <f t="shared" si="157"/>
        <v>12.8295023560299</v>
      </c>
      <c r="AT205" s="10"/>
      <c r="AU205">
        <f t="shared" si="158"/>
        <v>94.967987562568609</v>
      </c>
    </row>
    <row r="206" spans="7:47" x14ac:dyDescent="0.25">
      <c r="G206">
        <v>197</v>
      </c>
      <c r="H206">
        <f t="shared" si="159"/>
        <v>5.91</v>
      </c>
      <c r="I206" s="407">
        <f t="shared" si="136"/>
        <v>0.21520874999999998</v>
      </c>
      <c r="J206" s="408">
        <f t="shared" si="160"/>
        <v>1.3558151249999995</v>
      </c>
      <c r="K206" s="408">
        <f t="shared" si="171"/>
        <v>6.5879075624999999</v>
      </c>
      <c r="L206" s="408">
        <f t="shared" si="137"/>
        <v>5.2320924375000004</v>
      </c>
      <c r="M206" s="63">
        <f t="shared" si="161"/>
        <v>0</v>
      </c>
      <c r="N206" s="407">
        <f t="shared" si="138"/>
        <v>5.9229457384901165</v>
      </c>
      <c r="O206" s="407">
        <f t="shared" si="139"/>
        <v>0.17790285550286994</v>
      </c>
      <c r="P206">
        <f t="shared" si="162"/>
        <v>0.2</v>
      </c>
      <c r="Q206" s="407">
        <f t="shared" si="172"/>
        <v>0.37790285550286995</v>
      </c>
      <c r="R206" s="9">
        <f t="shared" si="140"/>
        <v>0.39139011369505794</v>
      </c>
      <c r="S206" s="9">
        <f t="shared" si="141"/>
        <v>1.5318622109823038E-3</v>
      </c>
      <c r="T206" s="9">
        <f t="shared" si="142"/>
        <v>1.5318622109823038E-3</v>
      </c>
      <c r="U206" s="407">
        <f t="shared" si="143"/>
        <v>2.7476898944449268</v>
      </c>
      <c r="V206" s="409">
        <f t="shared" si="144"/>
        <v>1.5099599512069548E-2</v>
      </c>
      <c r="W206" s="407">
        <f t="shared" si="145"/>
        <v>1.5099599512069548E-2</v>
      </c>
      <c r="X206" s="407">
        <f t="shared" si="146"/>
        <v>2.7476898944449268</v>
      </c>
      <c r="Y206" s="407">
        <f t="shared" si="147"/>
        <v>4.5298798536208641E-2</v>
      </c>
      <c r="Z206" s="407">
        <f t="shared" si="163"/>
        <v>0.44143161697955224</v>
      </c>
      <c r="AA206" s="407">
        <f t="shared" si="164"/>
        <v>0.14400000000000002</v>
      </c>
      <c r="AB206" s="407">
        <f t="shared" si="165"/>
        <v>0</v>
      </c>
      <c r="AC206" s="407">
        <f t="shared" si="148"/>
        <v>0.63649692470801389</v>
      </c>
      <c r="AD206" s="407">
        <f t="shared" si="149"/>
        <v>5.2470454986652681</v>
      </c>
      <c r="AE206" s="407">
        <f t="shared" si="150"/>
        <v>0.16518891879038072</v>
      </c>
      <c r="AF206" s="407">
        <f t="shared" si="166"/>
        <v>8.5103999999999999E-2</v>
      </c>
      <c r="AG206" s="407">
        <f t="shared" si="151"/>
        <v>0.25884456971146025</v>
      </c>
      <c r="AH206" s="407">
        <f t="shared" si="152"/>
        <v>0</v>
      </c>
      <c r="AI206">
        <f t="shared" si="167"/>
        <v>0</v>
      </c>
      <c r="AJ206" s="408">
        <f t="shared" si="168"/>
        <v>0.13659787800000001</v>
      </c>
      <c r="AK206">
        <f t="shared" si="173"/>
        <v>4.8000000000000001E-2</v>
      </c>
      <c r="AL206" s="408">
        <f t="shared" si="169"/>
        <v>0.1215</v>
      </c>
      <c r="AM206" s="408">
        <f t="shared" si="174"/>
        <v>0.31645971316818772</v>
      </c>
      <c r="AN206" s="408">
        <f t="shared" si="153"/>
        <v>0.16949999999999998</v>
      </c>
      <c r="AO206" s="408">
        <f t="shared" si="154"/>
        <v>1.5959736896453958</v>
      </c>
      <c r="AP206">
        <f t="shared" si="170"/>
        <v>30.140999999999998</v>
      </c>
      <c r="AQ206" s="10">
        <f t="shared" si="155"/>
        <v>0.94971248029971722</v>
      </c>
      <c r="AR206" s="63">
        <f t="shared" si="156"/>
        <v>31.824846235400695</v>
      </c>
      <c r="AS206" s="63">
        <f t="shared" si="157"/>
        <v>12.942228485573013</v>
      </c>
      <c r="AT206" s="10"/>
      <c r="AU206">
        <f t="shared" si="158"/>
        <v>94.971248029971719</v>
      </c>
    </row>
    <row r="207" spans="7:47" x14ac:dyDescent="0.25">
      <c r="G207">
        <v>198</v>
      </c>
      <c r="H207">
        <f t="shared" si="159"/>
        <v>5.9399999999999995</v>
      </c>
      <c r="I207" s="407">
        <f t="shared" si="136"/>
        <v>0.21522249999999998</v>
      </c>
      <c r="J207" s="408">
        <f t="shared" si="160"/>
        <v>1.3559017499999997</v>
      </c>
      <c r="K207" s="408">
        <f t="shared" si="171"/>
        <v>6.6179508749999991</v>
      </c>
      <c r="L207" s="408">
        <f t="shared" si="137"/>
        <v>5.2620491249999999</v>
      </c>
      <c r="M207" s="63">
        <f t="shared" si="161"/>
        <v>0</v>
      </c>
      <c r="N207" s="407">
        <f t="shared" si="138"/>
        <v>5.9528821419800018</v>
      </c>
      <c r="O207" s="407">
        <f t="shared" si="139"/>
        <v>0.17973167557463515</v>
      </c>
      <c r="P207">
        <f t="shared" si="162"/>
        <v>0.2</v>
      </c>
      <c r="Q207" s="407">
        <f t="shared" si="172"/>
        <v>0.37973167557463516</v>
      </c>
      <c r="R207" s="9">
        <f t="shared" si="140"/>
        <v>0.39141512017859226</v>
      </c>
      <c r="S207" s="9">
        <f t="shared" si="141"/>
        <v>1.5320579630442182E-3</v>
      </c>
      <c r="T207" s="9">
        <f t="shared" si="142"/>
        <v>1.5320579630442182E-3</v>
      </c>
      <c r="U207" s="407">
        <f t="shared" si="143"/>
        <v>2.7616657899708152</v>
      </c>
      <c r="V207" s="409">
        <f t="shared" si="144"/>
        <v>1.5253595870990256E-2</v>
      </c>
      <c r="W207" s="407">
        <f t="shared" si="145"/>
        <v>1.5253595870990256E-2</v>
      </c>
      <c r="X207" s="407">
        <f t="shared" si="146"/>
        <v>2.7616657899708152</v>
      </c>
      <c r="Y207" s="407">
        <f t="shared" si="147"/>
        <v>4.5760787612970769E-2</v>
      </c>
      <c r="Z207" s="407">
        <f t="shared" si="163"/>
        <v>0.44367985632957074</v>
      </c>
      <c r="AA207" s="407">
        <f t="shared" si="164"/>
        <v>0.14400000000000002</v>
      </c>
      <c r="AB207" s="407">
        <f t="shared" si="165"/>
        <v>0</v>
      </c>
      <c r="AC207" s="407">
        <f t="shared" si="148"/>
        <v>0.63929154082705264</v>
      </c>
      <c r="AD207" s="407">
        <f t="shared" si="149"/>
        <v>5.2735194946837245</v>
      </c>
      <c r="AE207" s="407">
        <f t="shared" si="150"/>
        <v>0.16686004716485572</v>
      </c>
      <c r="AF207" s="407">
        <f t="shared" si="166"/>
        <v>8.5535999999999987E-2</v>
      </c>
      <c r="AG207" s="407">
        <f t="shared" si="151"/>
        <v>0.26110980607627438</v>
      </c>
      <c r="AH207" s="407">
        <f t="shared" si="152"/>
        <v>0</v>
      </c>
      <c r="AI207">
        <f t="shared" si="167"/>
        <v>0</v>
      </c>
      <c r="AJ207" s="408">
        <f t="shared" si="168"/>
        <v>0.13659685199999999</v>
      </c>
      <c r="AK207">
        <f t="shared" si="173"/>
        <v>4.8000000000000001E-2</v>
      </c>
      <c r="AL207" s="408">
        <f t="shared" si="169"/>
        <v>0.1215</v>
      </c>
      <c r="AM207" s="408">
        <f t="shared" si="174"/>
        <v>0.31645971316818772</v>
      </c>
      <c r="AN207" s="408">
        <f t="shared" si="153"/>
        <v>0.16949999999999998</v>
      </c>
      <c r="AO207" s="408">
        <f t="shared" si="154"/>
        <v>1.6030155283119967</v>
      </c>
      <c r="AP207">
        <f t="shared" si="170"/>
        <v>30.293999999999997</v>
      </c>
      <c r="AQ207" s="10">
        <f t="shared" si="155"/>
        <v>0.94974402771666366</v>
      </c>
      <c r="AR207" s="63">
        <f t="shared" si="156"/>
        <v>31.964577041352634</v>
      </c>
      <c r="AS207" s="63">
        <f t="shared" si="157"/>
        <v>13.055490303813718</v>
      </c>
      <c r="AT207" s="10"/>
      <c r="AU207">
        <f t="shared" si="158"/>
        <v>94.974402771666362</v>
      </c>
    </row>
    <row r="208" spans="7:47" x14ac:dyDescent="0.25">
      <c r="G208">
        <v>199</v>
      </c>
      <c r="H208">
        <f t="shared" si="159"/>
        <v>5.97</v>
      </c>
      <c r="I208" s="407">
        <f t="shared" si="136"/>
        <v>0.21523624999999999</v>
      </c>
      <c r="J208" s="408">
        <f t="shared" si="160"/>
        <v>1.3559883749999997</v>
      </c>
      <c r="K208" s="408">
        <f t="shared" si="171"/>
        <v>6.6479941874999993</v>
      </c>
      <c r="L208" s="408">
        <f t="shared" si="137"/>
        <v>5.2920058125000002</v>
      </c>
      <c r="M208" s="63">
        <f t="shared" si="161"/>
        <v>0</v>
      </c>
      <c r="N208" s="407">
        <f t="shared" si="138"/>
        <v>5.982819182689818</v>
      </c>
      <c r="O208" s="407">
        <f t="shared" si="139"/>
        <v>0.18157028670634029</v>
      </c>
      <c r="P208">
        <f t="shared" si="162"/>
        <v>0.2</v>
      </c>
      <c r="Q208" s="407">
        <f t="shared" si="172"/>
        <v>0.3815702867063403</v>
      </c>
      <c r="R208" s="9">
        <f t="shared" si="140"/>
        <v>0.39144012666212652</v>
      </c>
      <c r="S208" s="9">
        <f t="shared" si="141"/>
        <v>1.5322537276126168E-3</v>
      </c>
      <c r="T208" s="9">
        <f t="shared" si="142"/>
        <v>1.5322537276126168E-3</v>
      </c>
      <c r="U208" s="407">
        <f t="shared" si="143"/>
        <v>2.7756428655832122</v>
      </c>
      <c r="V208" s="409">
        <f t="shared" si="144"/>
        <v>1.5408386634525971E-2</v>
      </c>
      <c r="W208" s="407">
        <f t="shared" si="145"/>
        <v>1.5408386634525971E-2</v>
      </c>
      <c r="X208" s="407">
        <f t="shared" si="146"/>
        <v>2.7756428655832122</v>
      </c>
      <c r="Y208" s="407">
        <f t="shared" si="147"/>
        <v>4.6225159903577916E-2</v>
      </c>
      <c r="Z208" s="407">
        <f t="shared" si="163"/>
        <v>0.44592809567958919</v>
      </c>
      <c r="AA208" s="407">
        <f t="shared" si="164"/>
        <v>0.14400000000000002</v>
      </c>
      <c r="AB208" s="407">
        <f t="shared" si="165"/>
        <v>0</v>
      </c>
      <c r="AC208" s="407">
        <f t="shared" si="148"/>
        <v>0.64208939255178654</v>
      </c>
      <c r="AD208" s="407">
        <f t="shared" si="149"/>
        <v>5.2999935901374702</v>
      </c>
      <c r="AE208" s="407">
        <f t="shared" si="150"/>
        <v>0.16853959233298962</v>
      </c>
      <c r="AF208" s="407">
        <f t="shared" si="166"/>
        <v>8.5967999999999989E-2</v>
      </c>
      <c r="AG208" s="407">
        <f t="shared" si="151"/>
        <v>0.26338577868620561</v>
      </c>
      <c r="AH208" s="407">
        <f t="shared" si="152"/>
        <v>0</v>
      </c>
      <c r="AI208">
        <f t="shared" si="167"/>
        <v>0</v>
      </c>
      <c r="AJ208" s="408">
        <f t="shared" si="168"/>
        <v>0.136595826</v>
      </c>
      <c r="AK208">
        <f t="shared" si="173"/>
        <v>4.8000000000000001E-2</v>
      </c>
      <c r="AL208" s="408">
        <f t="shared" si="169"/>
        <v>0.1215</v>
      </c>
      <c r="AM208" s="408">
        <f t="shared" si="174"/>
        <v>0.31645971316818772</v>
      </c>
      <c r="AN208" s="408">
        <f t="shared" si="153"/>
        <v>0.16949999999999998</v>
      </c>
      <c r="AO208" s="408">
        <f t="shared" si="154"/>
        <v>1.6100819243064708</v>
      </c>
      <c r="AP208">
        <f t="shared" si="170"/>
        <v>30.446999999999996</v>
      </c>
      <c r="AQ208" s="10">
        <f t="shared" si="155"/>
        <v>0.94977453256325028</v>
      </c>
      <c r="AR208" s="63">
        <f t="shared" si="156"/>
        <v>32.104469627589324</v>
      </c>
      <c r="AS208" s="63">
        <f t="shared" si="157"/>
        <v>13.169288934310281</v>
      </c>
      <c r="AT208" s="10"/>
      <c r="AU208">
        <f t="shared" si="158"/>
        <v>94.977453256325035</v>
      </c>
    </row>
    <row r="209" spans="7:47" x14ac:dyDescent="0.25">
      <c r="G209">
        <v>200</v>
      </c>
      <c r="H209">
        <f t="shared" si="159"/>
        <v>6</v>
      </c>
      <c r="I209" s="407">
        <f t="shared" si="136"/>
        <v>0.21524999999999997</v>
      </c>
      <c r="J209" s="408">
        <f t="shared" si="160"/>
        <v>1.3560749999999995</v>
      </c>
      <c r="K209" s="408">
        <f t="shared" si="171"/>
        <v>6.6780374999999994</v>
      </c>
      <c r="L209" s="408">
        <f t="shared" si="137"/>
        <v>5.3219625000000006</v>
      </c>
      <c r="M209" s="63">
        <f t="shared" si="161"/>
        <v>0</v>
      </c>
      <c r="N209" s="407">
        <f t="shared" si="138"/>
        <v>6.0127568511015603</v>
      </c>
      <c r="O209" s="407">
        <f t="shared" si="139"/>
        <v>0.18341869718751014</v>
      </c>
      <c r="P209">
        <f t="shared" si="162"/>
        <v>0.2</v>
      </c>
      <c r="Q209" s="407">
        <f t="shared" si="172"/>
        <v>0.38341869718751015</v>
      </c>
      <c r="R209" s="9">
        <f t="shared" si="140"/>
        <v>0.39146513314566073</v>
      </c>
      <c r="S209" s="9">
        <f t="shared" si="141"/>
        <v>1.532449504687499E-3</v>
      </c>
      <c r="T209" s="9">
        <f t="shared" si="142"/>
        <v>1.532449504687499E-3</v>
      </c>
      <c r="U209" s="407">
        <f t="shared" si="143"/>
        <v>2.7896211168523224</v>
      </c>
      <c r="V209" s="409">
        <f t="shared" si="144"/>
        <v>1.5563971951176796E-2</v>
      </c>
      <c r="W209" s="407">
        <f t="shared" si="145"/>
        <v>1.5563971951176796E-2</v>
      </c>
      <c r="X209" s="407">
        <f t="shared" si="146"/>
        <v>2.7896211168523224</v>
      </c>
      <c r="Y209" s="407">
        <f t="shared" si="147"/>
        <v>4.6691915853530393E-2</v>
      </c>
      <c r="Z209" s="407">
        <f t="shared" si="163"/>
        <v>0.44817633502960774</v>
      </c>
      <c r="AA209" s="407">
        <f t="shared" si="164"/>
        <v>0.14400000000000002</v>
      </c>
      <c r="AB209" s="407">
        <f t="shared" si="165"/>
        <v>0</v>
      </c>
      <c r="AC209" s="407">
        <f t="shared" si="148"/>
        <v>0.64489048533837046</v>
      </c>
      <c r="AD209" s="407">
        <f t="shared" si="149"/>
        <v>5.3264677765739235</v>
      </c>
      <c r="AE209" s="407">
        <f t="shared" si="150"/>
        <v>0.17022755384928215</v>
      </c>
      <c r="AF209" s="407">
        <f t="shared" si="166"/>
        <v>8.6400000000000005E-2</v>
      </c>
      <c r="AG209" s="407">
        <f t="shared" si="151"/>
        <v>0.26567251015501964</v>
      </c>
      <c r="AH209" s="407">
        <f t="shared" si="152"/>
        <v>0</v>
      </c>
      <c r="AI209">
        <f t="shared" si="167"/>
        <v>0</v>
      </c>
      <c r="AJ209" s="408">
        <f t="shared" si="168"/>
        <v>0.13659479999999999</v>
      </c>
      <c r="AK209">
        <f t="shared" si="173"/>
        <v>4.8000000000000001E-2</v>
      </c>
      <c r="AL209" s="408">
        <f t="shared" si="169"/>
        <v>0.1215</v>
      </c>
      <c r="AM209" s="408">
        <f t="shared" si="174"/>
        <v>0.31645971316818772</v>
      </c>
      <c r="AN209" s="408">
        <f t="shared" si="153"/>
        <v>0.16949999999999998</v>
      </c>
      <c r="AO209" s="408">
        <f t="shared" si="154"/>
        <v>1.6171729141367646</v>
      </c>
      <c r="AP209">
        <f t="shared" si="170"/>
        <v>30.599999999999998</v>
      </c>
      <c r="AQ209" s="10">
        <f t="shared" si="155"/>
        <v>0.94980400923300279</v>
      </c>
      <c r="AR209" s="63">
        <f t="shared" si="156"/>
        <v>32.244524266918525</v>
      </c>
      <c r="AS209" s="63">
        <f t="shared" si="157"/>
        <v>13.283625507750981</v>
      </c>
      <c r="AT209" s="10"/>
      <c r="AU209">
        <f t="shared" si="158"/>
        <v>94.98040092330028</v>
      </c>
    </row>
  </sheetData>
  <sheetProtection selectLockedCells="1"/>
  <mergeCells count="2">
    <mergeCell ref="A1:D4"/>
    <mergeCell ref="A6:D7"/>
  </mergeCells>
  <phoneticPr fontId="5" type="noConversion"/>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E7"/>
  <sheetViews>
    <sheetView workbookViewId="0">
      <selection activeCell="M42" sqref="M42"/>
    </sheetView>
  </sheetViews>
  <sheetFormatPr defaultRowHeight="13.2" x14ac:dyDescent="0.25"/>
  <cols>
    <col min="1" max="1" width="18.5546875" customWidth="1"/>
    <col min="2" max="2" width="9.33203125" customWidth="1"/>
    <col min="4" max="4" width="11.109375" customWidth="1"/>
  </cols>
  <sheetData>
    <row r="1" spans="1:5" x14ac:dyDescent="0.25">
      <c r="C1" t="s">
        <v>350</v>
      </c>
      <c r="D1" t="s">
        <v>349</v>
      </c>
    </row>
    <row r="2" spans="1:5" x14ac:dyDescent="0.25">
      <c r="A2" t="s">
        <v>347</v>
      </c>
      <c r="B2" s="62">
        <v>85</v>
      </c>
      <c r="C2" t="s">
        <v>348</v>
      </c>
      <c r="D2">
        <f>B2*1000000</f>
        <v>85000000</v>
      </c>
      <c r="E2" t="s">
        <v>10</v>
      </c>
    </row>
    <row r="3" spans="1:5" x14ac:dyDescent="0.25">
      <c r="A3" t="s">
        <v>351</v>
      </c>
      <c r="B3" s="62">
        <v>3000</v>
      </c>
      <c r="C3" t="s">
        <v>53</v>
      </c>
      <c r="D3">
        <f>B3*0.000000000001</f>
        <v>3E-9</v>
      </c>
      <c r="E3" t="s">
        <v>34</v>
      </c>
    </row>
    <row r="4" spans="1:5" x14ac:dyDescent="0.25">
      <c r="A4" t="s">
        <v>353</v>
      </c>
      <c r="B4" s="63">
        <f>1000000000*1/((D2*2*3.14159)^2*D3)</f>
        <v>1.1686430773614742</v>
      </c>
      <c r="C4" t="s">
        <v>354</v>
      </c>
      <c r="D4">
        <f>B4/1000000000</f>
        <v>1.1686430773614743E-9</v>
      </c>
      <c r="E4" t="s">
        <v>24</v>
      </c>
    </row>
    <row r="5" spans="1:5" x14ac:dyDescent="0.25">
      <c r="A5" t="s">
        <v>352</v>
      </c>
      <c r="B5">
        <f>4*B3</f>
        <v>12000</v>
      </c>
      <c r="C5" t="s">
        <v>53</v>
      </c>
      <c r="D5">
        <f>B5*0.000000000001</f>
        <v>1.2E-8</v>
      </c>
      <c r="E5" t="s">
        <v>34</v>
      </c>
    </row>
    <row r="6" spans="1:5" x14ac:dyDescent="0.25">
      <c r="A6" t="s">
        <v>355</v>
      </c>
      <c r="B6" s="4">
        <f>SQRT(D4/D3)</f>
        <v>0.62413755891936573</v>
      </c>
      <c r="C6" s="4" t="s">
        <v>274</v>
      </c>
      <c r="D6" s="4">
        <f>B6</f>
        <v>0.62413755891936573</v>
      </c>
      <c r="E6" t="s">
        <v>274</v>
      </c>
    </row>
    <row r="7" spans="1:5" x14ac:dyDescent="0.25">
      <c r="B7" s="4"/>
      <c r="C7" s="4"/>
      <c r="D7" s="4"/>
    </row>
  </sheetData>
  <phoneticPr fontId="5"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3:E16"/>
  <sheetViews>
    <sheetView workbookViewId="0">
      <selection activeCell="E30" sqref="E30"/>
    </sheetView>
  </sheetViews>
  <sheetFormatPr defaultRowHeight="13.2" x14ac:dyDescent="0.25"/>
  <sheetData>
    <row r="3" spans="1:5" x14ac:dyDescent="0.25">
      <c r="A3" t="s">
        <v>299</v>
      </c>
      <c r="B3">
        <f>Iripple1</f>
        <v>1.3560749999999995</v>
      </c>
    </row>
    <row r="4" spans="1:5" x14ac:dyDescent="0.25">
      <c r="A4" t="s">
        <v>7</v>
      </c>
      <c r="B4">
        <f>Fsw</f>
        <v>300000</v>
      </c>
    </row>
    <row r="6" spans="1:5" x14ac:dyDescent="0.25">
      <c r="A6" t="s">
        <v>279</v>
      </c>
      <c r="B6" s="52">
        <v>0.5</v>
      </c>
      <c r="C6" t="s">
        <v>134</v>
      </c>
      <c r="D6">
        <f>B6/1000</f>
        <v>5.0000000000000001E-4</v>
      </c>
      <c r="E6" t="s">
        <v>25</v>
      </c>
    </row>
    <row r="7" spans="1:5" x14ac:dyDescent="0.25">
      <c r="A7" t="s">
        <v>297</v>
      </c>
      <c r="B7" s="52">
        <v>20</v>
      </c>
      <c r="C7" t="s">
        <v>30</v>
      </c>
      <c r="D7">
        <f>B7/1000000</f>
        <v>2.0000000000000002E-5</v>
      </c>
      <c r="E7" t="s">
        <v>34</v>
      </c>
    </row>
    <row r="9" spans="1:5" x14ac:dyDescent="0.25">
      <c r="A9" t="s">
        <v>280</v>
      </c>
      <c r="B9" s="52">
        <v>20</v>
      </c>
      <c r="C9" t="s">
        <v>134</v>
      </c>
      <c r="D9">
        <f>B9/1000</f>
        <v>0.02</v>
      </c>
      <c r="E9" t="s">
        <v>25</v>
      </c>
    </row>
    <row r="10" spans="1:5" x14ac:dyDescent="0.25">
      <c r="A10" t="s">
        <v>298</v>
      </c>
      <c r="B10" s="52">
        <v>68</v>
      </c>
      <c r="C10" t="s">
        <v>30</v>
      </c>
      <c r="D10">
        <f>B10/1000000</f>
        <v>6.7999999999999999E-5</v>
      </c>
      <c r="E10" t="s">
        <v>34</v>
      </c>
    </row>
    <row r="12" spans="1:5" x14ac:dyDescent="0.25">
      <c r="A12" t="s">
        <v>301</v>
      </c>
      <c r="B12">
        <f>(D7/(D7+D10))*SQRT((D9*D10*B4)^2+1)/SQRT((((D6+D9)*D7*D10/(D10+D7))*B4)^2+1)</f>
        <v>0.2443600307654302</v>
      </c>
      <c r="C12" t="s">
        <v>300</v>
      </c>
    </row>
    <row r="13" spans="1:5" x14ac:dyDescent="0.25">
      <c r="A13" t="s">
        <v>302</v>
      </c>
      <c r="B13">
        <f>1-B12</f>
        <v>0.75563996923456977</v>
      </c>
      <c r="C13" t="s">
        <v>300</v>
      </c>
    </row>
    <row r="15" spans="1:5" x14ac:dyDescent="0.25">
      <c r="A15" t="s">
        <v>301</v>
      </c>
      <c r="B15">
        <f>B12*(Iripple1/(2*SQRT(3)))</f>
        <v>9.5658431979066885E-2</v>
      </c>
      <c r="C15" t="s">
        <v>2</v>
      </c>
    </row>
    <row r="16" spans="1:5" x14ac:dyDescent="0.25">
      <c r="A16" t="s">
        <v>302</v>
      </c>
      <c r="B16">
        <f>B13*(Iripple1/(2*SQRT(3)))</f>
        <v>0.29580670116659386</v>
      </c>
      <c r="C16" t="s">
        <v>2</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150</vt:i4>
      </vt:variant>
    </vt:vector>
  </HeadingPairs>
  <TitlesOfParts>
    <vt:vector size="160" baseType="lpstr">
      <vt:lpstr>Design Regulator</vt:lpstr>
      <vt:lpstr>Schematic &amp; BOM</vt:lpstr>
      <vt:lpstr>EVMs</vt:lpstr>
      <vt:lpstr>Variable Management</vt:lpstr>
      <vt:lpstr>Standard Value Calculator</vt:lpstr>
      <vt:lpstr>Bode Plots Calculations</vt:lpstr>
      <vt:lpstr>Schematic Management</vt:lpstr>
      <vt:lpstr>Power Calculations</vt:lpstr>
      <vt:lpstr>Snubber</vt:lpstr>
      <vt:lpstr>Parallel Output Caps</vt:lpstr>
      <vt:lpstr>_Don1</vt:lpstr>
      <vt:lpstr>_Don2</vt:lpstr>
      <vt:lpstr>_Ren1</vt:lpstr>
      <vt:lpstr>_Rfb1</vt:lpstr>
      <vt:lpstr>_Rfb2</vt:lpstr>
      <vt:lpstr>_Rs1</vt:lpstr>
      <vt:lpstr>_Rs2</vt:lpstr>
      <vt:lpstr>_Rs3</vt:lpstr>
      <vt:lpstr>Cb</vt:lpstr>
      <vt:lpstr>Cby</vt:lpstr>
      <vt:lpstr>Cc1ea</vt:lpstr>
      <vt:lpstr>Cc1ea_u</vt:lpstr>
      <vt:lpstr>Cc2ea</vt:lpstr>
      <vt:lpstr>Cc2ea_u</vt:lpstr>
      <vt:lpstr>Cc3ea</vt:lpstr>
      <vt:lpstr>Cc3ea_u</vt:lpstr>
      <vt:lpstr>Cdd</vt:lpstr>
      <vt:lpstr>Cilim</vt:lpstr>
      <vt:lpstr>Cilim_ideal</vt:lpstr>
      <vt:lpstr>Cin</vt:lpstr>
      <vt:lpstr>Cin_Voltage_Rating</vt:lpstr>
      <vt:lpstr>CinEsrMax</vt:lpstr>
      <vt:lpstr>Core_Loss</vt:lpstr>
      <vt:lpstr>CossBot</vt:lpstr>
      <vt:lpstr>CossTop</vt:lpstr>
      <vt:lpstr>Cout</vt:lpstr>
      <vt:lpstr>Cout_Voltage_Rating</vt:lpstr>
      <vt:lpstr>CoutEsr</vt:lpstr>
      <vt:lpstr>Coutmin</vt:lpstr>
      <vt:lpstr>Csb</vt:lpstr>
      <vt:lpstr>Csby</vt:lpstr>
      <vt:lpstr>Css</vt:lpstr>
      <vt:lpstr>Css_u</vt:lpstr>
      <vt:lpstr>DC_Current_Limit_Setpoint</vt:lpstr>
      <vt:lpstr>Deadtime</vt:lpstr>
      <vt:lpstr>Doff1</vt:lpstr>
      <vt:lpstr>Doff2</vt:lpstr>
      <vt:lpstr>Don_Vinmax</vt:lpstr>
      <vt:lpstr>Eadcg</vt:lpstr>
      <vt:lpstr>Ext_VCC</vt:lpstr>
      <vt:lpstr>Fcross</vt:lpstr>
      <vt:lpstr>Fesr</vt:lpstr>
      <vt:lpstr>Fo</vt:lpstr>
      <vt:lpstr>Fp1_u</vt:lpstr>
      <vt:lpstr>Fp2_u</vt:lpstr>
      <vt:lpstr>Fsw</vt:lpstr>
      <vt:lpstr>Fz1_u</vt:lpstr>
      <vt:lpstr>Fz2_u</vt:lpstr>
      <vt:lpstr>GBP</vt:lpstr>
      <vt:lpstr>GmTop</vt:lpstr>
      <vt:lpstr>Icinrms</vt:lpstr>
      <vt:lpstr>Icoutrms</vt:lpstr>
      <vt:lpstr>Ilim1</vt:lpstr>
      <vt:lpstr>Ilim2</vt:lpstr>
      <vt:lpstr>ILimit</vt:lpstr>
      <vt:lpstr>Ilsat</vt:lpstr>
      <vt:lpstr>Iout</vt:lpstr>
      <vt:lpstr>Ipp</vt:lpstr>
      <vt:lpstr>Iq</vt:lpstr>
      <vt:lpstr>Ireverse</vt:lpstr>
      <vt:lpstr>Iripple1</vt:lpstr>
      <vt:lpstr>Iss</vt:lpstr>
      <vt:lpstr>Iuvlo_hys</vt:lpstr>
      <vt:lpstr>Iuvlo1</vt:lpstr>
      <vt:lpstr>Iuvlo2</vt:lpstr>
      <vt:lpstr>Kmidband</vt:lpstr>
      <vt:lpstr>Lout1</vt:lpstr>
      <vt:lpstr>Lout2</vt:lpstr>
      <vt:lpstr>Ltc</vt:lpstr>
      <vt:lpstr>Pi</vt:lpstr>
      <vt:lpstr>'Design Regulator'!Print_Area</vt:lpstr>
      <vt:lpstr>'Schematic &amp; BOM'!Print_Area</vt:lpstr>
      <vt:lpstr>Q</vt:lpstr>
      <vt:lpstr>QgBot</vt:lpstr>
      <vt:lpstr>QgdTop</vt:lpstr>
      <vt:lpstr>QgsTop</vt:lpstr>
      <vt:lpstr>QgTop</vt:lpstr>
      <vt:lpstr>QossBot</vt:lpstr>
      <vt:lpstr>QrrBot</vt:lpstr>
      <vt:lpstr>QrrSky</vt:lpstr>
      <vt:lpstr>Rcea1</vt:lpstr>
      <vt:lpstr>Rcea1_u</vt:lpstr>
      <vt:lpstr>Rcea2</vt:lpstr>
      <vt:lpstr>Rcea2_u</vt:lpstr>
      <vt:lpstr>RCinEsr</vt:lpstr>
      <vt:lpstr>RCoutEsr</vt:lpstr>
      <vt:lpstr>Rdcr</vt:lpstr>
      <vt:lpstr>RDSON_sense</vt:lpstr>
      <vt:lpstr>RdsonBot</vt:lpstr>
      <vt:lpstr>RdsonBotTc</vt:lpstr>
      <vt:lpstr>RdsonDRB</vt:lpstr>
      <vt:lpstr>RdsonDRB2</vt:lpstr>
      <vt:lpstr>RdsonDRT</vt:lpstr>
      <vt:lpstr>RdsonDRT2</vt:lpstr>
      <vt:lpstr>RdsonTop</vt:lpstr>
      <vt:lpstr>RdsonTopTc</vt:lpstr>
      <vt:lpstr>Resrmax</vt:lpstr>
      <vt:lpstr>Rfadj</vt:lpstr>
      <vt:lpstr>Rfb2_u</vt:lpstr>
      <vt:lpstr>Rfets</vt:lpstr>
      <vt:lpstr>RGateBot</vt:lpstr>
      <vt:lpstr>RGateTop</vt:lpstr>
      <vt:lpstr>Rh</vt:lpstr>
      <vt:lpstr>Rilim_Rdson</vt:lpstr>
      <vt:lpstr>Rilim_Rdson_ideal</vt:lpstr>
      <vt:lpstr>Rilim_shunt</vt:lpstr>
      <vt:lpstr>Rilim_shunt_ideal</vt:lpstr>
      <vt:lpstr>Ro</vt:lpstr>
      <vt:lpstr>Rpg</vt:lpstr>
      <vt:lpstr>Rsb</vt:lpstr>
      <vt:lpstr>Rshunt</vt:lpstr>
      <vt:lpstr>Ruvlo1</vt:lpstr>
      <vt:lpstr>Ruvlo2</vt:lpstr>
      <vt:lpstr>SCH_RDSON</vt:lpstr>
      <vt:lpstr>SCH_SHUNT</vt:lpstr>
      <vt:lpstr>Ta</vt:lpstr>
      <vt:lpstr>Tf</vt:lpstr>
      <vt:lpstr>ThetaCa</vt:lpstr>
      <vt:lpstr>ThetaJaBot</vt:lpstr>
      <vt:lpstr>ThetaJaCtrl</vt:lpstr>
      <vt:lpstr>ThetaJaTop</vt:lpstr>
      <vt:lpstr>TL</vt:lpstr>
      <vt:lpstr>Tr</vt:lpstr>
      <vt:lpstr>TrrBot</vt:lpstr>
      <vt:lpstr>Tss</vt:lpstr>
      <vt:lpstr>VARIANT</vt:lpstr>
      <vt:lpstr>Vdd</vt:lpstr>
      <vt:lpstr>VfdSky</vt:lpstr>
      <vt:lpstr>Vin</vt:lpstr>
      <vt:lpstr>VIN_MAX_RATING</vt:lpstr>
      <vt:lpstr>VIN_MIN_RATING</vt:lpstr>
      <vt:lpstr>Vinmax</vt:lpstr>
      <vt:lpstr>Vinmin</vt:lpstr>
      <vt:lpstr>Vinripple1</vt:lpstr>
      <vt:lpstr>Vinripple2</vt:lpstr>
      <vt:lpstr>VINuvlo_off</vt:lpstr>
      <vt:lpstr>VINuvlo_on</vt:lpstr>
      <vt:lpstr>Vout</vt:lpstr>
      <vt:lpstr>VOUT_MAX_RATING</vt:lpstr>
      <vt:lpstr>Vramp</vt:lpstr>
      <vt:lpstr>Vref</vt:lpstr>
      <vt:lpstr>Vripple1</vt:lpstr>
      <vt:lpstr>Vripple2</vt:lpstr>
      <vt:lpstr>VsdBot</vt:lpstr>
      <vt:lpstr>VsdTop</vt:lpstr>
      <vt:lpstr>VspTop</vt:lpstr>
      <vt:lpstr>VthTop</vt:lpstr>
      <vt:lpstr>Vuvlo_hys</vt:lpstr>
      <vt:lpstr>Vuvlo_off</vt:lpstr>
      <vt:lpstr>Vuvlo_on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LM5146-Q1 Design Tool</dc:title>
  <dc:creator>Timothy Hegarty</dc:creator>
  <cp:keywords>LM5146-Q1, PWM controller, synchronous buck, wide Vin</cp:keywords>
  <cp:lastModifiedBy>慶紀 井川</cp:lastModifiedBy>
  <cp:lastPrinted>2017-06-16T22:24:31Z</cp:lastPrinted>
  <dcterms:created xsi:type="dcterms:W3CDTF">1996-10-14T23:33:28Z</dcterms:created>
  <dcterms:modified xsi:type="dcterms:W3CDTF">2025-04-20T04:59:13Z</dcterms:modified>
</cp:coreProperties>
</file>